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conformance="strict">
  <fileVersion appName="xl" lastEdited="7" lowestEdited="7" rupBuild="22827"/>
  <workbookPr dateCompatibility="0" codeName="ThisWorkbook"/>
  <mc:AlternateContent xmlns:mc="http://schemas.openxmlformats.org/markup-compatibility/2006">
    <mc:Choice Requires="x15">
      <x15ac:absPath xmlns:x15ac="http://schemas.microsoft.com/office/spreadsheetml/2010/11/ac" url="C:\Users\Madan.MADY\Downloads\"/>
    </mc:Choice>
  </mc:AlternateContent>
  <xr:revisionPtr revIDLastSave="0" documentId="8_{1CD7BF71-33CE-40AD-8247-AC3688865507}" xr6:coauthVersionLast="45" xr6:coauthVersionMax="45" xr10:uidLastSave="{00000000-0000-0000-0000-000000000000}"/>
  <bookViews>
    <workbookView xWindow="-108" yWindow="-108" windowWidth="23256" windowHeight="12576" tabRatio="969"/>
  </bookViews>
  <sheets>
    <sheet name="Doc" sheetId="6" r:id="rId1"/>
    <sheet name="Piles (&lt;=25)" sheetId="50149" r:id="rId2"/>
    <sheet name="Piles (&lt;=25)(metric)" sheetId="50144" r:id="rId3"/>
    <sheet name="Piles (&lt;=75)" sheetId="7648" r:id="rId4"/>
    <sheet name="Piles (&lt;=75)(metric)" sheetId="267" r:id="rId5"/>
    <sheet name="Piles (&lt;=300)" sheetId="50158" r:id="rId6"/>
    <sheet name="Piles (&lt;=300)(metric)" sheetId="50160" r:id="rId7"/>
    <sheet name="Piles (&lt;=400)" sheetId="50162" r:id="rId8"/>
    <sheet name="Piles (&lt;=400)(metric)" sheetId="50161" r:id="rId9"/>
    <sheet name="Corner Pile Shear" sheetId="50163" r:id="rId10"/>
  </sheets>
  <definedNames>
    <definedName name="_xlnm.Print_Area" localSheetId="9">'Corner Pile Shear'!$A$1:$I$52</definedName>
    <definedName name="_xlnm.Print_Area" localSheetId="0">Doc!$A$1:$J$56</definedName>
    <definedName name="_xlnm.Print_Area" localSheetId="1">'Piles (&lt;=25)'!$A$1:$I$50</definedName>
    <definedName name="_xlnm.Print_Area" localSheetId="2">'Piles (&lt;=25)(metric)'!$A$1:$I$50</definedName>
    <definedName name="_xlnm.Print_Area" localSheetId="5">'Piles (&lt;=300)'!$A$1:$S$200</definedName>
    <definedName name="_xlnm.Print_Area" localSheetId="6">'Piles (&lt;=300)(metric)'!$A$1:$S$200</definedName>
    <definedName name="_xlnm.Print_Area" localSheetId="7">'Piles (&lt;=400)'!$A$1:$Y$231</definedName>
    <definedName name="_xlnm.Print_Area" localSheetId="8">'Piles (&lt;=400)(metric)'!$A$1:$Y$231</definedName>
    <definedName name="_xlnm.Print_Area" localSheetId="3">'Piles (&lt;=75)'!$A$1:$I$104</definedName>
    <definedName name="_xlnm.Print_Area" localSheetId="4">'Piles (&lt;=75)(metric)'!$A$1:$I$104</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purl.oclc.org/ooxml/spreadsheetml/main">
  <c r="N15" i="50163" l="1"/>
  <c r="C44" i="50163" s="1"/>
  <c r="N8" i="50163"/>
  <c r="C34" i="50163" s="1"/>
  <c r="N12" i="50163"/>
  <c r="N13" i="50163" s="1"/>
  <c r="N5" i="50163"/>
  <c r="N6" i="50163"/>
  <c r="N7" i="50163" s="1"/>
  <c r="C33" i="50163" s="1"/>
  <c r="G21" i="50163" s="1"/>
  <c r="A3" i="50163"/>
  <c r="P5" i="50163"/>
  <c r="Q5" i="50163"/>
  <c r="G8" i="50163"/>
  <c r="N9" i="50163"/>
  <c r="P12" i="50163"/>
  <c r="Q12" i="50163"/>
  <c r="H12" i="50163"/>
  <c r="C31" i="50163"/>
  <c r="I13" i="50163"/>
  <c r="N16" i="50163"/>
  <c r="C45" i="50163" s="1"/>
  <c r="I16" i="50163"/>
  <c r="AD16" i="50163"/>
  <c r="AH16" i="50163"/>
  <c r="AH17" i="50163" s="1"/>
  <c r="AD17" i="50163"/>
  <c r="E31" i="50163"/>
  <c r="F31" i="50163"/>
  <c r="C35" i="50163"/>
  <c r="E41" i="50163"/>
  <c r="F41" i="50163"/>
  <c r="AB408" i="50161"/>
  <c r="AB410" i="50161" s="1"/>
  <c r="AB10" i="50161" s="1"/>
  <c r="AH409" i="50161"/>
  <c r="AH414" i="50161"/>
  <c r="AI409" i="50161"/>
  <c r="AI414" i="50161"/>
  <c r="AJ409" i="50161"/>
  <c r="AJ414" i="50161"/>
  <c r="AK409" i="50161"/>
  <c r="AK414" i="50161"/>
  <c r="AL409" i="50161"/>
  <c r="AL414" i="50161"/>
  <c r="AM409" i="50161"/>
  <c r="AM414" i="50161"/>
  <c r="AN409" i="50161"/>
  <c r="AN414" i="50161"/>
  <c r="AO409" i="50161"/>
  <c r="AO414" i="50161"/>
  <c r="AP409" i="50161"/>
  <c r="AP414" i="50161"/>
  <c r="AQ409" i="50161"/>
  <c r="AQ414" i="50161"/>
  <c r="AR409" i="50161"/>
  <c r="AR414" i="50161"/>
  <c r="AS409" i="50161"/>
  <c r="AS414" i="50161"/>
  <c r="AT409" i="50161"/>
  <c r="AT414" i="50161"/>
  <c r="AU409" i="50161"/>
  <c r="AU414" i="50161"/>
  <c r="AV409" i="50161"/>
  <c r="AV414" i="50161"/>
  <c r="AW409" i="50161"/>
  <c r="AW414" i="50161"/>
  <c r="AX409" i="50161"/>
  <c r="AX414" i="50161"/>
  <c r="AY409" i="50161"/>
  <c r="AY414" i="50161"/>
  <c r="AZ409" i="50161"/>
  <c r="AZ414" i="50161"/>
  <c r="BA409" i="50161"/>
  <c r="BA414" i="50161"/>
  <c r="BB409" i="50161"/>
  <c r="BB414" i="50161"/>
  <c r="AB407" i="50161"/>
  <c r="AB409" i="50161" s="1"/>
  <c r="AH408" i="50161"/>
  <c r="AH415" i="50161"/>
  <c r="AI408" i="50161"/>
  <c r="AI415" i="50161"/>
  <c r="AJ408" i="50161"/>
  <c r="AJ415" i="50161"/>
  <c r="AK408" i="50161"/>
  <c r="AK415" i="50161"/>
  <c r="AL408" i="50161"/>
  <c r="AL415" i="50161"/>
  <c r="AM408" i="50161"/>
  <c r="AM415" i="50161"/>
  <c r="AN408" i="50161"/>
  <c r="AN415" i="50161"/>
  <c r="AO408" i="50161"/>
  <c r="AO415" i="50161"/>
  <c r="AP408" i="50161"/>
  <c r="AP415" i="50161"/>
  <c r="AQ408" i="50161"/>
  <c r="AQ415" i="50161"/>
  <c r="AR408" i="50161"/>
  <c r="AR415" i="50161"/>
  <c r="AS408" i="50161"/>
  <c r="AS415" i="50161"/>
  <c r="AT408" i="50161"/>
  <c r="AT415" i="50161"/>
  <c r="AU408" i="50161"/>
  <c r="AU415" i="50161"/>
  <c r="AV408" i="50161"/>
  <c r="AV415" i="50161"/>
  <c r="AW408" i="50161"/>
  <c r="AW415" i="50161"/>
  <c r="AX408" i="50161"/>
  <c r="AX415" i="50161"/>
  <c r="AY408" i="50161"/>
  <c r="AY415" i="50161"/>
  <c r="AZ408" i="50161"/>
  <c r="AZ415" i="50161"/>
  <c r="BA408" i="50161"/>
  <c r="BA415" i="50161"/>
  <c r="BB408" i="50161"/>
  <c r="BB415" i="50161"/>
  <c r="AF419" i="50161"/>
  <c r="AB7" i="50161"/>
  <c r="AB23" i="50161"/>
  <c r="AB27" i="50161"/>
  <c r="AB39" i="50161"/>
  <c r="AD45" i="50161"/>
  <c r="AD46" i="50161"/>
  <c r="AD47" i="50161"/>
  <c r="AD48" i="50161"/>
  <c r="AD49" i="50161"/>
  <c r="AD50" i="50161"/>
  <c r="AD51" i="50161"/>
  <c r="AD52" i="50161"/>
  <c r="AD53" i="50161"/>
  <c r="AD54" i="50161"/>
  <c r="AD55" i="50161"/>
  <c r="AD56" i="50161"/>
  <c r="AD57" i="50161"/>
  <c r="AD58" i="50161"/>
  <c r="AD59" i="50161"/>
  <c r="AD60" i="50161"/>
  <c r="AD61" i="50161"/>
  <c r="AD62" i="50161"/>
  <c r="AD63" i="50161"/>
  <c r="AD64" i="50161"/>
  <c r="AD65" i="50161"/>
  <c r="AD66" i="50161"/>
  <c r="AD67" i="50161"/>
  <c r="AD68" i="50161"/>
  <c r="AD69" i="50161"/>
  <c r="AD70" i="50161"/>
  <c r="AD71" i="50161"/>
  <c r="AD72" i="50161"/>
  <c r="AD73" i="50161"/>
  <c r="AD74" i="50161"/>
  <c r="AD75" i="50161"/>
  <c r="AD76" i="50161"/>
  <c r="AD77" i="50161"/>
  <c r="AD78" i="50161"/>
  <c r="AD79" i="50161"/>
  <c r="AD80" i="50161"/>
  <c r="AD81" i="50161"/>
  <c r="AD82" i="50161"/>
  <c r="AD83" i="50161"/>
  <c r="AD84" i="50161"/>
  <c r="AD85" i="50161"/>
  <c r="AD86" i="50161"/>
  <c r="AD87" i="50161"/>
  <c r="AD88" i="50161"/>
  <c r="AD89" i="50161"/>
  <c r="AD90" i="50161"/>
  <c r="AD91" i="50161"/>
  <c r="AD92" i="50161"/>
  <c r="AD93" i="50161"/>
  <c r="AD94" i="50161"/>
  <c r="AD95" i="50161"/>
  <c r="AD96" i="50161"/>
  <c r="AD97" i="50161"/>
  <c r="AD98" i="50161"/>
  <c r="AD99" i="50161"/>
  <c r="AD100" i="50161"/>
  <c r="AD101" i="50161"/>
  <c r="AD102" i="50161"/>
  <c r="AD103" i="50161"/>
  <c r="AD104" i="50161"/>
  <c r="AD105" i="50161"/>
  <c r="AD106" i="50161"/>
  <c r="AD107" i="50161"/>
  <c r="AD108" i="50161"/>
  <c r="AD109" i="50161"/>
  <c r="AD110" i="50161"/>
  <c r="AD111" i="50161"/>
  <c r="AD112" i="50161"/>
  <c r="AD113" i="50161"/>
  <c r="AD114" i="50161"/>
  <c r="AD115" i="50161"/>
  <c r="AD116" i="50161"/>
  <c r="AD117" i="50161"/>
  <c r="AD118" i="50161"/>
  <c r="AD119" i="50161"/>
  <c r="AD120" i="50161"/>
  <c r="AD121" i="50161"/>
  <c r="AD122" i="50161"/>
  <c r="AD123" i="50161"/>
  <c r="AD124" i="50161"/>
  <c r="AD125" i="50161"/>
  <c r="AD126" i="50161"/>
  <c r="AD127" i="50161"/>
  <c r="AD128" i="50161"/>
  <c r="AD129" i="50161"/>
  <c r="AD130" i="50161"/>
  <c r="AD131" i="50161"/>
  <c r="AD132" i="50161"/>
  <c r="AD133" i="50161"/>
  <c r="AD134" i="50161"/>
  <c r="AD135" i="50161"/>
  <c r="AD136" i="50161"/>
  <c r="AD137" i="50161"/>
  <c r="AD138" i="50161"/>
  <c r="AD139" i="50161"/>
  <c r="AD140" i="50161"/>
  <c r="AD141" i="50161"/>
  <c r="AD142" i="50161"/>
  <c r="AD143" i="50161"/>
  <c r="AD144" i="50161"/>
  <c r="AD145" i="50161"/>
  <c r="AD146" i="50161"/>
  <c r="AD147" i="50161"/>
  <c r="AD148" i="50161"/>
  <c r="AD149" i="50161"/>
  <c r="AD150" i="50161"/>
  <c r="AD151" i="50161"/>
  <c r="AD152" i="50161"/>
  <c r="AD153" i="50161"/>
  <c r="AD154" i="50161"/>
  <c r="AD155" i="50161"/>
  <c r="AD156" i="50161"/>
  <c r="AD157" i="50161"/>
  <c r="AD158" i="50161"/>
  <c r="AD159" i="50161"/>
  <c r="AD160" i="50161"/>
  <c r="AD161" i="50161"/>
  <c r="AD162" i="50161"/>
  <c r="AD163" i="50161"/>
  <c r="AD164" i="50161"/>
  <c r="AD165" i="50161"/>
  <c r="AD166" i="50161"/>
  <c r="AD167" i="50161"/>
  <c r="AD168" i="50161"/>
  <c r="AD169" i="50161"/>
  <c r="AD170" i="50161"/>
  <c r="AD171" i="50161"/>
  <c r="AD172" i="50161"/>
  <c r="AD173" i="50161"/>
  <c r="AD174" i="50161"/>
  <c r="AD175" i="50161"/>
  <c r="AD176" i="50161"/>
  <c r="AD177" i="50161"/>
  <c r="AD178" i="50161"/>
  <c r="AD179" i="50161"/>
  <c r="AD180" i="50161"/>
  <c r="AD181" i="50161"/>
  <c r="AD182" i="50161"/>
  <c r="AD183" i="50161"/>
  <c r="AD184" i="50161"/>
  <c r="AD185" i="50161"/>
  <c r="AD186" i="50161"/>
  <c r="AD187" i="50161"/>
  <c r="AD188" i="50161"/>
  <c r="AD189" i="50161"/>
  <c r="AD190" i="50161"/>
  <c r="AD191" i="50161"/>
  <c r="AD192" i="50161"/>
  <c r="AD193" i="50161"/>
  <c r="AD194" i="50161"/>
  <c r="AD195" i="50161"/>
  <c r="AD196" i="50161"/>
  <c r="AD197" i="50161"/>
  <c r="AD198" i="50161"/>
  <c r="AD199" i="50161"/>
  <c r="AD200" i="50161"/>
  <c r="AD201" i="50161"/>
  <c r="AD202" i="50161"/>
  <c r="AD203" i="50161"/>
  <c r="AD204" i="50161"/>
  <c r="AD205" i="50161"/>
  <c r="AD206" i="50161"/>
  <c r="AD207" i="50161"/>
  <c r="AD208" i="50161"/>
  <c r="AD209" i="50161"/>
  <c r="AD210" i="50161"/>
  <c r="AD211" i="50161"/>
  <c r="AD212" i="50161"/>
  <c r="AD213" i="50161"/>
  <c r="AD214" i="50161"/>
  <c r="AD215" i="50161"/>
  <c r="AD216" i="50161"/>
  <c r="AD217" i="50161"/>
  <c r="AD218" i="50161"/>
  <c r="AD219" i="50161"/>
  <c r="AD220" i="50161"/>
  <c r="AD221" i="50161"/>
  <c r="AD222" i="50161"/>
  <c r="AD223" i="50161"/>
  <c r="AD224" i="50161"/>
  <c r="AD225" i="50161"/>
  <c r="AD226" i="50161"/>
  <c r="AD227" i="50161"/>
  <c r="AD228" i="50161"/>
  <c r="AD229" i="50161"/>
  <c r="AD230" i="50161"/>
  <c r="AD231" i="50161"/>
  <c r="AD232" i="50161"/>
  <c r="AD233" i="50161"/>
  <c r="AD234" i="50161"/>
  <c r="AD235" i="50161"/>
  <c r="AD236" i="50161"/>
  <c r="AD237" i="50161"/>
  <c r="AD238" i="50161"/>
  <c r="AD239" i="50161"/>
  <c r="AD240" i="50161"/>
  <c r="AD241" i="50161"/>
  <c r="AD242" i="50161"/>
  <c r="AD243" i="50161"/>
  <c r="AD244" i="50161"/>
  <c r="AD245" i="50161"/>
  <c r="AD246" i="50161"/>
  <c r="AD247" i="50161"/>
  <c r="AD248" i="50161"/>
  <c r="AD249" i="50161"/>
  <c r="AD250" i="50161"/>
  <c r="AD251" i="50161"/>
  <c r="AD252" i="50161"/>
  <c r="AD253" i="50161"/>
  <c r="AD254" i="50161"/>
  <c r="AD255" i="50161"/>
  <c r="AD256" i="50161"/>
  <c r="AD257" i="50161"/>
  <c r="AD258" i="50161"/>
  <c r="AD259" i="50161"/>
  <c r="AD260" i="50161"/>
  <c r="AD261" i="50161"/>
  <c r="AD262" i="50161"/>
  <c r="AD263" i="50161"/>
  <c r="AD264" i="50161"/>
  <c r="AD265" i="50161"/>
  <c r="AD266" i="50161"/>
  <c r="AD267" i="50161"/>
  <c r="AD268" i="50161"/>
  <c r="AD269" i="50161"/>
  <c r="AD270" i="50161"/>
  <c r="AD271" i="50161"/>
  <c r="AD272" i="50161"/>
  <c r="AD273" i="50161"/>
  <c r="AD274" i="50161"/>
  <c r="AD275" i="50161"/>
  <c r="AD276" i="50161"/>
  <c r="AD277" i="50161"/>
  <c r="AD278" i="50161"/>
  <c r="AD279" i="50161"/>
  <c r="AD280" i="50161"/>
  <c r="AD281" i="50161"/>
  <c r="AD282" i="50161"/>
  <c r="AD283" i="50161"/>
  <c r="AD284" i="50161"/>
  <c r="AD285" i="50161"/>
  <c r="AD286" i="50161"/>
  <c r="AD287" i="50161"/>
  <c r="AD288" i="50161"/>
  <c r="AD289" i="50161"/>
  <c r="AD290" i="50161"/>
  <c r="AD291" i="50161"/>
  <c r="AD292" i="50161"/>
  <c r="AD293" i="50161"/>
  <c r="AD294" i="50161"/>
  <c r="AD295" i="50161"/>
  <c r="AD296" i="50161"/>
  <c r="AD297" i="50161"/>
  <c r="AD298" i="50161"/>
  <c r="AD299" i="50161"/>
  <c r="AD300" i="50161"/>
  <c r="AD301" i="50161"/>
  <c r="AD302" i="50161"/>
  <c r="AD303" i="50161"/>
  <c r="AD304" i="50161"/>
  <c r="AD305" i="50161"/>
  <c r="AD306" i="50161"/>
  <c r="AD307" i="50161"/>
  <c r="AD308" i="50161"/>
  <c r="AD309" i="50161"/>
  <c r="AD310" i="50161"/>
  <c r="AD311" i="50161"/>
  <c r="AD312" i="50161"/>
  <c r="AD313" i="50161"/>
  <c r="AD314" i="50161"/>
  <c r="AD315" i="50161"/>
  <c r="AD316" i="50161"/>
  <c r="AD317" i="50161"/>
  <c r="AD318" i="50161"/>
  <c r="AD319" i="50161"/>
  <c r="AD320" i="50161"/>
  <c r="AD321" i="50161"/>
  <c r="AD322" i="50161"/>
  <c r="AD323" i="50161"/>
  <c r="AD324" i="50161"/>
  <c r="AD325" i="50161"/>
  <c r="AD326" i="50161"/>
  <c r="AD327" i="50161"/>
  <c r="AD328" i="50161"/>
  <c r="AD329" i="50161"/>
  <c r="AD330" i="50161"/>
  <c r="AD331" i="50161"/>
  <c r="AD332" i="50161"/>
  <c r="AD333" i="50161"/>
  <c r="AD334" i="50161"/>
  <c r="AD335" i="50161"/>
  <c r="AD336" i="50161"/>
  <c r="AD337" i="50161"/>
  <c r="AD338" i="50161"/>
  <c r="AD339" i="50161"/>
  <c r="AD340" i="50161"/>
  <c r="AD341" i="50161"/>
  <c r="AD342" i="50161"/>
  <c r="AD343" i="50161"/>
  <c r="AD344" i="50161"/>
  <c r="AD345" i="50161"/>
  <c r="AD346" i="50161"/>
  <c r="AD347" i="50161"/>
  <c r="AD348" i="50161"/>
  <c r="AD349" i="50161"/>
  <c r="AD350" i="50161"/>
  <c r="AD351" i="50161"/>
  <c r="AD352" i="50161"/>
  <c r="AD353" i="50161"/>
  <c r="AD354" i="50161"/>
  <c r="AD355" i="50161"/>
  <c r="AD356" i="50161"/>
  <c r="AD357" i="50161"/>
  <c r="AD358" i="50161"/>
  <c r="AD359" i="50161"/>
  <c r="AD360" i="50161"/>
  <c r="AD361" i="50161"/>
  <c r="AD362" i="50161"/>
  <c r="AD363" i="50161"/>
  <c r="AD364" i="50161"/>
  <c r="AD365" i="50161"/>
  <c r="AD366" i="50161"/>
  <c r="AD367" i="50161"/>
  <c r="AD368" i="50161"/>
  <c r="AD369" i="50161"/>
  <c r="AD370" i="50161"/>
  <c r="AD371" i="50161"/>
  <c r="AD372" i="50161"/>
  <c r="AD373" i="50161"/>
  <c r="AD374" i="50161"/>
  <c r="AD375" i="50161"/>
  <c r="AD376" i="50161"/>
  <c r="AD377" i="50161"/>
  <c r="AD378" i="50161"/>
  <c r="AD379" i="50161"/>
  <c r="AD380" i="50161"/>
  <c r="AD381" i="50161"/>
  <c r="AD382" i="50161"/>
  <c r="AD383" i="50161"/>
  <c r="AD384" i="50161"/>
  <c r="AD385" i="50161"/>
  <c r="AD386" i="50161"/>
  <c r="AD387" i="50161"/>
  <c r="AD388" i="50161"/>
  <c r="AD389" i="50161"/>
  <c r="AD390" i="50161"/>
  <c r="AD391" i="50161"/>
  <c r="AD392" i="50161"/>
  <c r="AD393" i="50161"/>
  <c r="AD394" i="50161"/>
  <c r="AD395" i="50161"/>
  <c r="AD396" i="50161"/>
  <c r="AD397" i="50161"/>
  <c r="AD398" i="50161"/>
  <c r="AD399" i="50161"/>
  <c r="AD400" i="50161"/>
  <c r="AD401" i="50161"/>
  <c r="AD402" i="50161"/>
  <c r="AD403" i="50161"/>
  <c r="AD404" i="50161"/>
  <c r="AE45" i="50161"/>
  <c r="AE46" i="50161"/>
  <c r="AE47" i="50161"/>
  <c r="AE48" i="50161"/>
  <c r="AE49" i="50161"/>
  <c r="AE50" i="50161"/>
  <c r="AE51" i="50161"/>
  <c r="AE52" i="50161"/>
  <c r="AE53" i="50161"/>
  <c r="AE54" i="50161"/>
  <c r="AE55" i="50161"/>
  <c r="AE56" i="50161"/>
  <c r="AE57" i="50161"/>
  <c r="AE58" i="50161"/>
  <c r="AE59" i="50161"/>
  <c r="AE60" i="50161"/>
  <c r="AE61" i="50161"/>
  <c r="AE62" i="50161"/>
  <c r="AE63" i="50161"/>
  <c r="AE64" i="50161"/>
  <c r="AE65" i="50161"/>
  <c r="AE66" i="50161"/>
  <c r="AE67" i="50161"/>
  <c r="AE68" i="50161"/>
  <c r="AE69" i="50161"/>
  <c r="AE70" i="50161"/>
  <c r="AE71" i="50161"/>
  <c r="AE72" i="50161"/>
  <c r="AE73" i="50161"/>
  <c r="AE74" i="50161"/>
  <c r="AE75" i="50161"/>
  <c r="AE76" i="50161"/>
  <c r="AE77" i="50161"/>
  <c r="AE78" i="50161"/>
  <c r="AE79" i="50161"/>
  <c r="AE80" i="50161"/>
  <c r="AE81" i="50161"/>
  <c r="AE82" i="50161"/>
  <c r="AE83" i="50161"/>
  <c r="AE84" i="50161"/>
  <c r="AE85" i="50161"/>
  <c r="AE86" i="50161"/>
  <c r="AE87" i="50161"/>
  <c r="AE88" i="50161"/>
  <c r="AE89" i="50161"/>
  <c r="AE90" i="50161"/>
  <c r="AE91" i="50161"/>
  <c r="AE92" i="50161"/>
  <c r="AE93" i="50161"/>
  <c r="AE94" i="50161"/>
  <c r="AE95" i="50161"/>
  <c r="AE96" i="50161"/>
  <c r="AE97" i="50161"/>
  <c r="AE98" i="50161"/>
  <c r="AE99" i="50161"/>
  <c r="AE100" i="50161"/>
  <c r="AE101" i="50161"/>
  <c r="AE102" i="50161"/>
  <c r="AE103" i="50161"/>
  <c r="AE104" i="50161"/>
  <c r="AE105" i="50161"/>
  <c r="AE106" i="50161"/>
  <c r="AE107" i="50161"/>
  <c r="AE108" i="50161"/>
  <c r="AE109" i="50161"/>
  <c r="AE110" i="50161"/>
  <c r="AE111" i="50161"/>
  <c r="AE112" i="50161"/>
  <c r="AE113" i="50161"/>
  <c r="AE114" i="50161"/>
  <c r="AE115" i="50161"/>
  <c r="AE116" i="50161"/>
  <c r="AE117" i="50161"/>
  <c r="AE118" i="50161"/>
  <c r="AE119" i="50161"/>
  <c r="AE120" i="50161"/>
  <c r="AE121" i="50161"/>
  <c r="AE122" i="50161"/>
  <c r="AE123" i="50161"/>
  <c r="AE124" i="50161"/>
  <c r="AE125" i="50161"/>
  <c r="AE126" i="50161"/>
  <c r="AE127" i="50161"/>
  <c r="AE128" i="50161"/>
  <c r="AE129" i="50161"/>
  <c r="AE130" i="50161"/>
  <c r="AE131" i="50161"/>
  <c r="AE132" i="50161"/>
  <c r="AE133" i="50161"/>
  <c r="AE134" i="50161"/>
  <c r="AE135" i="50161"/>
  <c r="AE136" i="50161"/>
  <c r="AE137" i="50161"/>
  <c r="AE138" i="50161"/>
  <c r="AE139" i="50161"/>
  <c r="AE140" i="50161"/>
  <c r="AE141" i="50161"/>
  <c r="AE142" i="50161"/>
  <c r="AE143" i="50161"/>
  <c r="AE144" i="50161"/>
  <c r="AE145" i="50161"/>
  <c r="AE146" i="50161"/>
  <c r="AE147" i="50161"/>
  <c r="AE148" i="50161"/>
  <c r="AE149" i="50161"/>
  <c r="AE150" i="50161"/>
  <c r="AE151" i="50161"/>
  <c r="AE152" i="50161"/>
  <c r="AE153" i="50161"/>
  <c r="AE154" i="50161"/>
  <c r="AE155" i="50161"/>
  <c r="AE156" i="50161"/>
  <c r="AE157" i="50161"/>
  <c r="AE158" i="50161"/>
  <c r="AE159" i="50161"/>
  <c r="AE160" i="50161"/>
  <c r="AE161" i="50161"/>
  <c r="AE162" i="50161"/>
  <c r="AE163" i="50161"/>
  <c r="AE164" i="50161"/>
  <c r="AE165" i="50161"/>
  <c r="AE166" i="50161"/>
  <c r="AE167" i="50161"/>
  <c r="AE168" i="50161"/>
  <c r="AE169" i="50161"/>
  <c r="AE170" i="50161"/>
  <c r="AE171" i="50161"/>
  <c r="AE172" i="50161"/>
  <c r="AE173" i="50161"/>
  <c r="AE174" i="50161"/>
  <c r="AE175" i="50161"/>
  <c r="AE176" i="50161"/>
  <c r="AE177" i="50161"/>
  <c r="AE178" i="50161"/>
  <c r="AE179" i="50161"/>
  <c r="AE180" i="50161"/>
  <c r="AE181" i="50161"/>
  <c r="AE182" i="50161"/>
  <c r="AE183" i="50161"/>
  <c r="AE184" i="50161"/>
  <c r="AE185" i="50161"/>
  <c r="AE186" i="50161"/>
  <c r="AE187" i="50161"/>
  <c r="AE188" i="50161"/>
  <c r="AE189" i="50161"/>
  <c r="AE190" i="50161"/>
  <c r="AE191" i="50161"/>
  <c r="AE192" i="50161"/>
  <c r="AE193" i="50161"/>
  <c r="AE194" i="50161"/>
  <c r="AE195" i="50161"/>
  <c r="AE196" i="50161"/>
  <c r="AE197" i="50161"/>
  <c r="AE198" i="50161"/>
  <c r="AE199" i="50161"/>
  <c r="AE200" i="50161"/>
  <c r="AE201" i="50161"/>
  <c r="AE202" i="50161"/>
  <c r="AE203" i="50161"/>
  <c r="AE204" i="50161"/>
  <c r="AE205" i="50161"/>
  <c r="AE206" i="50161"/>
  <c r="AE207" i="50161"/>
  <c r="AE208" i="50161"/>
  <c r="AE209" i="50161"/>
  <c r="AE210" i="50161"/>
  <c r="AE211" i="50161"/>
  <c r="AE212" i="50161"/>
  <c r="AE213" i="50161"/>
  <c r="AE214" i="50161"/>
  <c r="AE215" i="50161"/>
  <c r="AE216" i="50161"/>
  <c r="AE217" i="50161"/>
  <c r="AE218" i="50161"/>
  <c r="AE219" i="50161"/>
  <c r="AE220" i="50161"/>
  <c r="AE221" i="50161"/>
  <c r="AE222" i="50161"/>
  <c r="AE223" i="50161"/>
  <c r="AE224" i="50161"/>
  <c r="AE225" i="50161"/>
  <c r="AE226" i="50161"/>
  <c r="AE227" i="50161"/>
  <c r="AE228" i="50161"/>
  <c r="AE229" i="50161"/>
  <c r="AE230" i="50161"/>
  <c r="AE231" i="50161"/>
  <c r="AE232" i="50161"/>
  <c r="AE233" i="50161"/>
  <c r="AE234" i="50161"/>
  <c r="AE235" i="50161"/>
  <c r="AE236" i="50161"/>
  <c r="AE237" i="50161"/>
  <c r="AE238" i="50161"/>
  <c r="AE239" i="50161"/>
  <c r="AE240" i="50161"/>
  <c r="AE241" i="50161"/>
  <c r="AE242" i="50161"/>
  <c r="AE243" i="50161"/>
  <c r="AE244" i="50161"/>
  <c r="AE245" i="50161"/>
  <c r="AE246" i="50161"/>
  <c r="AE247" i="50161"/>
  <c r="AE248" i="50161"/>
  <c r="AE249" i="50161"/>
  <c r="AE250" i="50161"/>
  <c r="AE251" i="50161"/>
  <c r="AE252" i="50161"/>
  <c r="AE253" i="50161"/>
  <c r="AE254" i="50161"/>
  <c r="AE255" i="50161"/>
  <c r="AE256" i="50161"/>
  <c r="AE257" i="50161"/>
  <c r="AE258" i="50161"/>
  <c r="AE259" i="50161"/>
  <c r="AE260" i="50161"/>
  <c r="AE261" i="50161"/>
  <c r="AE262" i="50161"/>
  <c r="AE263" i="50161"/>
  <c r="AE264" i="50161"/>
  <c r="AE265" i="50161"/>
  <c r="AE266" i="50161"/>
  <c r="AE267" i="50161"/>
  <c r="AE268" i="50161"/>
  <c r="AE269" i="50161"/>
  <c r="AE270" i="50161"/>
  <c r="AE271" i="50161"/>
  <c r="AE272" i="50161"/>
  <c r="AE273" i="50161"/>
  <c r="AE274" i="50161"/>
  <c r="AE275" i="50161"/>
  <c r="AE276" i="50161"/>
  <c r="AE277" i="50161"/>
  <c r="AE278" i="50161"/>
  <c r="AE279" i="50161"/>
  <c r="AE280" i="50161"/>
  <c r="AE281" i="50161"/>
  <c r="AE282" i="50161"/>
  <c r="AE283" i="50161"/>
  <c r="AE284" i="50161"/>
  <c r="AE285" i="50161"/>
  <c r="AE286" i="50161"/>
  <c r="AE287" i="50161"/>
  <c r="AE288" i="50161"/>
  <c r="AE289" i="50161"/>
  <c r="AE290" i="50161"/>
  <c r="AE291" i="50161"/>
  <c r="AE292" i="50161"/>
  <c r="AE293" i="50161"/>
  <c r="AE294" i="50161"/>
  <c r="AE295" i="50161"/>
  <c r="AE296" i="50161"/>
  <c r="AE297" i="50161"/>
  <c r="AE298" i="50161"/>
  <c r="AE299" i="50161"/>
  <c r="AE300" i="50161"/>
  <c r="AE301" i="50161"/>
  <c r="AE302" i="50161"/>
  <c r="AE303" i="50161"/>
  <c r="AE304" i="50161"/>
  <c r="AE305" i="50161"/>
  <c r="AE306" i="50161"/>
  <c r="AE307" i="50161"/>
  <c r="AE308" i="50161"/>
  <c r="AE309" i="50161"/>
  <c r="AE310" i="50161"/>
  <c r="AE311" i="50161"/>
  <c r="AE312" i="50161"/>
  <c r="AE313" i="50161"/>
  <c r="AE314" i="50161"/>
  <c r="AE315" i="50161"/>
  <c r="AE316" i="50161"/>
  <c r="AE317" i="50161"/>
  <c r="AE318" i="50161"/>
  <c r="AE319" i="50161"/>
  <c r="AE320" i="50161"/>
  <c r="AE321" i="50161"/>
  <c r="AE322" i="50161"/>
  <c r="AE323" i="50161"/>
  <c r="AE324" i="50161"/>
  <c r="AE325" i="50161"/>
  <c r="AE326" i="50161"/>
  <c r="AE327" i="50161"/>
  <c r="AE328" i="50161"/>
  <c r="AE329" i="50161"/>
  <c r="AE330" i="50161"/>
  <c r="AE331" i="50161"/>
  <c r="AE332" i="50161"/>
  <c r="AE333" i="50161"/>
  <c r="AE334" i="50161"/>
  <c r="AE335" i="50161"/>
  <c r="AE336" i="50161"/>
  <c r="AE337" i="50161"/>
  <c r="AE338" i="50161"/>
  <c r="AE339" i="50161"/>
  <c r="AE340" i="50161"/>
  <c r="AE341" i="50161"/>
  <c r="AE342" i="50161"/>
  <c r="AE343" i="50161"/>
  <c r="AE344" i="50161"/>
  <c r="AE345" i="50161"/>
  <c r="AE346" i="50161"/>
  <c r="AE347" i="50161"/>
  <c r="AE348" i="50161"/>
  <c r="AE349" i="50161"/>
  <c r="AE350" i="50161"/>
  <c r="AE351" i="50161"/>
  <c r="AE352" i="50161"/>
  <c r="AE353" i="50161"/>
  <c r="AE354" i="50161"/>
  <c r="AE355" i="50161"/>
  <c r="AE356" i="50161"/>
  <c r="AE357" i="50161"/>
  <c r="AE358" i="50161"/>
  <c r="AE359" i="50161"/>
  <c r="AE360" i="50161"/>
  <c r="AE361" i="50161"/>
  <c r="AE362" i="50161"/>
  <c r="AE363" i="50161"/>
  <c r="AE364" i="50161"/>
  <c r="AE365" i="50161"/>
  <c r="AE366" i="50161"/>
  <c r="AE367" i="50161"/>
  <c r="AE368" i="50161"/>
  <c r="AE369" i="50161"/>
  <c r="AE370" i="50161"/>
  <c r="AE371" i="50161"/>
  <c r="AE372" i="50161"/>
  <c r="AE373" i="50161"/>
  <c r="AE374" i="50161"/>
  <c r="AE375" i="50161"/>
  <c r="AE376" i="50161"/>
  <c r="AE377" i="50161"/>
  <c r="AE378" i="50161"/>
  <c r="AE379" i="50161"/>
  <c r="AE380" i="50161"/>
  <c r="AE381" i="50161"/>
  <c r="AE382" i="50161"/>
  <c r="AE383" i="50161"/>
  <c r="AE384" i="50161"/>
  <c r="AE385" i="50161"/>
  <c r="AE386" i="50161"/>
  <c r="AE387" i="50161"/>
  <c r="AE388" i="50161"/>
  <c r="AE389" i="50161"/>
  <c r="AE390" i="50161"/>
  <c r="AE391" i="50161"/>
  <c r="AE392" i="50161"/>
  <c r="AE393" i="50161"/>
  <c r="AE394" i="50161"/>
  <c r="AE395" i="50161"/>
  <c r="AE396" i="50161"/>
  <c r="AE397" i="50161"/>
  <c r="AE398" i="50161"/>
  <c r="AE399" i="50161"/>
  <c r="AE400" i="50161"/>
  <c r="AE401" i="50161"/>
  <c r="AE402" i="50161"/>
  <c r="AE403" i="50161"/>
  <c r="AE404" i="50161"/>
  <c r="AF420" i="50161"/>
  <c r="AH8" i="50161"/>
  <c r="AH10" i="50161"/>
  <c r="AH16" i="50161"/>
  <c r="AH18" i="50161"/>
  <c r="AH24" i="50161"/>
  <c r="AH26" i="50161"/>
  <c r="AH32" i="50161"/>
  <c r="AH34" i="50161"/>
  <c r="AG39" i="50161"/>
  <c r="AH40" i="50161"/>
  <c r="AH42" i="50161"/>
  <c r="AJ45" i="50161"/>
  <c r="AJ46" i="50161"/>
  <c r="AJ47" i="50161"/>
  <c r="AJ48" i="50161"/>
  <c r="AJ49" i="50161"/>
  <c r="AJ50" i="50161"/>
  <c r="AJ51" i="50161"/>
  <c r="AJ52" i="50161"/>
  <c r="AJ53" i="50161"/>
  <c r="AJ54" i="50161"/>
  <c r="AJ55" i="50161"/>
  <c r="AJ56" i="50161"/>
  <c r="AJ57" i="50161"/>
  <c r="AJ58" i="50161"/>
  <c r="F183" i="50161" s="1"/>
  <c r="AJ59" i="50161"/>
  <c r="AJ60" i="50161"/>
  <c r="AJ61" i="50161"/>
  <c r="AJ62" i="50161"/>
  <c r="AJ63" i="50161"/>
  <c r="AJ64" i="50161"/>
  <c r="AJ65" i="50161"/>
  <c r="AJ66" i="50161"/>
  <c r="F191" i="50161" s="1"/>
  <c r="AJ67" i="50161"/>
  <c r="AJ68" i="50161"/>
  <c r="AJ69" i="50161"/>
  <c r="AJ70" i="50161"/>
  <c r="AJ71" i="50161"/>
  <c r="AJ72" i="50161"/>
  <c r="AJ73" i="50161"/>
  <c r="AJ74" i="50161"/>
  <c r="F199" i="50161" s="1"/>
  <c r="AJ75" i="50161"/>
  <c r="AJ76" i="50161"/>
  <c r="AJ77" i="50161"/>
  <c r="AJ78" i="50161"/>
  <c r="AJ79" i="50161"/>
  <c r="AJ80" i="50161"/>
  <c r="AJ81" i="50161"/>
  <c r="AJ82" i="50161"/>
  <c r="F207" i="50161" s="1"/>
  <c r="AJ83" i="50161"/>
  <c r="AJ84" i="50161"/>
  <c r="AJ85" i="50161"/>
  <c r="AJ86" i="50161"/>
  <c r="AJ87" i="50161"/>
  <c r="AJ88" i="50161"/>
  <c r="AJ89" i="50161"/>
  <c r="AJ90" i="50161"/>
  <c r="F215" i="50161" s="1"/>
  <c r="AJ91" i="50161"/>
  <c r="AJ92" i="50161"/>
  <c r="AJ93" i="50161"/>
  <c r="AJ94" i="50161"/>
  <c r="AJ95" i="50161"/>
  <c r="AJ96" i="50161"/>
  <c r="AJ97" i="50161"/>
  <c r="AJ98" i="50161"/>
  <c r="F223" i="50161" s="1"/>
  <c r="AJ99" i="50161"/>
  <c r="AJ100" i="50161"/>
  <c r="AJ101" i="50161"/>
  <c r="AJ102" i="50161"/>
  <c r="AJ103" i="50161"/>
  <c r="AJ104" i="50161"/>
  <c r="AJ105" i="50161"/>
  <c r="AJ106" i="50161"/>
  <c r="AJ107" i="50161"/>
  <c r="AJ108" i="50161"/>
  <c r="AJ109" i="50161"/>
  <c r="AJ110" i="50161"/>
  <c r="AJ111" i="50161"/>
  <c r="AJ112" i="50161"/>
  <c r="AJ113" i="50161"/>
  <c r="AJ114" i="50161"/>
  <c r="AJ115" i="50161"/>
  <c r="AJ116" i="50161"/>
  <c r="AJ117" i="50161"/>
  <c r="AJ118" i="50161"/>
  <c r="AJ119" i="50161"/>
  <c r="AJ120" i="50161"/>
  <c r="AJ121" i="50161"/>
  <c r="AJ122" i="50161"/>
  <c r="AJ123" i="50161"/>
  <c r="AJ124" i="50161"/>
  <c r="AJ125" i="50161"/>
  <c r="AJ126" i="50161"/>
  <c r="AJ127" i="50161"/>
  <c r="AJ128" i="50161"/>
  <c r="AJ129" i="50161"/>
  <c r="AJ130" i="50161"/>
  <c r="AJ131" i="50161"/>
  <c r="AJ132" i="50161"/>
  <c r="AJ133" i="50161"/>
  <c r="AJ134" i="50161"/>
  <c r="AJ135" i="50161"/>
  <c r="AJ136" i="50161"/>
  <c r="AJ137" i="50161"/>
  <c r="AJ138" i="50161"/>
  <c r="AJ139" i="50161"/>
  <c r="AJ140" i="50161"/>
  <c r="AJ141" i="50161"/>
  <c r="AJ142" i="50161"/>
  <c r="AJ143" i="50161"/>
  <c r="AJ144" i="50161"/>
  <c r="AJ145" i="50161"/>
  <c r="AJ146" i="50161"/>
  <c r="AJ147" i="50161"/>
  <c r="AJ148" i="50161"/>
  <c r="AJ149" i="50161"/>
  <c r="AJ150" i="50161"/>
  <c r="AJ151" i="50161"/>
  <c r="AJ152" i="50161"/>
  <c r="AJ153" i="50161"/>
  <c r="AJ154" i="50161"/>
  <c r="AJ155" i="50161"/>
  <c r="AJ156" i="50161"/>
  <c r="AJ157" i="50161"/>
  <c r="AJ158" i="50161"/>
  <c r="AJ159" i="50161"/>
  <c r="AJ160" i="50161"/>
  <c r="AJ161" i="50161"/>
  <c r="AJ162" i="50161"/>
  <c r="L187" i="50161" s="1"/>
  <c r="AJ163" i="50161"/>
  <c r="AJ164" i="50161"/>
  <c r="AJ165" i="50161"/>
  <c r="AJ166" i="50161"/>
  <c r="AJ167" i="50161"/>
  <c r="AJ168" i="50161"/>
  <c r="AJ169" i="50161"/>
  <c r="AJ170" i="50161"/>
  <c r="L195" i="50161" s="1"/>
  <c r="AJ171" i="50161"/>
  <c r="AJ172" i="50161"/>
  <c r="AJ173" i="50161"/>
  <c r="AJ174" i="50161"/>
  <c r="AJ175" i="50161"/>
  <c r="AJ176" i="50161"/>
  <c r="AJ177" i="50161"/>
  <c r="AJ178" i="50161"/>
  <c r="L203" i="50161" s="1"/>
  <c r="AJ179" i="50161"/>
  <c r="AJ180" i="50161"/>
  <c r="AJ181" i="50161"/>
  <c r="AJ182" i="50161"/>
  <c r="AJ183" i="50161"/>
  <c r="AJ184" i="50161"/>
  <c r="AJ185" i="50161"/>
  <c r="AJ186" i="50161"/>
  <c r="L211" i="50161" s="1"/>
  <c r="AJ187" i="50161"/>
  <c r="AJ188" i="50161"/>
  <c r="AJ189" i="50161"/>
  <c r="AJ190" i="50161"/>
  <c r="AJ191" i="50161"/>
  <c r="AJ192" i="50161"/>
  <c r="AJ193" i="50161"/>
  <c r="AJ194" i="50161"/>
  <c r="L219" i="50161" s="1"/>
  <c r="AJ195" i="50161"/>
  <c r="AJ196" i="50161"/>
  <c r="AJ197" i="50161"/>
  <c r="AJ198" i="50161"/>
  <c r="AJ199" i="50161"/>
  <c r="AJ200" i="50161"/>
  <c r="AJ201" i="50161"/>
  <c r="AJ202" i="50161"/>
  <c r="L227" i="50161" s="1"/>
  <c r="AJ203" i="50161"/>
  <c r="AJ204" i="50161"/>
  <c r="AJ205" i="50161"/>
  <c r="AJ206" i="50161"/>
  <c r="AJ207" i="50161"/>
  <c r="AJ208" i="50161"/>
  <c r="AJ209" i="50161"/>
  <c r="AJ210" i="50161"/>
  <c r="O185" i="50161" s="1"/>
  <c r="AJ211" i="50161"/>
  <c r="AJ212" i="50161"/>
  <c r="AJ213" i="50161"/>
  <c r="AJ214" i="50161"/>
  <c r="AJ215" i="50161"/>
  <c r="AJ216" i="50161"/>
  <c r="AJ217" i="50161"/>
  <c r="AJ218" i="50161"/>
  <c r="O193" i="50161" s="1"/>
  <c r="AJ219" i="50161"/>
  <c r="AJ220" i="50161"/>
  <c r="AJ221" i="50161"/>
  <c r="AJ222" i="50161"/>
  <c r="AJ223" i="50161"/>
  <c r="AJ224" i="50161"/>
  <c r="AJ225" i="50161"/>
  <c r="AJ226" i="50161"/>
  <c r="O201" i="50161" s="1"/>
  <c r="AJ227" i="50161"/>
  <c r="AJ228" i="50161"/>
  <c r="AJ229" i="50161"/>
  <c r="AJ230" i="50161"/>
  <c r="AJ231" i="50161"/>
  <c r="AJ232" i="50161"/>
  <c r="AJ233" i="50161"/>
  <c r="AJ234" i="50161"/>
  <c r="AJ235" i="50161"/>
  <c r="AJ236" i="50161"/>
  <c r="AJ237" i="50161"/>
  <c r="AJ238" i="50161"/>
  <c r="AJ239" i="50161"/>
  <c r="AJ240" i="50161"/>
  <c r="AJ241" i="50161"/>
  <c r="AJ242" i="50161"/>
  <c r="AJ243" i="50161"/>
  <c r="AJ244" i="50161"/>
  <c r="AJ245" i="50161"/>
  <c r="AJ246" i="50161"/>
  <c r="AJ247" i="50161"/>
  <c r="AJ248" i="50161"/>
  <c r="AJ249" i="50161"/>
  <c r="AJ250" i="50161"/>
  <c r="O225" i="50161" s="1"/>
  <c r="AJ251" i="50161"/>
  <c r="AJ252" i="50161"/>
  <c r="AJ253" i="50161"/>
  <c r="AJ254" i="50161"/>
  <c r="AJ255" i="50161"/>
  <c r="AJ256" i="50161"/>
  <c r="AJ257" i="50161"/>
  <c r="AJ258" i="50161"/>
  <c r="AJ259" i="50161"/>
  <c r="AJ260" i="50161"/>
  <c r="AJ261" i="50161"/>
  <c r="AJ262" i="50161"/>
  <c r="AJ263" i="50161"/>
  <c r="AJ264" i="50161"/>
  <c r="AJ265" i="50161"/>
  <c r="AJ266" i="50161"/>
  <c r="AJ267" i="50161"/>
  <c r="AJ268" i="50161"/>
  <c r="AJ269" i="50161"/>
  <c r="AJ270" i="50161"/>
  <c r="AJ271" i="50161"/>
  <c r="AJ272" i="50161"/>
  <c r="AJ273" i="50161"/>
  <c r="AJ274" i="50161"/>
  <c r="AJ275" i="50161"/>
  <c r="AJ276" i="50161"/>
  <c r="AJ277" i="50161"/>
  <c r="AJ278" i="50161"/>
  <c r="AJ279" i="50161"/>
  <c r="AJ280" i="50161"/>
  <c r="AJ281" i="50161"/>
  <c r="AJ282" i="50161"/>
  <c r="AJ283" i="50161"/>
  <c r="AJ284" i="50161"/>
  <c r="AJ285" i="50161"/>
  <c r="AJ286" i="50161"/>
  <c r="AJ287" i="50161"/>
  <c r="AJ288" i="50161"/>
  <c r="AJ289" i="50161"/>
  <c r="AJ290" i="50161"/>
  <c r="AJ291" i="50161"/>
  <c r="AJ292" i="50161"/>
  <c r="AJ293" i="50161"/>
  <c r="AJ294" i="50161"/>
  <c r="AJ295" i="50161"/>
  <c r="AJ296" i="50161"/>
  <c r="AJ297" i="50161"/>
  <c r="AJ298" i="50161"/>
  <c r="AJ299" i="50161"/>
  <c r="AJ300" i="50161"/>
  <c r="AJ301" i="50161"/>
  <c r="AJ302" i="50161"/>
  <c r="AJ303" i="50161"/>
  <c r="AJ304" i="50161"/>
  <c r="AJ305" i="50161"/>
  <c r="AJ306" i="50161"/>
  <c r="U181" i="50161" s="1"/>
  <c r="AJ307" i="50161"/>
  <c r="AJ308" i="50161"/>
  <c r="AJ309" i="50161"/>
  <c r="AJ310" i="50161"/>
  <c r="U185" i="50161" s="1"/>
  <c r="AJ311" i="50161"/>
  <c r="AJ312" i="50161"/>
  <c r="AJ313" i="50161"/>
  <c r="AJ314" i="50161"/>
  <c r="U189" i="50161" s="1"/>
  <c r="AJ315" i="50161"/>
  <c r="AJ316" i="50161"/>
  <c r="AJ317" i="50161"/>
  <c r="AJ318" i="50161"/>
  <c r="U193" i="50161" s="1"/>
  <c r="AJ319" i="50161"/>
  <c r="AJ320" i="50161"/>
  <c r="AJ321" i="50161"/>
  <c r="AJ322" i="50161"/>
  <c r="U197" i="50161" s="1"/>
  <c r="AJ323" i="50161"/>
  <c r="AJ324" i="50161"/>
  <c r="AJ325" i="50161"/>
  <c r="AJ326" i="50161"/>
  <c r="U201" i="50161" s="1"/>
  <c r="AJ327" i="50161"/>
  <c r="AJ328" i="50161"/>
  <c r="AJ329" i="50161"/>
  <c r="AJ330" i="50161"/>
  <c r="U205" i="50161" s="1"/>
  <c r="AJ331" i="50161"/>
  <c r="AJ332" i="50161"/>
  <c r="AJ333" i="50161"/>
  <c r="AJ334" i="50161"/>
  <c r="U209" i="50161" s="1"/>
  <c r="AJ335" i="50161"/>
  <c r="AJ336" i="50161"/>
  <c r="AJ337" i="50161"/>
  <c r="AJ338" i="50161"/>
  <c r="U213" i="50161" s="1"/>
  <c r="AJ339" i="50161"/>
  <c r="AJ340" i="50161"/>
  <c r="AJ341" i="50161"/>
  <c r="AJ342" i="50161"/>
  <c r="U217" i="50161" s="1"/>
  <c r="AJ343" i="50161"/>
  <c r="AJ344" i="50161"/>
  <c r="AJ345" i="50161"/>
  <c r="AJ346" i="50161"/>
  <c r="U221" i="50161" s="1"/>
  <c r="AJ347" i="50161"/>
  <c r="AJ348" i="50161"/>
  <c r="AJ349" i="50161"/>
  <c r="AJ350" i="50161"/>
  <c r="U225" i="50161" s="1"/>
  <c r="AJ351" i="50161"/>
  <c r="AJ352" i="50161"/>
  <c r="AJ353" i="50161"/>
  <c r="AJ354" i="50161"/>
  <c r="U229" i="50161" s="1"/>
  <c r="AJ355" i="50161"/>
  <c r="AJ356" i="50161"/>
  <c r="AJ357" i="50161"/>
  <c r="AJ358" i="50161"/>
  <c r="X183" i="50161" s="1"/>
  <c r="AJ359" i="50161"/>
  <c r="AJ360" i="50161"/>
  <c r="AJ361" i="50161"/>
  <c r="AJ362" i="50161"/>
  <c r="X187" i="50161" s="1"/>
  <c r="AJ363" i="50161"/>
  <c r="AJ364" i="50161"/>
  <c r="AJ365" i="50161"/>
  <c r="AJ366" i="50161"/>
  <c r="X191" i="50161" s="1"/>
  <c r="AJ367" i="50161"/>
  <c r="AJ368" i="50161"/>
  <c r="AJ369" i="50161"/>
  <c r="AJ370" i="50161"/>
  <c r="X195" i="50161" s="1"/>
  <c r="AJ371" i="50161"/>
  <c r="AJ372" i="50161"/>
  <c r="AJ373" i="50161"/>
  <c r="AJ374" i="50161"/>
  <c r="X199" i="50161" s="1"/>
  <c r="AJ375" i="50161"/>
  <c r="AJ376" i="50161"/>
  <c r="AJ377" i="50161"/>
  <c r="AJ378" i="50161"/>
  <c r="X203" i="50161" s="1"/>
  <c r="AJ379" i="50161"/>
  <c r="AJ380" i="50161"/>
  <c r="AJ381" i="50161"/>
  <c r="AJ382" i="50161"/>
  <c r="X207" i="50161" s="1"/>
  <c r="AJ383" i="50161"/>
  <c r="AJ384" i="50161"/>
  <c r="AJ385" i="50161"/>
  <c r="AJ386" i="50161"/>
  <c r="X211" i="50161" s="1"/>
  <c r="AJ387" i="50161"/>
  <c r="AJ388" i="50161"/>
  <c r="AJ389" i="50161"/>
  <c r="AJ390" i="50161"/>
  <c r="X215" i="50161" s="1"/>
  <c r="AJ391" i="50161"/>
  <c r="AJ392" i="50161"/>
  <c r="AJ393" i="50161"/>
  <c r="AJ394" i="50161"/>
  <c r="X219" i="50161" s="1"/>
  <c r="AJ395" i="50161"/>
  <c r="AJ396" i="50161"/>
  <c r="AJ397" i="50161"/>
  <c r="AJ398" i="50161"/>
  <c r="X223" i="50161" s="1"/>
  <c r="AJ399" i="50161"/>
  <c r="AJ400" i="50161"/>
  <c r="AJ401" i="50161"/>
  <c r="AJ402" i="50161"/>
  <c r="X227" i="50161" s="1"/>
  <c r="AJ403" i="50161"/>
  <c r="AJ404" i="50161"/>
  <c r="AH411" i="50161"/>
  <c r="AI411" i="50161"/>
  <c r="AJ411" i="50161"/>
  <c r="AK411" i="50161"/>
  <c r="AL411" i="50161"/>
  <c r="AM411" i="50161"/>
  <c r="AN411" i="50161"/>
  <c r="AO411" i="50161"/>
  <c r="AP411" i="50161"/>
  <c r="AQ411" i="50161"/>
  <c r="AR411" i="50161"/>
  <c r="AS411" i="50161"/>
  <c r="AT411" i="50161"/>
  <c r="AU411" i="50161"/>
  <c r="AV411" i="50161"/>
  <c r="AW411" i="50161"/>
  <c r="AX411" i="50161"/>
  <c r="AY411" i="50161"/>
  <c r="AZ411" i="50161"/>
  <c r="BA411" i="50161"/>
  <c r="BB411" i="50161"/>
  <c r="AF413" i="50161"/>
  <c r="AG413" i="50161"/>
  <c r="AH413" i="50161"/>
  <c r="AI413" i="50161"/>
  <c r="AJ413" i="50161"/>
  <c r="AK413" i="50161"/>
  <c r="AL413" i="50161"/>
  <c r="AM413" i="50161"/>
  <c r="AN413" i="50161"/>
  <c r="AO413" i="50161"/>
  <c r="AP413" i="50161"/>
  <c r="AQ413" i="50161"/>
  <c r="AR413" i="50161"/>
  <c r="AS413" i="50161"/>
  <c r="AT413" i="50161"/>
  <c r="AU413" i="50161"/>
  <c r="AV413" i="50161"/>
  <c r="AW413" i="50161"/>
  <c r="AX413" i="50161"/>
  <c r="AY413" i="50161"/>
  <c r="AZ413" i="50161"/>
  <c r="BA413" i="50161"/>
  <c r="BB413" i="50161"/>
  <c r="AH410" i="50161"/>
  <c r="AI410" i="50161"/>
  <c r="AJ410" i="50161"/>
  <c r="AK410" i="50161"/>
  <c r="AL410" i="50161"/>
  <c r="AM410" i="50161"/>
  <c r="AN410" i="50161"/>
  <c r="AO410" i="50161"/>
  <c r="AP410" i="50161"/>
  <c r="AQ410" i="50161"/>
  <c r="AR410" i="50161"/>
  <c r="AS410" i="50161"/>
  <c r="AT410" i="50161"/>
  <c r="AU410" i="50161"/>
  <c r="AV410" i="50161"/>
  <c r="AW410" i="50161"/>
  <c r="AX410" i="50161"/>
  <c r="AY410" i="50161"/>
  <c r="AZ410" i="50161"/>
  <c r="BA410" i="50161"/>
  <c r="BB410" i="50161"/>
  <c r="AF412" i="50161"/>
  <c r="AG412" i="50161"/>
  <c r="AH412" i="50161"/>
  <c r="AI412" i="50161"/>
  <c r="AJ412" i="50161"/>
  <c r="AK412" i="50161"/>
  <c r="AL412" i="50161"/>
  <c r="AM412" i="50161"/>
  <c r="AN412" i="50161"/>
  <c r="AO412" i="50161"/>
  <c r="AP412" i="50161"/>
  <c r="AQ412" i="50161"/>
  <c r="AR412" i="50161"/>
  <c r="AS412" i="50161"/>
  <c r="AT412" i="50161"/>
  <c r="AU412" i="50161"/>
  <c r="AV412" i="50161"/>
  <c r="AW412" i="50161"/>
  <c r="AX412" i="50161"/>
  <c r="AY412" i="50161"/>
  <c r="AZ412" i="50161"/>
  <c r="BA412" i="50161"/>
  <c r="BB412" i="50161"/>
  <c r="AF418" i="50161"/>
  <c r="AF45" i="50161"/>
  <c r="AF46" i="50161"/>
  <c r="AF47" i="50161"/>
  <c r="AF48" i="50161"/>
  <c r="AF49" i="50161"/>
  <c r="AF50" i="50161"/>
  <c r="AF51" i="50161"/>
  <c r="AF52" i="50161"/>
  <c r="AF53" i="50161"/>
  <c r="AF54" i="50161"/>
  <c r="AF55" i="50161"/>
  <c r="AF56" i="50161"/>
  <c r="AF57" i="50161"/>
  <c r="AF58" i="50161"/>
  <c r="AF59" i="50161"/>
  <c r="AF60" i="50161"/>
  <c r="AF61" i="50161"/>
  <c r="AF62" i="50161"/>
  <c r="AF63" i="50161"/>
  <c r="AF64" i="50161"/>
  <c r="AF65" i="50161"/>
  <c r="AF66" i="50161"/>
  <c r="AF67" i="50161"/>
  <c r="AF68" i="50161"/>
  <c r="AF69" i="50161"/>
  <c r="AF70" i="50161"/>
  <c r="AF71" i="50161"/>
  <c r="AF72" i="50161"/>
  <c r="AF73" i="50161"/>
  <c r="AF74" i="50161"/>
  <c r="AF75" i="50161"/>
  <c r="AF76" i="50161"/>
  <c r="AF77" i="50161"/>
  <c r="AF78" i="50161"/>
  <c r="AF79" i="50161"/>
  <c r="AF80" i="50161"/>
  <c r="AF81" i="50161"/>
  <c r="AF82" i="50161"/>
  <c r="AF83" i="50161"/>
  <c r="AF84" i="50161"/>
  <c r="AF85" i="50161"/>
  <c r="AF86" i="50161"/>
  <c r="AF87" i="50161"/>
  <c r="AF88" i="50161"/>
  <c r="AF89" i="50161"/>
  <c r="AF90" i="50161"/>
  <c r="AF91" i="50161"/>
  <c r="AF92" i="50161"/>
  <c r="AF93" i="50161"/>
  <c r="AF94" i="50161"/>
  <c r="AF95" i="50161"/>
  <c r="AF96" i="50161"/>
  <c r="AF97" i="50161"/>
  <c r="AF98" i="50161"/>
  <c r="AF99" i="50161"/>
  <c r="AF100" i="50161"/>
  <c r="AF101" i="50161"/>
  <c r="AF102" i="50161"/>
  <c r="AF103" i="50161"/>
  <c r="AF104" i="50161"/>
  <c r="AF105" i="50161"/>
  <c r="AF106" i="50161"/>
  <c r="AF107" i="50161"/>
  <c r="AF108" i="50161"/>
  <c r="AF109" i="50161"/>
  <c r="AF110" i="50161"/>
  <c r="AF111" i="50161"/>
  <c r="AF112" i="50161"/>
  <c r="AF113" i="50161"/>
  <c r="AF114" i="50161"/>
  <c r="AF115" i="50161"/>
  <c r="AF116" i="50161"/>
  <c r="AF117" i="50161"/>
  <c r="AF118" i="50161"/>
  <c r="AF119" i="50161"/>
  <c r="AF120" i="50161"/>
  <c r="AF121" i="50161"/>
  <c r="AF122" i="50161"/>
  <c r="AF123" i="50161"/>
  <c r="AF124" i="50161"/>
  <c r="AF125" i="50161"/>
  <c r="AF126" i="50161"/>
  <c r="AF127" i="50161"/>
  <c r="AF128" i="50161"/>
  <c r="AF129" i="50161"/>
  <c r="AF130" i="50161"/>
  <c r="AF131" i="50161"/>
  <c r="AF132" i="50161"/>
  <c r="AF133" i="50161"/>
  <c r="AF134" i="50161"/>
  <c r="AF135" i="50161"/>
  <c r="AF136" i="50161"/>
  <c r="AF137" i="50161"/>
  <c r="AF138" i="50161"/>
  <c r="AF139" i="50161"/>
  <c r="AF140" i="50161"/>
  <c r="AF141" i="50161"/>
  <c r="AF142" i="50161"/>
  <c r="AF143" i="50161"/>
  <c r="AF144" i="50161"/>
  <c r="AF145" i="50161"/>
  <c r="AF146" i="50161"/>
  <c r="AF147" i="50161"/>
  <c r="AF148" i="50161"/>
  <c r="AF149" i="50161"/>
  <c r="AF150" i="50161"/>
  <c r="AF151" i="50161"/>
  <c r="AF152" i="50161"/>
  <c r="AF153" i="50161"/>
  <c r="AF154" i="50161"/>
  <c r="AF155" i="50161"/>
  <c r="AF156" i="50161"/>
  <c r="AF157" i="50161"/>
  <c r="AF158" i="50161"/>
  <c r="AF159" i="50161"/>
  <c r="AF160" i="50161"/>
  <c r="AF161" i="50161"/>
  <c r="AF162" i="50161"/>
  <c r="AF163" i="50161"/>
  <c r="AF164" i="50161"/>
  <c r="AF165" i="50161"/>
  <c r="AF166" i="50161"/>
  <c r="AF167" i="50161"/>
  <c r="AF168" i="50161"/>
  <c r="AF169" i="50161"/>
  <c r="AF170" i="50161"/>
  <c r="AF171" i="50161"/>
  <c r="AF172" i="50161"/>
  <c r="AF173" i="50161"/>
  <c r="AF174" i="50161"/>
  <c r="AF175" i="50161"/>
  <c r="AF176" i="50161"/>
  <c r="AF177" i="50161"/>
  <c r="AF178" i="50161"/>
  <c r="AF179" i="50161"/>
  <c r="AF180" i="50161"/>
  <c r="AF181" i="50161"/>
  <c r="AF182" i="50161"/>
  <c r="AF183" i="50161"/>
  <c r="AF184" i="50161"/>
  <c r="AF185" i="50161"/>
  <c r="AF186" i="50161"/>
  <c r="AF187" i="50161"/>
  <c r="AF188" i="50161"/>
  <c r="AF189" i="50161"/>
  <c r="AF190" i="50161"/>
  <c r="AF191" i="50161"/>
  <c r="AF192" i="50161"/>
  <c r="AF193" i="50161"/>
  <c r="AF194" i="50161"/>
  <c r="AF195" i="50161"/>
  <c r="AF196" i="50161"/>
  <c r="AF197" i="50161"/>
  <c r="AF198" i="50161"/>
  <c r="AF199" i="50161"/>
  <c r="AF200" i="50161"/>
  <c r="AF201" i="50161"/>
  <c r="AF202" i="50161"/>
  <c r="AF203" i="50161"/>
  <c r="AF204" i="50161"/>
  <c r="AF205" i="50161"/>
  <c r="AF206" i="50161"/>
  <c r="AF207" i="50161"/>
  <c r="AF208" i="50161"/>
  <c r="AF209" i="50161"/>
  <c r="AF210" i="50161"/>
  <c r="AF211" i="50161"/>
  <c r="AF212" i="50161"/>
  <c r="AF213" i="50161"/>
  <c r="AF214" i="50161"/>
  <c r="AF215" i="50161"/>
  <c r="AF216" i="50161"/>
  <c r="AF217" i="50161"/>
  <c r="AF218" i="50161"/>
  <c r="AF219" i="50161"/>
  <c r="AF220" i="50161"/>
  <c r="AF221" i="50161"/>
  <c r="AF222" i="50161"/>
  <c r="AF223" i="50161"/>
  <c r="AF224" i="50161"/>
  <c r="AF225" i="50161"/>
  <c r="AF226" i="50161"/>
  <c r="AF227" i="50161"/>
  <c r="AF228" i="50161"/>
  <c r="AF229" i="50161"/>
  <c r="AF230" i="50161"/>
  <c r="AF231" i="50161"/>
  <c r="AF232" i="50161"/>
  <c r="AF233" i="50161"/>
  <c r="AF234" i="50161"/>
  <c r="AF235" i="50161"/>
  <c r="AF236" i="50161"/>
  <c r="AF237" i="50161"/>
  <c r="AF238" i="50161"/>
  <c r="AF239" i="50161"/>
  <c r="AF240" i="50161"/>
  <c r="AF241" i="50161"/>
  <c r="AF242" i="50161"/>
  <c r="AF243" i="50161"/>
  <c r="AF244" i="50161"/>
  <c r="AF245" i="50161"/>
  <c r="AF246" i="50161"/>
  <c r="AF247" i="50161"/>
  <c r="AF248" i="50161"/>
  <c r="AF249" i="50161"/>
  <c r="AF250" i="50161"/>
  <c r="AF251" i="50161"/>
  <c r="AF252" i="50161"/>
  <c r="AF253" i="50161"/>
  <c r="AF254" i="50161"/>
  <c r="AF255" i="50161"/>
  <c r="AF256" i="50161"/>
  <c r="AF257" i="50161"/>
  <c r="AF258" i="50161"/>
  <c r="AF259" i="50161"/>
  <c r="AF260" i="50161"/>
  <c r="AF261" i="50161"/>
  <c r="AF262" i="50161"/>
  <c r="AF263" i="50161"/>
  <c r="AF264" i="50161"/>
  <c r="AF265" i="50161"/>
  <c r="AF266" i="50161"/>
  <c r="AF267" i="50161"/>
  <c r="AF268" i="50161"/>
  <c r="AF269" i="50161"/>
  <c r="AF270" i="50161"/>
  <c r="AF271" i="50161"/>
  <c r="AF272" i="50161"/>
  <c r="AF273" i="50161"/>
  <c r="AF274" i="50161"/>
  <c r="AF275" i="50161"/>
  <c r="AF276" i="50161"/>
  <c r="AF277" i="50161"/>
  <c r="AF278" i="50161"/>
  <c r="AF279" i="50161"/>
  <c r="AF280" i="50161"/>
  <c r="AF281" i="50161"/>
  <c r="AF282" i="50161"/>
  <c r="AF283" i="50161"/>
  <c r="AF284" i="50161"/>
  <c r="AF285" i="50161"/>
  <c r="AF286" i="50161"/>
  <c r="AF287" i="50161"/>
  <c r="AF288" i="50161"/>
  <c r="AF289" i="50161"/>
  <c r="AF290" i="50161"/>
  <c r="AF291" i="50161"/>
  <c r="AF292" i="50161"/>
  <c r="AF293" i="50161"/>
  <c r="AF294" i="50161"/>
  <c r="AF295" i="50161"/>
  <c r="AF296" i="50161"/>
  <c r="AF297" i="50161"/>
  <c r="AF298" i="50161"/>
  <c r="AF299" i="50161"/>
  <c r="AF300" i="50161"/>
  <c r="AF301" i="50161"/>
  <c r="AF302" i="50161"/>
  <c r="AF303" i="50161"/>
  <c r="AF304" i="50161"/>
  <c r="AF305" i="50161"/>
  <c r="AF306" i="50161"/>
  <c r="AF307" i="50161"/>
  <c r="AF308" i="50161"/>
  <c r="AF309" i="50161"/>
  <c r="AF310" i="50161"/>
  <c r="AF311" i="50161"/>
  <c r="AF312" i="50161"/>
  <c r="AF313" i="50161"/>
  <c r="AF314" i="50161"/>
  <c r="AF315" i="50161"/>
  <c r="AF316" i="50161"/>
  <c r="AF317" i="50161"/>
  <c r="AF318" i="50161"/>
  <c r="AF319" i="50161"/>
  <c r="AF320" i="50161"/>
  <c r="AF321" i="50161"/>
  <c r="AF322" i="50161"/>
  <c r="AF323" i="50161"/>
  <c r="AF324" i="50161"/>
  <c r="AF325" i="50161"/>
  <c r="AF326" i="50161"/>
  <c r="AF327" i="50161"/>
  <c r="AF328" i="50161"/>
  <c r="AF329" i="50161"/>
  <c r="AF330" i="50161"/>
  <c r="AF331" i="50161"/>
  <c r="AF332" i="50161"/>
  <c r="AF333" i="50161"/>
  <c r="AF334" i="50161"/>
  <c r="AF335" i="50161"/>
  <c r="AF336" i="50161"/>
  <c r="AF337" i="50161"/>
  <c r="AF338" i="50161"/>
  <c r="AF339" i="50161"/>
  <c r="AF340" i="50161"/>
  <c r="AF341" i="50161"/>
  <c r="AF342" i="50161"/>
  <c r="AF343" i="50161"/>
  <c r="AF344" i="50161"/>
  <c r="AF345" i="50161"/>
  <c r="AF346" i="50161"/>
  <c r="AF347" i="50161"/>
  <c r="AF348" i="50161"/>
  <c r="AF349" i="50161"/>
  <c r="AF350" i="50161"/>
  <c r="AF351" i="50161"/>
  <c r="AF352" i="50161"/>
  <c r="AF353" i="50161"/>
  <c r="AF354" i="50161"/>
  <c r="AF355" i="50161"/>
  <c r="AF356" i="50161"/>
  <c r="AF357" i="50161"/>
  <c r="AF358" i="50161"/>
  <c r="AF359" i="50161"/>
  <c r="AF360" i="50161"/>
  <c r="AF361" i="50161"/>
  <c r="AF362" i="50161"/>
  <c r="AF363" i="50161"/>
  <c r="AF364" i="50161"/>
  <c r="AF365" i="50161"/>
  <c r="AF366" i="50161"/>
  <c r="AF367" i="50161"/>
  <c r="AF368" i="50161"/>
  <c r="AF369" i="50161"/>
  <c r="AF370" i="50161"/>
  <c r="AF371" i="50161"/>
  <c r="AF372" i="50161"/>
  <c r="AF373" i="50161"/>
  <c r="AF374" i="50161"/>
  <c r="AF375" i="50161"/>
  <c r="AF376" i="50161"/>
  <c r="AF377" i="50161"/>
  <c r="AF378" i="50161"/>
  <c r="AF379" i="50161"/>
  <c r="AF380" i="50161"/>
  <c r="AF381" i="50161"/>
  <c r="AF382" i="50161"/>
  <c r="AF383" i="50161"/>
  <c r="AF384" i="50161"/>
  <c r="AF385" i="50161"/>
  <c r="AF386" i="50161"/>
  <c r="AF387" i="50161"/>
  <c r="AF388" i="50161"/>
  <c r="AF389" i="50161"/>
  <c r="AF390" i="50161"/>
  <c r="AF391" i="50161"/>
  <c r="AF392" i="50161"/>
  <c r="AF393" i="50161"/>
  <c r="AF394" i="50161"/>
  <c r="AF395" i="50161"/>
  <c r="AF396" i="50161"/>
  <c r="AF397" i="50161"/>
  <c r="AF398" i="50161"/>
  <c r="AF399" i="50161"/>
  <c r="AF400" i="50161"/>
  <c r="AF401" i="50161"/>
  <c r="AF402" i="50161"/>
  <c r="AF403" i="50161"/>
  <c r="AF404" i="50161"/>
  <c r="AI45" i="50161"/>
  <c r="AI46" i="50161"/>
  <c r="AI47" i="50161"/>
  <c r="AI48" i="50161"/>
  <c r="AI49" i="50161"/>
  <c r="B224" i="50161" s="1"/>
  <c r="AI50" i="50161"/>
  <c r="AI51" i="50161"/>
  <c r="AI52" i="50161"/>
  <c r="AI53" i="50161"/>
  <c r="AI54" i="50161"/>
  <c r="AI55" i="50161"/>
  <c r="AI56" i="50161"/>
  <c r="AI57" i="50161"/>
  <c r="AI58" i="50161"/>
  <c r="AI59" i="50161"/>
  <c r="AI60" i="50161"/>
  <c r="AI61" i="50161"/>
  <c r="AI62" i="50161"/>
  <c r="AI63" i="50161"/>
  <c r="AI64" i="50161"/>
  <c r="AI65" i="50161"/>
  <c r="AI66" i="50161"/>
  <c r="AI67" i="50161"/>
  <c r="AI68" i="50161"/>
  <c r="AI69" i="50161"/>
  <c r="AI70" i="50161"/>
  <c r="AI71" i="50161"/>
  <c r="AI72" i="50161"/>
  <c r="AI73" i="50161"/>
  <c r="AI74" i="50161"/>
  <c r="AI75" i="50161"/>
  <c r="AI76" i="50161"/>
  <c r="AI77" i="50161"/>
  <c r="AI78" i="50161"/>
  <c r="AI79" i="50161"/>
  <c r="AI80" i="50161"/>
  <c r="AI81" i="50161"/>
  <c r="AI82" i="50161"/>
  <c r="AI83" i="50161"/>
  <c r="AI84" i="50161"/>
  <c r="AI85" i="50161"/>
  <c r="AI86" i="50161"/>
  <c r="AI87" i="50161"/>
  <c r="AI88" i="50161"/>
  <c r="AI89" i="50161"/>
  <c r="AI90" i="50161"/>
  <c r="AI91" i="50161"/>
  <c r="AI92" i="50161"/>
  <c r="AI93" i="50161"/>
  <c r="AI94" i="50161"/>
  <c r="AI95" i="50161"/>
  <c r="AI96" i="50161"/>
  <c r="AI97" i="50161"/>
  <c r="E222" i="50161" s="1"/>
  <c r="AI98" i="50161"/>
  <c r="AI99" i="50161"/>
  <c r="AI100" i="50161"/>
  <c r="AI101" i="50161"/>
  <c r="AI102" i="50161"/>
  <c r="AI103" i="50161"/>
  <c r="AI104" i="50161"/>
  <c r="AI105" i="50161"/>
  <c r="AI106" i="50161"/>
  <c r="AI107" i="50161"/>
  <c r="AI108" i="50161"/>
  <c r="AI109" i="50161"/>
  <c r="AI110" i="50161"/>
  <c r="AI111" i="50161"/>
  <c r="AI112" i="50161"/>
  <c r="AI113" i="50161"/>
  <c r="AI114" i="50161"/>
  <c r="AI115" i="50161"/>
  <c r="AI116" i="50161"/>
  <c r="AI117" i="50161"/>
  <c r="AI118" i="50161"/>
  <c r="AI119" i="50161"/>
  <c r="AI120" i="50161"/>
  <c r="AI121" i="50161"/>
  <c r="AI122" i="50161"/>
  <c r="AI123" i="50161"/>
  <c r="AI124" i="50161"/>
  <c r="AI125" i="50161"/>
  <c r="AI126" i="50161"/>
  <c r="AI127" i="50161"/>
  <c r="AI128" i="50161"/>
  <c r="AI129" i="50161"/>
  <c r="AI130" i="50161"/>
  <c r="AI131" i="50161"/>
  <c r="AI132" i="50161"/>
  <c r="AI133" i="50161"/>
  <c r="AI134" i="50161"/>
  <c r="AI135" i="50161"/>
  <c r="AI136" i="50161"/>
  <c r="AI137" i="50161"/>
  <c r="AI138" i="50161"/>
  <c r="AI139" i="50161"/>
  <c r="AI140" i="50161"/>
  <c r="AI141" i="50161"/>
  <c r="AI142" i="50161"/>
  <c r="AI143" i="50161"/>
  <c r="AI144" i="50161"/>
  <c r="AI145" i="50161"/>
  <c r="AI146" i="50161"/>
  <c r="AI147" i="50161"/>
  <c r="AI148" i="50161"/>
  <c r="AI149" i="50161"/>
  <c r="AI150" i="50161"/>
  <c r="AI151" i="50161"/>
  <c r="AI152" i="50161"/>
  <c r="AI153" i="50161"/>
  <c r="AI154" i="50161"/>
  <c r="AI155" i="50161"/>
  <c r="AI156" i="50161"/>
  <c r="AI157" i="50161"/>
  <c r="AI158" i="50161"/>
  <c r="AI159" i="50161"/>
  <c r="AI160" i="50161"/>
  <c r="AI161" i="50161"/>
  <c r="K186" i="50161" s="1"/>
  <c r="AI162" i="50161"/>
  <c r="AI163" i="50161"/>
  <c r="AI164" i="50161"/>
  <c r="AI165" i="50161"/>
  <c r="AI166" i="50161"/>
  <c r="AI167" i="50161"/>
  <c r="AI168" i="50161"/>
  <c r="AI169" i="50161"/>
  <c r="K194" i="50161" s="1"/>
  <c r="AI170" i="50161"/>
  <c r="AI171" i="50161"/>
  <c r="AI172" i="50161"/>
  <c r="AI173" i="50161"/>
  <c r="AI174" i="50161"/>
  <c r="AI175" i="50161"/>
  <c r="AI176" i="50161"/>
  <c r="AI177" i="50161"/>
  <c r="K202" i="50161" s="1"/>
  <c r="AI178" i="50161"/>
  <c r="AI179" i="50161"/>
  <c r="AI180" i="50161"/>
  <c r="AI181" i="50161"/>
  <c r="AI182" i="50161"/>
  <c r="AI183" i="50161"/>
  <c r="AI184" i="50161"/>
  <c r="AI185" i="50161"/>
  <c r="K210" i="50161" s="1"/>
  <c r="AI186" i="50161"/>
  <c r="AI187" i="50161"/>
  <c r="AI188" i="50161"/>
  <c r="AI189" i="50161"/>
  <c r="AI190" i="50161"/>
  <c r="AI191" i="50161"/>
  <c r="AI192" i="50161"/>
  <c r="AI193" i="50161"/>
  <c r="K218" i="50161" s="1"/>
  <c r="AI194" i="50161"/>
  <c r="AI195" i="50161"/>
  <c r="AI196" i="50161"/>
  <c r="AI197" i="50161"/>
  <c r="AI198" i="50161"/>
  <c r="AI199" i="50161"/>
  <c r="AI200" i="50161"/>
  <c r="AI201" i="50161"/>
  <c r="K226" i="50161" s="1"/>
  <c r="AI202" i="50161"/>
  <c r="AI203" i="50161"/>
  <c r="AI204" i="50161"/>
  <c r="AI205" i="50161"/>
  <c r="AI206" i="50161"/>
  <c r="AI207" i="50161"/>
  <c r="AI208" i="50161"/>
  <c r="AI209" i="50161"/>
  <c r="N184" i="50161" s="1"/>
  <c r="AI210" i="50161"/>
  <c r="AI211" i="50161"/>
  <c r="AI212" i="50161"/>
  <c r="AI213" i="50161"/>
  <c r="AI214" i="50161"/>
  <c r="AI215" i="50161"/>
  <c r="AI216" i="50161"/>
  <c r="AI217" i="50161"/>
  <c r="N192" i="50161" s="1"/>
  <c r="AI218" i="50161"/>
  <c r="AI219" i="50161"/>
  <c r="AI220" i="50161"/>
  <c r="AI221" i="50161"/>
  <c r="AI222" i="50161"/>
  <c r="AI223" i="50161"/>
  <c r="AI224" i="50161"/>
  <c r="AI225" i="50161"/>
  <c r="N200" i="50161" s="1"/>
  <c r="AI226" i="50161"/>
  <c r="AI227" i="50161"/>
  <c r="AI228" i="50161"/>
  <c r="AI229" i="50161"/>
  <c r="AI230" i="50161"/>
  <c r="AI231" i="50161"/>
  <c r="AI232" i="50161"/>
  <c r="AI233" i="50161"/>
  <c r="N208" i="50161" s="1"/>
  <c r="AI234" i="50161"/>
  <c r="AI235" i="50161"/>
  <c r="AI236" i="50161"/>
  <c r="AI237" i="50161"/>
  <c r="AI238" i="50161"/>
  <c r="AI239" i="50161"/>
  <c r="AI240" i="50161"/>
  <c r="AI241" i="50161"/>
  <c r="N216" i="50161" s="1"/>
  <c r="AI242" i="50161"/>
  <c r="AI243" i="50161"/>
  <c r="AI244" i="50161"/>
  <c r="AI245" i="50161"/>
  <c r="AI246" i="50161"/>
  <c r="AI247" i="50161"/>
  <c r="AI248" i="50161"/>
  <c r="AI249" i="50161"/>
  <c r="AI250" i="50161"/>
  <c r="AI251" i="50161"/>
  <c r="AI252" i="50161"/>
  <c r="AI253" i="50161"/>
  <c r="AI254" i="50161"/>
  <c r="AI255" i="50161"/>
  <c r="AI256" i="50161"/>
  <c r="AI257" i="50161"/>
  <c r="Q182" i="50161" s="1"/>
  <c r="AI258" i="50161"/>
  <c r="AI259" i="50161"/>
  <c r="AI260" i="50161"/>
  <c r="AI261" i="50161"/>
  <c r="AI262" i="50161"/>
  <c r="AI263" i="50161"/>
  <c r="AI264" i="50161"/>
  <c r="AI265" i="50161"/>
  <c r="Q190" i="50161" s="1"/>
  <c r="AI266" i="50161"/>
  <c r="AI267" i="50161"/>
  <c r="AI268" i="50161"/>
  <c r="AI269" i="50161"/>
  <c r="AI270" i="50161"/>
  <c r="AI271" i="50161"/>
  <c r="AI272" i="50161"/>
  <c r="AI273" i="50161"/>
  <c r="Q198" i="50161" s="1"/>
  <c r="AI274" i="50161"/>
  <c r="AI275" i="50161"/>
  <c r="AI276" i="50161"/>
  <c r="AI277" i="50161"/>
  <c r="AI278" i="50161"/>
  <c r="AI279" i="50161"/>
  <c r="AI280" i="50161"/>
  <c r="AI281" i="50161"/>
  <c r="Q206" i="50161" s="1"/>
  <c r="AI282" i="50161"/>
  <c r="AI283" i="50161"/>
  <c r="AI284" i="50161"/>
  <c r="AI285" i="50161"/>
  <c r="AI286" i="50161"/>
  <c r="AI287" i="50161"/>
  <c r="AI288" i="50161"/>
  <c r="AI289" i="50161"/>
  <c r="Q214" i="50161" s="1"/>
  <c r="AI290" i="50161"/>
  <c r="AI291" i="50161"/>
  <c r="AI292" i="50161"/>
  <c r="AI293" i="50161"/>
  <c r="AI294" i="50161"/>
  <c r="AI295" i="50161"/>
  <c r="AI296" i="50161"/>
  <c r="AI297" i="50161"/>
  <c r="Q222" i="50161" s="1"/>
  <c r="AI298" i="50161"/>
  <c r="AI299" i="50161"/>
  <c r="AI300" i="50161"/>
  <c r="AI301" i="50161"/>
  <c r="AI302" i="50161"/>
  <c r="AI303" i="50161"/>
  <c r="AI304" i="50161"/>
  <c r="AI305" i="50161"/>
  <c r="T180" i="50161" s="1"/>
  <c r="AI306" i="50161"/>
  <c r="AI307" i="50161"/>
  <c r="AI308" i="50161"/>
  <c r="AI309" i="50161"/>
  <c r="AI310" i="50161"/>
  <c r="AI311" i="50161"/>
  <c r="AI312" i="50161"/>
  <c r="AI313" i="50161"/>
  <c r="T188" i="50161" s="1"/>
  <c r="AI314" i="50161"/>
  <c r="AI315" i="50161"/>
  <c r="AI316" i="50161"/>
  <c r="AI317" i="50161"/>
  <c r="AI318" i="50161"/>
  <c r="AI319" i="50161"/>
  <c r="AI320" i="50161"/>
  <c r="AI321" i="50161"/>
  <c r="T196" i="50161" s="1"/>
  <c r="AI322" i="50161"/>
  <c r="AI323" i="50161"/>
  <c r="AI324" i="50161"/>
  <c r="AI325" i="50161"/>
  <c r="AI326" i="50161"/>
  <c r="AI327" i="50161"/>
  <c r="AI328" i="50161"/>
  <c r="AI329" i="50161"/>
  <c r="T204" i="50161" s="1"/>
  <c r="AI330" i="50161"/>
  <c r="AI331" i="50161"/>
  <c r="AI332" i="50161"/>
  <c r="AI333" i="50161"/>
  <c r="AI334" i="50161"/>
  <c r="AI335" i="50161"/>
  <c r="AI336" i="50161"/>
  <c r="AI337" i="50161"/>
  <c r="T212" i="50161" s="1"/>
  <c r="AI338" i="50161"/>
  <c r="AI339" i="50161"/>
  <c r="AI340" i="50161"/>
  <c r="AI341" i="50161"/>
  <c r="AI342" i="50161"/>
  <c r="AI343" i="50161"/>
  <c r="AI344" i="50161"/>
  <c r="AI345" i="50161"/>
  <c r="T220" i="50161" s="1"/>
  <c r="AI346" i="50161"/>
  <c r="AI347" i="50161"/>
  <c r="AI348" i="50161"/>
  <c r="AI349" i="50161"/>
  <c r="AI350" i="50161"/>
  <c r="AI351" i="50161"/>
  <c r="AI352" i="50161"/>
  <c r="AI353" i="50161"/>
  <c r="T228" i="50161" s="1"/>
  <c r="AI354" i="50161"/>
  <c r="AI355" i="50161"/>
  <c r="AI356" i="50161"/>
  <c r="AI357" i="50161"/>
  <c r="AI358" i="50161"/>
  <c r="AI359" i="50161"/>
  <c r="AI360" i="50161"/>
  <c r="AI361" i="50161"/>
  <c r="W186" i="50161" s="1"/>
  <c r="AI362" i="50161"/>
  <c r="AI363" i="50161"/>
  <c r="AI364" i="50161"/>
  <c r="AI365" i="50161"/>
  <c r="AI366" i="50161"/>
  <c r="AI367" i="50161"/>
  <c r="AI368" i="50161"/>
  <c r="AI369" i="50161"/>
  <c r="W194" i="50161" s="1"/>
  <c r="AI370" i="50161"/>
  <c r="AI371" i="50161"/>
  <c r="AI372" i="50161"/>
  <c r="AI373" i="50161"/>
  <c r="AI374" i="50161"/>
  <c r="AI375" i="50161"/>
  <c r="AI376" i="50161"/>
  <c r="AI377" i="50161"/>
  <c r="W202" i="50161" s="1"/>
  <c r="AI378" i="50161"/>
  <c r="AI379" i="50161"/>
  <c r="AI380" i="50161"/>
  <c r="AI381" i="50161"/>
  <c r="AI382" i="50161"/>
  <c r="AI383" i="50161"/>
  <c r="AI384" i="50161"/>
  <c r="AI385" i="50161"/>
  <c r="W210" i="50161" s="1"/>
  <c r="AI386" i="50161"/>
  <c r="AI387" i="50161"/>
  <c r="AI388" i="50161"/>
  <c r="AI389" i="50161"/>
  <c r="AI390" i="50161"/>
  <c r="AI391" i="50161"/>
  <c r="AI392" i="50161"/>
  <c r="AI393" i="50161"/>
  <c r="W218" i="50161" s="1"/>
  <c r="AI394" i="50161"/>
  <c r="AI395" i="50161"/>
  <c r="AI396" i="50161"/>
  <c r="AI397" i="50161"/>
  <c r="AI398" i="50161"/>
  <c r="AI399" i="50161"/>
  <c r="AI400" i="50161"/>
  <c r="AI401" i="50161"/>
  <c r="W226" i="50161" s="1"/>
  <c r="AI402" i="50161"/>
  <c r="AI403" i="50161"/>
  <c r="AI404" i="50161"/>
  <c r="AB408" i="50162"/>
  <c r="AB410" i="50162" s="1"/>
  <c r="AH409" i="50162"/>
  <c r="AH414" i="50162"/>
  <c r="AI409" i="50162"/>
  <c r="AI414" i="50162"/>
  <c r="AJ409" i="50162"/>
  <c r="AJ414" i="50162"/>
  <c r="AK409" i="50162"/>
  <c r="AK414" i="50162"/>
  <c r="AL409" i="50162"/>
  <c r="AL414" i="50162"/>
  <c r="AM409" i="50162"/>
  <c r="AM414" i="50162"/>
  <c r="AN409" i="50162"/>
  <c r="AN414" i="50162"/>
  <c r="AO409" i="50162"/>
  <c r="AO414" i="50162"/>
  <c r="AP409" i="50162"/>
  <c r="AP414" i="50162"/>
  <c r="AQ409" i="50162"/>
  <c r="AQ414" i="50162"/>
  <c r="AR409" i="50162"/>
  <c r="AR414" i="50162"/>
  <c r="AS409" i="50162"/>
  <c r="AS414" i="50162"/>
  <c r="AT409" i="50162"/>
  <c r="AT414" i="50162"/>
  <c r="AU409" i="50162"/>
  <c r="AU414" i="50162"/>
  <c r="AV409" i="50162"/>
  <c r="AV414" i="50162"/>
  <c r="AW409" i="50162"/>
  <c r="AW414" i="50162"/>
  <c r="AX409" i="50162"/>
  <c r="AX414" i="50162"/>
  <c r="AY409" i="50162"/>
  <c r="AY414" i="50162"/>
  <c r="AZ409" i="50162"/>
  <c r="AZ414" i="50162"/>
  <c r="BA409" i="50162"/>
  <c r="BA414" i="50162"/>
  <c r="BB409" i="50162"/>
  <c r="BB414" i="50162"/>
  <c r="AB407" i="50162"/>
  <c r="AB409" i="50162" s="1"/>
  <c r="AG408" i="50162" s="1"/>
  <c r="AH408" i="50162"/>
  <c r="AH415" i="50162"/>
  <c r="AI408" i="50162"/>
  <c r="AI415" i="50162"/>
  <c r="AJ408" i="50162"/>
  <c r="AJ415" i="50162"/>
  <c r="AK408" i="50162"/>
  <c r="AK415" i="50162"/>
  <c r="AL408" i="50162"/>
  <c r="AL415" i="50162"/>
  <c r="AM408" i="50162"/>
  <c r="AM415" i="50162"/>
  <c r="AN408" i="50162"/>
  <c r="AN415" i="50162"/>
  <c r="AO408" i="50162"/>
  <c r="AO415" i="50162"/>
  <c r="AP408" i="50162"/>
  <c r="AP415" i="50162"/>
  <c r="AQ408" i="50162"/>
  <c r="AQ415" i="50162"/>
  <c r="AR408" i="50162"/>
  <c r="AR415" i="50162"/>
  <c r="AS408" i="50162"/>
  <c r="AS415" i="50162"/>
  <c r="AT408" i="50162"/>
  <c r="AT415" i="50162"/>
  <c r="AU408" i="50162"/>
  <c r="AU415" i="50162"/>
  <c r="AV408" i="50162"/>
  <c r="AV415" i="50162"/>
  <c r="AW408" i="50162"/>
  <c r="AW415" i="50162"/>
  <c r="AX408" i="50162"/>
  <c r="AX415" i="50162"/>
  <c r="AY408" i="50162"/>
  <c r="AY415" i="50162"/>
  <c r="AZ408" i="50162"/>
  <c r="AZ415" i="50162"/>
  <c r="BA408" i="50162"/>
  <c r="BA415" i="50162"/>
  <c r="BB408" i="50162"/>
  <c r="BB415" i="50162"/>
  <c r="AF419" i="50162"/>
  <c r="AD45" i="50162"/>
  <c r="AD46" i="50162"/>
  <c r="AD47" i="50162"/>
  <c r="AD48" i="50162"/>
  <c r="AD49" i="50162"/>
  <c r="AD50" i="50162"/>
  <c r="AD51" i="50162"/>
  <c r="AD52" i="50162"/>
  <c r="AD53" i="50162"/>
  <c r="AD54" i="50162"/>
  <c r="AD55" i="50162"/>
  <c r="AD56" i="50162"/>
  <c r="AD57" i="50162"/>
  <c r="AD58" i="50162"/>
  <c r="AD59" i="50162"/>
  <c r="AD60" i="50162"/>
  <c r="AD61" i="50162"/>
  <c r="AD62" i="50162"/>
  <c r="AD63" i="50162"/>
  <c r="AD64" i="50162"/>
  <c r="AD65" i="50162"/>
  <c r="AD66" i="50162"/>
  <c r="AD67" i="50162"/>
  <c r="AD68" i="50162"/>
  <c r="AD69" i="50162"/>
  <c r="AD70" i="50162"/>
  <c r="AD71" i="50162"/>
  <c r="AD72" i="50162"/>
  <c r="AD73" i="50162"/>
  <c r="AD74" i="50162"/>
  <c r="AD75" i="50162"/>
  <c r="AD76" i="50162"/>
  <c r="AD77" i="50162"/>
  <c r="AD78" i="50162"/>
  <c r="AD79" i="50162"/>
  <c r="AD80" i="50162"/>
  <c r="AD81" i="50162"/>
  <c r="AD82" i="50162"/>
  <c r="AD83" i="50162"/>
  <c r="AD84" i="50162"/>
  <c r="AD85" i="50162"/>
  <c r="AD86" i="50162"/>
  <c r="AD87" i="50162"/>
  <c r="AD88" i="50162"/>
  <c r="AD89" i="50162"/>
  <c r="AD90" i="50162"/>
  <c r="AD91" i="50162"/>
  <c r="AD92" i="50162"/>
  <c r="AD93" i="50162"/>
  <c r="AD94" i="50162"/>
  <c r="AD95" i="50162"/>
  <c r="AD96" i="50162"/>
  <c r="AD97" i="50162"/>
  <c r="AD98" i="50162"/>
  <c r="AD99" i="50162"/>
  <c r="AD100" i="50162"/>
  <c r="AD101" i="50162"/>
  <c r="AD102" i="50162"/>
  <c r="AD103" i="50162"/>
  <c r="AD104" i="50162"/>
  <c r="AD105" i="50162"/>
  <c r="AD106" i="50162"/>
  <c r="AD107" i="50162"/>
  <c r="AD108" i="50162"/>
  <c r="AD109" i="50162"/>
  <c r="AD110" i="50162"/>
  <c r="AD111" i="50162"/>
  <c r="AD112" i="50162"/>
  <c r="AD113" i="50162"/>
  <c r="AD114" i="50162"/>
  <c r="AD115" i="50162"/>
  <c r="AD116" i="50162"/>
  <c r="AD117" i="50162"/>
  <c r="AD118" i="50162"/>
  <c r="AD119" i="50162"/>
  <c r="AD120" i="50162"/>
  <c r="AD121" i="50162"/>
  <c r="AD122" i="50162"/>
  <c r="AD123" i="50162"/>
  <c r="AD124" i="50162"/>
  <c r="AD125" i="50162"/>
  <c r="AD126" i="50162"/>
  <c r="AD127" i="50162"/>
  <c r="AD128" i="50162"/>
  <c r="AD129" i="50162"/>
  <c r="AD130" i="50162"/>
  <c r="AD131" i="50162"/>
  <c r="AD132" i="50162"/>
  <c r="AD133" i="50162"/>
  <c r="AD134" i="50162"/>
  <c r="AD135" i="50162"/>
  <c r="AD136" i="50162"/>
  <c r="AD137" i="50162"/>
  <c r="AD138" i="50162"/>
  <c r="AD139" i="50162"/>
  <c r="AD140" i="50162"/>
  <c r="AD141" i="50162"/>
  <c r="AD142" i="50162"/>
  <c r="AD143" i="50162"/>
  <c r="AD144" i="50162"/>
  <c r="AD145" i="50162"/>
  <c r="AD146" i="50162"/>
  <c r="AD147" i="50162"/>
  <c r="AD148" i="50162"/>
  <c r="AD149" i="50162"/>
  <c r="AD150" i="50162"/>
  <c r="AD151" i="50162"/>
  <c r="AD152" i="50162"/>
  <c r="AD153" i="50162"/>
  <c r="AD154" i="50162"/>
  <c r="AD155" i="50162"/>
  <c r="AD156" i="50162"/>
  <c r="AD157" i="50162"/>
  <c r="AD158" i="50162"/>
  <c r="AD159" i="50162"/>
  <c r="AD160" i="50162"/>
  <c r="AD161" i="50162"/>
  <c r="AD162" i="50162"/>
  <c r="AD163" i="50162"/>
  <c r="AD164" i="50162"/>
  <c r="AD165" i="50162"/>
  <c r="AD166" i="50162"/>
  <c r="AD167" i="50162"/>
  <c r="AD168" i="50162"/>
  <c r="AD169" i="50162"/>
  <c r="AD170" i="50162"/>
  <c r="AD171" i="50162"/>
  <c r="AD172" i="50162"/>
  <c r="AD173" i="50162"/>
  <c r="AD174" i="50162"/>
  <c r="AD175" i="50162"/>
  <c r="AD176" i="50162"/>
  <c r="AD177" i="50162"/>
  <c r="AD178" i="50162"/>
  <c r="AD179" i="50162"/>
  <c r="AD180" i="50162"/>
  <c r="AD181" i="50162"/>
  <c r="AD182" i="50162"/>
  <c r="AD183" i="50162"/>
  <c r="AD184" i="50162"/>
  <c r="AD185" i="50162"/>
  <c r="AD186" i="50162"/>
  <c r="AD187" i="50162"/>
  <c r="AD188" i="50162"/>
  <c r="AD189" i="50162"/>
  <c r="AD190" i="50162"/>
  <c r="AD191" i="50162"/>
  <c r="AD192" i="50162"/>
  <c r="AD193" i="50162"/>
  <c r="AD194" i="50162"/>
  <c r="AD195" i="50162"/>
  <c r="AD196" i="50162"/>
  <c r="AD197" i="50162"/>
  <c r="AD198" i="50162"/>
  <c r="AD199" i="50162"/>
  <c r="AD200" i="50162"/>
  <c r="AD201" i="50162"/>
  <c r="AD202" i="50162"/>
  <c r="AD203" i="50162"/>
  <c r="AD204" i="50162"/>
  <c r="AD205" i="50162"/>
  <c r="AD206" i="50162"/>
  <c r="AD207" i="50162"/>
  <c r="AD208" i="50162"/>
  <c r="AD209" i="50162"/>
  <c r="AD210" i="50162"/>
  <c r="AD211" i="50162"/>
  <c r="AD212" i="50162"/>
  <c r="AD213" i="50162"/>
  <c r="AD214" i="50162"/>
  <c r="AD215" i="50162"/>
  <c r="AD216" i="50162"/>
  <c r="AD217" i="50162"/>
  <c r="AD218" i="50162"/>
  <c r="AD219" i="50162"/>
  <c r="AD220" i="50162"/>
  <c r="AD221" i="50162"/>
  <c r="AD222" i="50162"/>
  <c r="AD223" i="50162"/>
  <c r="AD224" i="50162"/>
  <c r="AD225" i="50162"/>
  <c r="AD226" i="50162"/>
  <c r="AD227" i="50162"/>
  <c r="AD228" i="50162"/>
  <c r="AD229" i="50162"/>
  <c r="AD230" i="50162"/>
  <c r="AD231" i="50162"/>
  <c r="AD232" i="50162"/>
  <c r="AD233" i="50162"/>
  <c r="AD234" i="50162"/>
  <c r="AD235" i="50162"/>
  <c r="AD236" i="50162"/>
  <c r="AD237" i="50162"/>
  <c r="AD238" i="50162"/>
  <c r="AD239" i="50162"/>
  <c r="AD240" i="50162"/>
  <c r="AD241" i="50162"/>
  <c r="AD242" i="50162"/>
  <c r="AD243" i="50162"/>
  <c r="AD244" i="50162"/>
  <c r="AD245" i="50162"/>
  <c r="AD246" i="50162"/>
  <c r="AD247" i="50162"/>
  <c r="AD248" i="50162"/>
  <c r="AD249" i="50162"/>
  <c r="AD250" i="50162"/>
  <c r="AD251" i="50162"/>
  <c r="AD252" i="50162"/>
  <c r="AD253" i="50162"/>
  <c r="AD254" i="50162"/>
  <c r="AD255" i="50162"/>
  <c r="AD256" i="50162"/>
  <c r="AD257" i="50162"/>
  <c r="AD258" i="50162"/>
  <c r="AD259" i="50162"/>
  <c r="AD260" i="50162"/>
  <c r="AD261" i="50162"/>
  <c r="AD262" i="50162"/>
  <c r="AD263" i="50162"/>
  <c r="AD264" i="50162"/>
  <c r="AD265" i="50162"/>
  <c r="AD266" i="50162"/>
  <c r="AD267" i="50162"/>
  <c r="AD268" i="50162"/>
  <c r="AD269" i="50162"/>
  <c r="AD270" i="50162"/>
  <c r="AD271" i="50162"/>
  <c r="AD272" i="50162"/>
  <c r="AD273" i="50162"/>
  <c r="AD274" i="50162"/>
  <c r="AD275" i="50162"/>
  <c r="AD276" i="50162"/>
  <c r="AD277" i="50162"/>
  <c r="AD278" i="50162"/>
  <c r="AD279" i="50162"/>
  <c r="AD280" i="50162"/>
  <c r="AD281" i="50162"/>
  <c r="AD282" i="50162"/>
  <c r="AD283" i="50162"/>
  <c r="AD284" i="50162"/>
  <c r="AD285" i="50162"/>
  <c r="AD286" i="50162"/>
  <c r="AD287" i="50162"/>
  <c r="AD288" i="50162"/>
  <c r="AD289" i="50162"/>
  <c r="AD290" i="50162"/>
  <c r="AD291" i="50162"/>
  <c r="AD292" i="50162"/>
  <c r="AD293" i="50162"/>
  <c r="AD294" i="50162"/>
  <c r="AD295" i="50162"/>
  <c r="AD296" i="50162"/>
  <c r="AD297" i="50162"/>
  <c r="AD298" i="50162"/>
  <c r="AD299" i="50162"/>
  <c r="AD300" i="50162"/>
  <c r="AD301" i="50162"/>
  <c r="AD302" i="50162"/>
  <c r="AD303" i="50162"/>
  <c r="AD304" i="50162"/>
  <c r="AD305" i="50162"/>
  <c r="AD306" i="50162"/>
  <c r="AD307" i="50162"/>
  <c r="AD308" i="50162"/>
  <c r="AD309" i="50162"/>
  <c r="AD310" i="50162"/>
  <c r="AD311" i="50162"/>
  <c r="AD312" i="50162"/>
  <c r="AD313" i="50162"/>
  <c r="AD314" i="50162"/>
  <c r="AD315" i="50162"/>
  <c r="AD316" i="50162"/>
  <c r="AD317" i="50162"/>
  <c r="AD318" i="50162"/>
  <c r="AD319" i="50162"/>
  <c r="AD320" i="50162"/>
  <c r="AD321" i="50162"/>
  <c r="AD322" i="50162"/>
  <c r="AD323" i="50162"/>
  <c r="AD324" i="50162"/>
  <c r="AD325" i="50162"/>
  <c r="AD326" i="50162"/>
  <c r="AD327" i="50162"/>
  <c r="AD328" i="50162"/>
  <c r="AD329" i="50162"/>
  <c r="AD330" i="50162"/>
  <c r="AD331" i="50162"/>
  <c r="AD332" i="50162"/>
  <c r="AD333" i="50162"/>
  <c r="AD334" i="50162"/>
  <c r="AD335" i="50162"/>
  <c r="AD336" i="50162"/>
  <c r="AD337" i="50162"/>
  <c r="AD338" i="50162"/>
  <c r="AD339" i="50162"/>
  <c r="AD340" i="50162"/>
  <c r="AD341" i="50162"/>
  <c r="AD342" i="50162"/>
  <c r="AD343" i="50162"/>
  <c r="AD344" i="50162"/>
  <c r="AD345" i="50162"/>
  <c r="AD346" i="50162"/>
  <c r="AD347" i="50162"/>
  <c r="AD348" i="50162"/>
  <c r="AD349" i="50162"/>
  <c r="AD350" i="50162"/>
  <c r="AD351" i="50162"/>
  <c r="AD352" i="50162"/>
  <c r="AD353" i="50162"/>
  <c r="AD354" i="50162"/>
  <c r="AD355" i="50162"/>
  <c r="AD356" i="50162"/>
  <c r="AD357" i="50162"/>
  <c r="AD358" i="50162"/>
  <c r="AD359" i="50162"/>
  <c r="AD360" i="50162"/>
  <c r="AD361" i="50162"/>
  <c r="AD362" i="50162"/>
  <c r="AD363" i="50162"/>
  <c r="AD364" i="50162"/>
  <c r="AD365" i="50162"/>
  <c r="AD366" i="50162"/>
  <c r="AD367" i="50162"/>
  <c r="AD368" i="50162"/>
  <c r="AD369" i="50162"/>
  <c r="AD370" i="50162"/>
  <c r="AD371" i="50162"/>
  <c r="AD372" i="50162"/>
  <c r="AD373" i="50162"/>
  <c r="AD374" i="50162"/>
  <c r="AD375" i="50162"/>
  <c r="AD376" i="50162"/>
  <c r="AD377" i="50162"/>
  <c r="AD378" i="50162"/>
  <c r="AD379" i="50162"/>
  <c r="AD380" i="50162"/>
  <c r="AD381" i="50162"/>
  <c r="AD382" i="50162"/>
  <c r="AD383" i="50162"/>
  <c r="AD384" i="50162"/>
  <c r="AD385" i="50162"/>
  <c r="AD386" i="50162"/>
  <c r="AD387" i="50162"/>
  <c r="AD388" i="50162"/>
  <c r="AD389" i="50162"/>
  <c r="AD390" i="50162"/>
  <c r="AD391" i="50162"/>
  <c r="AD392" i="50162"/>
  <c r="AD393" i="50162"/>
  <c r="AD394" i="50162"/>
  <c r="AD395" i="50162"/>
  <c r="AD396" i="50162"/>
  <c r="AD397" i="50162"/>
  <c r="AD398" i="50162"/>
  <c r="AD399" i="50162"/>
  <c r="AD400" i="50162"/>
  <c r="AD401" i="50162"/>
  <c r="AD402" i="50162"/>
  <c r="AD403" i="50162"/>
  <c r="AD404" i="50162"/>
  <c r="AC6" i="50162"/>
  <c r="AE6" i="50162" s="1"/>
  <c r="AC9" i="50162"/>
  <c r="AE9" i="50162" s="1"/>
  <c r="AC10" i="50162"/>
  <c r="AE10" i="50162" s="1"/>
  <c r="AC14" i="50162"/>
  <c r="AE14" i="50162" s="1"/>
  <c r="AC18" i="50162"/>
  <c r="AE18" i="50162" s="1"/>
  <c r="AC21" i="50162"/>
  <c r="AE21" i="50162" s="1"/>
  <c r="AC22" i="50162"/>
  <c r="AE22" i="50162" s="1"/>
  <c r="AC25" i="50162"/>
  <c r="AE25" i="50162" s="1"/>
  <c r="AC26" i="50162"/>
  <c r="AE26" i="50162" s="1"/>
  <c r="AC30" i="50162"/>
  <c r="AE30" i="50162" s="1"/>
  <c r="AC34" i="50162"/>
  <c r="AE34" i="50162" s="1"/>
  <c r="AC37" i="50162"/>
  <c r="AE37" i="50162" s="1"/>
  <c r="AC38" i="50162"/>
  <c r="AE38" i="50162" s="1"/>
  <c r="AC41" i="50162"/>
  <c r="AE41" i="50162" s="1"/>
  <c r="AC42" i="50162"/>
  <c r="AE42" i="50162" s="1"/>
  <c r="AE45" i="50162"/>
  <c r="AE46" i="50162"/>
  <c r="AE47" i="50162"/>
  <c r="AE48" i="50162"/>
  <c r="AE49" i="50162"/>
  <c r="AE50" i="50162"/>
  <c r="AE51" i="50162"/>
  <c r="AE52" i="50162"/>
  <c r="AE53" i="50162"/>
  <c r="AE54" i="50162"/>
  <c r="AE55" i="50162"/>
  <c r="AE56" i="50162"/>
  <c r="AE57" i="50162"/>
  <c r="AE58" i="50162"/>
  <c r="AE59" i="50162"/>
  <c r="AE60" i="50162"/>
  <c r="AE61" i="50162"/>
  <c r="AE62" i="50162"/>
  <c r="AE63" i="50162"/>
  <c r="AE64" i="50162"/>
  <c r="AE65" i="50162"/>
  <c r="AE66" i="50162"/>
  <c r="AE67" i="50162"/>
  <c r="AE68" i="50162"/>
  <c r="AE69" i="50162"/>
  <c r="AE70" i="50162"/>
  <c r="AE71" i="50162"/>
  <c r="AE72" i="50162"/>
  <c r="AE73" i="50162"/>
  <c r="AE74" i="50162"/>
  <c r="AE75" i="50162"/>
  <c r="AE76" i="50162"/>
  <c r="AE77" i="50162"/>
  <c r="AE78" i="50162"/>
  <c r="AE79" i="50162"/>
  <c r="AE80" i="50162"/>
  <c r="AE81" i="50162"/>
  <c r="AE82" i="50162"/>
  <c r="AE83" i="50162"/>
  <c r="AE84" i="50162"/>
  <c r="AE85" i="50162"/>
  <c r="AE86" i="50162"/>
  <c r="AE87" i="50162"/>
  <c r="AE88" i="50162"/>
  <c r="AE89" i="50162"/>
  <c r="AE90" i="50162"/>
  <c r="AE91" i="50162"/>
  <c r="AE92" i="50162"/>
  <c r="AE93" i="50162"/>
  <c r="AE94" i="50162"/>
  <c r="AE95" i="50162"/>
  <c r="AE96" i="50162"/>
  <c r="AE97" i="50162"/>
  <c r="AE98" i="50162"/>
  <c r="AE99" i="50162"/>
  <c r="AE100" i="50162"/>
  <c r="AE101" i="50162"/>
  <c r="AE102" i="50162"/>
  <c r="AE103" i="50162"/>
  <c r="AE104" i="50162"/>
  <c r="AE105" i="50162"/>
  <c r="AE106" i="50162"/>
  <c r="AE107" i="50162"/>
  <c r="AE108" i="50162"/>
  <c r="AE109" i="50162"/>
  <c r="AE110" i="50162"/>
  <c r="AE111" i="50162"/>
  <c r="AE112" i="50162"/>
  <c r="AE113" i="50162"/>
  <c r="AE114" i="50162"/>
  <c r="AE115" i="50162"/>
  <c r="AE116" i="50162"/>
  <c r="AE117" i="50162"/>
  <c r="AE118" i="50162"/>
  <c r="AE119" i="50162"/>
  <c r="AE120" i="50162"/>
  <c r="AE121" i="50162"/>
  <c r="AE122" i="50162"/>
  <c r="AE123" i="50162"/>
  <c r="AE124" i="50162"/>
  <c r="AE125" i="50162"/>
  <c r="AE126" i="50162"/>
  <c r="AE127" i="50162"/>
  <c r="AE128" i="50162"/>
  <c r="AE129" i="50162"/>
  <c r="AE130" i="50162"/>
  <c r="AE131" i="50162"/>
  <c r="AE132" i="50162"/>
  <c r="AE133" i="50162"/>
  <c r="AE134" i="50162"/>
  <c r="AE135" i="50162"/>
  <c r="AE136" i="50162"/>
  <c r="AE137" i="50162"/>
  <c r="AE138" i="50162"/>
  <c r="AE139" i="50162"/>
  <c r="AE140" i="50162"/>
  <c r="AE141" i="50162"/>
  <c r="AE142" i="50162"/>
  <c r="AE143" i="50162"/>
  <c r="AE144" i="50162"/>
  <c r="AE145" i="50162"/>
  <c r="AE146" i="50162"/>
  <c r="AE147" i="50162"/>
  <c r="AE148" i="50162"/>
  <c r="AE149" i="50162"/>
  <c r="AE150" i="50162"/>
  <c r="AE151" i="50162"/>
  <c r="AE152" i="50162"/>
  <c r="AE153" i="50162"/>
  <c r="AE154" i="50162"/>
  <c r="AE155" i="50162"/>
  <c r="AE156" i="50162"/>
  <c r="AE157" i="50162"/>
  <c r="AE158" i="50162"/>
  <c r="AE159" i="50162"/>
  <c r="AE160" i="50162"/>
  <c r="AE161" i="50162"/>
  <c r="AE162" i="50162"/>
  <c r="AE163" i="50162"/>
  <c r="AE164" i="50162"/>
  <c r="AE165" i="50162"/>
  <c r="AE166" i="50162"/>
  <c r="AE167" i="50162"/>
  <c r="AE168" i="50162"/>
  <c r="AE169" i="50162"/>
  <c r="AE170" i="50162"/>
  <c r="AE171" i="50162"/>
  <c r="AE172" i="50162"/>
  <c r="AE173" i="50162"/>
  <c r="AE174" i="50162"/>
  <c r="AE175" i="50162"/>
  <c r="AE176" i="50162"/>
  <c r="AE177" i="50162"/>
  <c r="AE178" i="50162"/>
  <c r="AE179" i="50162"/>
  <c r="AE180" i="50162"/>
  <c r="AE181" i="50162"/>
  <c r="AE182" i="50162"/>
  <c r="AE183" i="50162"/>
  <c r="AE184" i="50162"/>
  <c r="AE185" i="50162"/>
  <c r="AE186" i="50162"/>
  <c r="AE187" i="50162"/>
  <c r="AE188" i="50162"/>
  <c r="AE189" i="50162"/>
  <c r="AE190" i="50162"/>
  <c r="AE191" i="50162"/>
  <c r="AE192" i="50162"/>
  <c r="AE193" i="50162"/>
  <c r="AE194" i="50162"/>
  <c r="AE195" i="50162"/>
  <c r="AE196" i="50162"/>
  <c r="AE197" i="50162"/>
  <c r="AE198" i="50162"/>
  <c r="AE199" i="50162"/>
  <c r="AE200" i="50162"/>
  <c r="AE201" i="50162"/>
  <c r="AE202" i="50162"/>
  <c r="AE203" i="50162"/>
  <c r="AE204" i="50162"/>
  <c r="AE205" i="50162"/>
  <c r="AE206" i="50162"/>
  <c r="AE207" i="50162"/>
  <c r="AE208" i="50162"/>
  <c r="AE209" i="50162"/>
  <c r="AE210" i="50162"/>
  <c r="AE211" i="50162"/>
  <c r="AE212" i="50162"/>
  <c r="AE213" i="50162"/>
  <c r="AE214" i="50162"/>
  <c r="AE215" i="50162"/>
  <c r="AE216" i="50162"/>
  <c r="AE217" i="50162"/>
  <c r="AE218" i="50162"/>
  <c r="AE219" i="50162"/>
  <c r="AE220" i="50162"/>
  <c r="AE221" i="50162"/>
  <c r="AE222" i="50162"/>
  <c r="AE223" i="50162"/>
  <c r="AE224" i="50162"/>
  <c r="AE225" i="50162"/>
  <c r="AE226" i="50162"/>
  <c r="AE227" i="50162"/>
  <c r="AE228" i="50162"/>
  <c r="AE229" i="50162"/>
  <c r="AE230" i="50162"/>
  <c r="AE231" i="50162"/>
  <c r="AE232" i="50162"/>
  <c r="AE233" i="50162"/>
  <c r="AE234" i="50162"/>
  <c r="AE235" i="50162"/>
  <c r="AE236" i="50162"/>
  <c r="AE237" i="50162"/>
  <c r="AE238" i="50162"/>
  <c r="AE239" i="50162"/>
  <c r="AE240" i="50162"/>
  <c r="AE241" i="50162"/>
  <c r="AE242" i="50162"/>
  <c r="AE243" i="50162"/>
  <c r="AE244" i="50162"/>
  <c r="AE245" i="50162"/>
  <c r="AE246" i="50162"/>
  <c r="AE247" i="50162"/>
  <c r="AE248" i="50162"/>
  <c r="AE249" i="50162"/>
  <c r="AE250" i="50162"/>
  <c r="AE251" i="50162"/>
  <c r="AE252" i="50162"/>
  <c r="AE253" i="50162"/>
  <c r="AE254" i="50162"/>
  <c r="AE255" i="50162"/>
  <c r="AE256" i="50162"/>
  <c r="AE257" i="50162"/>
  <c r="AE258" i="50162"/>
  <c r="AE259" i="50162"/>
  <c r="AE260" i="50162"/>
  <c r="AE261" i="50162"/>
  <c r="AE262" i="50162"/>
  <c r="AE263" i="50162"/>
  <c r="AE264" i="50162"/>
  <c r="AE265" i="50162"/>
  <c r="AE266" i="50162"/>
  <c r="AE267" i="50162"/>
  <c r="AE268" i="50162"/>
  <c r="AE269" i="50162"/>
  <c r="AE270" i="50162"/>
  <c r="AE271" i="50162"/>
  <c r="AE272" i="50162"/>
  <c r="AE273" i="50162"/>
  <c r="AE274" i="50162"/>
  <c r="AE275" i="50162"/>
  <c r="AE276" i="50162"/>
  <c r="AE277" i="50162"/>
  <c r="AE278" i="50162"/>
  <c r="AE279" i="50162"/>
  <c r="AE280" i="50162"/>
  <c r="AE281" i="50162"/>
  <c r="AE282" i="50162"/>
  <c r="AE283" i="50162"/>
  <c r="AE284" i="50162"/>
  <c r="AE285" i="50162"/>
  <c r="AE286" i="50162"/>
  <c r="AE287" i="50162"/>
  <c r="AE288" i="50162"/>
  <c r="AE289" i="50162"/>
  <c r="AE290" i="50162"/>
  <c r="AE291" i="50162"/>
  <c r="AE292" i="50162"/>
  <c r="AE293" i="50162"/>
  <c r="AE294" i="50162"/>
  <c r="AE295" i="50162"/>
  <c r="AE296" i="50162"/>
  <c r="AE297" i="50162"/>
  <c r="AE298" i="50162"/>
  <c r="AE299" i="50162"/>
  <c r="AE300" i="50162"/>
  <c r="AE301" i="50162"/>
  <c r="AE302" i="50162"/>
  <c r="AE303" i="50162"/>
  <c r="AE304" i="50162"/>
  <c r="AE305" i="50162"/>
  <c r="AE306" i="50162"/>
  <c r="AE307" i="50162"/>
  <c r="AE308" i="50162"/>
  <c r="AE309" i="50162"/>
  <c r="AE310" i="50162"/>
  <c r="AE311" i="50162"/>
  <c r="AE312" i="50162"/>
  <c r="AE313" i="50162"/>
  <c r="AE314" i="50162"/>
  <c r="AE315" i="50162"/>
  <c r="AE316" i="50162"/>
  <c r="AE317" i="50162"/>
  <c r="AE318" i="50162"/>
  <c r="AE319" i="50162"/>
  <c r="AE320" i="50162"/>
  <c r="AE321" i="50162"/>
  <c r="AE322" i="50162"/>
  <c r="AE323" i="50162"/>
  <c r="AE324" i="50162"/>
  <c r="AE325" i="50162"/>
  <c r="AE326" i="50162"/>
  <c r="AE327" i="50162"/>
  <c r="AE328" i="50162"/>
  <c r="AE329" i="50162"/>
  <c r="AE330" i="50162"/>
  <c r="AE331" i="50162"/>
  <c r="AE332" i="50162"/>
  <c r="AE333" i="50162"/>
  <c r="AE334" i="50162"/>
  <c r="AE335" i="50162"/>
  <c r="AE336" i="50162"/>
  <c r="AE337" i="50162"/>
  <c r="AE338" i="50162"/>
  <c r="AE339" i="50162"/>
  <c r="AE340" i="50162"/>
  <c r="AE341" i="50162"/>
  <c r="AE342" i="50162"/>
  <c r="AE343" i="50162"/>
  <c r="AE344" i="50162"/>
  <c r="AE345" i="50162"/>
  <c r="AE346" i="50162"/>
  <c r="AE347" i="50162"/>
  <c r="AE348" i="50162"/>
  <c r="AE349" i="50162"/>
  <c r="AE350" i="50162"/>
  <c r="AE351" i="50162"/>
  <c r="AE352" i="50162"/>
  <c r="AE353" i="50162"/>
  <c r="AE354" i="50162"/>
  <c r="AE355" i="50162"/>
  <c r="AE356" i="50162"/>
  <c r="AE357" i="50162"/>
  <c r="AE358" i="50162"/>
  <c r="AE359" i="50162"/>
  <c r="AE360" i="50162"/>
  <c r="AE361" i="50162"/>
  <c r="AE362" i="50162"/>
  <c r="AE363" i="50162"/>
  <c r="AE364" i="50162"/>
  <c r="AE365" i="50162"/>
  <c r="AE366" i="50162"/>
  <c r="AE367" i="50162"/>
  <c r="AE368" i="50162"/>
  <c r="AE369" i="50162"/>
  <c r="AE370" i="50162"/>
  <c r="AE371" i="50162"/>
  <c r="AE372" i="50162"/>
  <c r="AE373" i="50162"/>
  <c r="AE374" i="50162"/>
  <c r="AE375" i="50162"/>
  <c r="AE376" i="50162"/>
  <c r="AE377" i="50162"/>
  <c r="AE378" i="50162"/>
  <c r="AE379" i="50162"/>
  <c r="AE380" i="50162"/>
  <c r="AE381" i="50162"/>
  <c r="AE382" i="50162"/>
  <c r="AE383" i="50162"/>
  <c r="AE384" i="50162"/>
  <c r="AE385" i="50162"/>
  <c r="AE386" i="50162"/>
  <c r="AE387" i="50162"/>
  <c r="AE388" i="50162"/>
  <c r="AE389" i="50162"/>
  <c r="AE390" i="50162"/>
  <c r="AE391" i="50162"/>
  <c r="AE392" i="50162"/>
  <c r="AE393" i="50162"/>
  <c r="AE394" i="50162"/>
  <c r="AE395" i="50162"/>
  <c r="AE396" i="50162"/>
  <c r="AE397" i="50162"/>
  <c r="AE398" i="50162"/>
  <c r="AE399" i="50162"/>
  <c r="AE400" i="50162"/>
  <c r="AE401" i="50162"/>
  <c r="AE402" i="50162"/>
  <c r="AE403" i="50162"/>
  <c r="AE404" i="50162"/>
  <c r="AF420" i="50162"/>
  <c r="AG6" i="50162"/>
  <c r="AG10" i="50162"/>
  <c r="AG12" i="50162"/>
  <c r="AG14" i="50162"/>
  <c r="AG18" i="50162"/>
  <c r="AG20" i="50162"/>
  <c r="AG22" i="50162"/>
  <c r="AG23" i="50162"/>
  <c r="AG24" i="50162"/>
  <c r="AG26" i="50162"/>
  <c r="AG27" i="50162"/>
  <c r="AG28" i="50162"/>
  <c r="AG30" i="50162"/>
  <c r="AG31" i="50162"/>
  <c r="AG32" i="50162"/>
  <c r="AG33" i="50162"/>
  <c r="AG34" i="50162"/>
  <c r="AG35" i="50162"/>
  <c r="AG36" i="50162"/>
  <c r="AG37" i="50162"/>
  <c r="AG38" i="50162"/>
  <c r="AG39" i="50162"/>
  <c r="AG40" i="50162"/>
  <c r="AG41" i="50162"/>
  <c r="AG42" i="50162"/>
  <c r="AG43" i="50162"/>
  <c r="AG44" i="50162"/>
  <c r="AJ45" i="50162"/>
  <c r="AJ46" i="50162"/>
  <c r="AJ47" i="50162"/>
  <c r="AJ48" i="50162"/>
  <c r="AJ49" i="50162"/>
  <c r="AJ50" i="50162"/>
  <c r="AJ51" i="50162"/>
  <c r="AJ52" i="50162"/>
  <c r="AJ53" i="50162"/>
  <c r="AJ54" i="50162"/>
  <c r="AJ55" i="50162"/>
  <c r="F180" i="50162" s="1"/>
  <c r="AJ56" i="50162"/>
  <c r="AJ57" i="50162"/>
  <c r="AJ58" i="50162"/>
  <c r="AJ59" i="50162"/>
  <c r="AJ60" i="50162"/>
  <c r="AJ61" i="50162"/>
  <c r="AJ62" i="50162"/>
  <c r="AJ63" i="50162"/>
  <c r="F188" i="50162" s="1"/>
  <c r="AJ64" i="50162"/>
  <c r="AJ65" i="50162"/>
  <c r="AJ66" i="50162"/>
  <c r="AJ67" i="50162"/>
  <c r="AJ68" i="50162"/>
  <c r="AJ69" i="50162"/>
  <c r="AJ70" i="50162"/>
  <c r="AJ71" i="50162"/>
  <c r="F196" i="50162" s="1"/>
  <c r="AJ72" i="50162"/>
  <c r="AJ73" i="50162"/>
  <c r="AJ74" i="50162"/>
  <c r="AJ75" i="50162"/>
  <c r="AJ76" i="50162"/>
  <c r="AJ77" i="50162"/>
  <c r="AJ78" i="50162"/>
  <c r="AJ79" i="50162"/>
  <c r="F204" i="50162" s="1"/>
  <c r="AJ80" i="50162"/>
  <c r="AJ81" i="50162"/>
  <c r="AJ82" i="50162"/>
  <c r="AJ83" i="50162"/>
  <c r="AJ84" i="50162"/>
  <c r="AJ85" i="50162"/>
  <c r="AJ86" i="50162"/>
  <c r="AJ87" i="50162"/>
  <c r="F212" i="50162" s="1"/>
  <c r="AJ88" i="50162"/>
  <c r="AJ89" i="50162"/>
  <c r="AJ90" i="50162"/>
  <c r="AJ91" i="50162"/>
  <c r="AJ92" i="50162"/>
  <c r="AJ93" i="50162"/>
  <c r="AJ94" i="50162"/>
  <c r="AJ95" i="50162"/>
  <c r="F220" i="50162" s="1"/>
  <c r="AJ96" i="50162"/>
  <c r="AJ97" i="50162"/>
  <c r="AJ98" i="50162"/>
  <c r="AJ99" i="50162"/>
  <c r="AJ100" i="50162"/>
  <c r="AJ101" i="50162"/>
  <c r="AJ102" i="50162"/>
  <c r="AJ103" i="50162"/>
  <c r="F228" i="50162" s="1"/>
  <c r="AJ104" i="50162"/>
  <c r="AJ105" i="50162"/>
  <c r="AJ106" i="50162"/>
  <c r="AJ107" i="50162"/>
  <c r="AJ108" i="50162"/>
  <c r="AJ109" i="50162"/>
  <c r="AJ110" i="50162"/>
  <c r="AJ111" i="50162"/>
  <c r="I186" i="50162" s="1"/>
  <c r="AJ112" i="50162"/>
  <c r="AJ113" i="50162"/>
  <c r="AJ114" i="50162"/>
  <c r="AJ115" i="50162"/>
  <c r="AJ116" i="50162"/>
  <c r="AJ117" i="50162"/>
  <c r="AJ118" i="50162"/>
  <c r="AJ119" i="50162"/>
  <c r="I194" i="50162" s="1"/>
  <c r="AJ120" i="50162"/>
  <c r="AJ121" i="50162"/>
  <c r="AJ122" i="50162"/>
  <c r="AJ123" i="50162"/>
  <c r="AJ124" i="50162"/>
  <c r="AJ125" i="50162"/>
  <c r="AJ126" i="50162"/>
  <c r="AJ127" i="50162"/>
  <c r="I202" i="50162" s="1"/>
  <c r="AJ128" i="50162"/>
  <c r="AJ129" i="50162"/>
  <c r="AJ130" i="50162"/>
  <c r="AJ131" i="50162"/>
  <c r="AJ132" i="50162"/>
  <c r="AJ133" i="50162"/>
  <c r="AJ134" i="50162"/>
  <c r="AJ135" i="50162"/>
  <c r="I210" i="50162" s="1"/>
  <c r="AJ136" i="50162"/>
  <c r="AJ137" i="50162"/>
  <c r="AJ138" i="50162"/>
  <c r="AJ139" i="50162"/>
  <c r="AJ140" i="50162"/>
  <c r="AJ141" i="50162"/>
  <c r="AJ142" i="50162"/>
  <c r="AJ143" i="50162"/>
  <c r="I218" i="50162" s="1"/>
  <c r="AJ144" i="50162"/>
  <c r="AJ145" i="50162"/>
  <c r="AJ146" i="50162"/>
  <c r="AJ147" i="50162"/>
  <c r="AJ148" i="50162"/>
  <c r="AJ149" i="50162"/>
  <c r="AJ150" i="50162"/>
  <c r="AJ151" i="50162"/>
  <c r="I226" i="50162" s="1"/>
  <c r="AJ152" i="50162"/>
  <c r="AJ153" i="50162"/>
  <c r="AJ154" i="50162"/>
  <c r="AJ155" i="50162"/>
  <c r="AJ156" i="50162"/>
  <c r="AJ157" i="50162"/>
  <c r="AJ158" i="50162"/>
  <c r="AJ159" i="50162"/>
  <c r="L184" i="50162" s="1"/>
  <c r="AJ160" i="50162"/>
  <c r="AJ161" i="50162"/>
  <c r="AJ162" i="50162"/>
  <c r="AJ163" i="50162"/>
  <c r="AJ164" i="50162"/>
  <c r="AJ165" i="50162"/>
  <c r="AJ166" i="50162"/>
  <c r="AJ167" i="50162"/>
  <c r="L192" i="50162" s="1"/>
  <c r="AJ168" i="50162"/>
  <c r="AJ169" i="50162"/>
  <c r="AJ170" i="50162"/>
  <c r="AJ171" i="50162"/>
  <c r="AJ172" i="50162"/>
  <c r="AJ173" i="50162"/>
  <c r="AJ174" i="50162"/>
  <c r="AJ175" i="50162"/>
  <c r="L200" i="50162" s="1"/>
  <c r="AJ176" i="50162"/>
  <c r="AJ177" i="50162"/>
  <c r="AJ178" i="50162"/>
  <c r="AJ179" i="50162"/>
  <c r="AJ180" i="50162"/>
  <c r="AJ181" i="50162"/>
  <c r="AJ182" i="50162"/>
  <c r="AJ183" i="50162"/>
  <c r="L208" i="50162" s="1"/>
  <c r="AJ184" i="50162"/>
  <c r="AJ185" i="50162"/>
  <c r="AJ186" i="50162"/>
  <c r="AJ187" i="50162"/>
  <c r="AJ188" i="50162"/>
  <c r="AJ189" i="50162"/>
  <c r="AJ190" i="50162"/>
  <c r="AJ191" i="50162"/>
  <c r="L216" i="50162" s="1"/>
  <c r="AJ192" i="50162"/>
  <c r="AJ193" i="50162"/>
  <c r="AJ194" i="50162"/>
  <c r="AJ195" i="50162"/>
  <c r="AJ196" i="50162"/>
  <c r="AJ197" i="50162"/>
  <c r="AJ198" i="50162"/>
  <c r="AJ199" i="50162"/>
  <c r="L224" i="50162" s="1"/>
  <c r="AJ200" i="50162"/>
  <c r="AJ201" i="50162"/>
  <c r="AJ202" i="50162"/>
  <c r="AJ203" i="50162"/>
  <c r="AJ204" i="50162"/>
  <c r="AJ205" i="50162"/>
  <c r="AJ206" i="50162"/>
  <c r="AJ207" i="50162"/>
  <c r="O182" i="50162" s="1"/>
  <c r="AJ208" i="50162"/>
  <c r="AJ209" i="50162"/>
  <c r="AJ210" i="50162"/>
  <c r="AJ211" i="50162"/>
  <c r="AJ212" i="50162"/>
  <c r="AJ213" i="50162"/>
  <c r="AJ214" i="50162"/>
  <c r="AJ215" i="50162"/>
  <c r="O190" i="50162" s="1"/>
  <c r="AJ216" i="50162"/>
  <c r="AJ217" i="50162"/>
  <c r="AJ218" i="50162"/>
  <c r="AJ219" i="50162"/>
  <c r="AJ220" i="50162"/>
  <c r="AJ221" i="50162"/>
  <c r="AJ222" i="50162"/>
  <c r="AJ223" i="50162"/>
  <c r="O198" i="50162" s="1"/>
  <c r="AJ224" i="50162"/>
  <c r="AJ225" i="50162"/>
  <c r="AJ226" i="50162"/>
  <c r="AJ227" i="50162"/>
  <c r="AJ228" i="50162"/>
  <c r="AJ229" i="50162"/>
  <c r="AJ230" i="50162"/>
  <c r="AJ231" i="50162"/>
  <c r="O206" i="50162" s="1"/>
  <c r="AJ232" i="50162"/>
  <c r="AJ233" i="50162"/>
  <c r="AJ234" i="50162"/>
  <c r="AJ235" i="50162"/>
  <c r="AJ236" i="50162"/>
  <c r="AJ237" i="50162"/>
  <c r="AJ238" i="50162"/>
  <c r="AJ239" i="50162"/>
  <c r="O214" i="50162" s="1"/>
  <c r="AJ240" i="50162"/>
  <c r="AJ241" i="50162"/>
  <c r="AJ242" i="50162"/>
  <c r="AJ243" i="50162"/>
  <c r="AJ244" i="50162"/>
  <c r="AJ245" i="50162"/>
  <c r="AJ246" i="50162"/>
  <c r="AJ247" i="50162"/>
  <c r="O222" i="50162" s="1"/>
  <c r="AJ248" i="50162"/>
  <c r="AJ249" i="50162"/>
  <c r="AJ250" i="50162"/>
  <c r="AJ251" i="50162"/>
  <c r="AJ252" i="50162"/>
  <c r="AJ253" i="50162"/>
  <c r="AJ254" i="50162"/>
  <c r="AJ255" i="50162"/>
  <c r="R180" i="50162" s="1"/>
  <c r="AJ256" i="50162"/>
  <c r="AJ257" i="50162"/>
  <c r="AJ258" i="50162"/>
  <c r="AJ259" i="50162"/>
  <c r="AJ260" i="50162"/>
  <c r="AJ261" i="50162"/>
  <c r="AJ262" i="50162"/>
  <c r="AJ263" i="50162"/>
  <c r="R188" i="50162" s="1"/>
  <c r="AJ264" i="50162"/>
  <c r="AJ265" i="50162"/>
  <c r="AJ266" i="50162"/>
  <c r="AJ267" i="50162"/>
  <c r="AJ268" i="50162"/>
  <c r="AJ269" i="50162"/>
  <c r="AJ270" i="50162"/>
  <c r="AJ271" i="50162"/>
  <c r="R196" i="50162" s="1"/>
  <c r="AJ272" i="50162"/>
  <c r="AJ273" i="50162"/>
  <c r="AJ274" i="50162"/>
  <c r="AJ275" i="50162"/>
  <c r="AJ276" i="50162"/>
  <c r="AJ277" i="50162"/>
  <c r="AJ278" i="50162"/>
  <c r="AJ279" i="50162"/>
  <c r="R204" i="50162" s="1"/>
  <c r="AJ280" i="50162"/>
  <c r="AJ281" i="50162"/>
  <c r="AJ282" i="50162"/>
  <c r="AJ283" i="50162"/>
  <c r="AJ284" i="50162"/>
  <c r="AJ285" i="50162"/>
  <c r="AJ286" i="50162"/>
  <c r="AJ287" i="50162"/>
  <c r="R212" i="50162" s="1"/>
  <c r="AJ288" i="50162"/>
  <c r="AJ289" i="50162"/>
  <c r="AJ290" i="50162"/>
  <c r="AJ291" i="50162"/>
  <c r="AJ292" i="50162"/>
  <c r="AJ293" i="50162"/>
  <c r="AJ294" i="50162"/>
  <c r="AJ295" i="50162"/>
  <c r="R220" i="50162" s="1"/>
  <c r="AJ296" i="50162"/>
  <c r="AJ297" i="50162"/>
  <c r="AJ298" i="50162"/>
  <c r="AJ299" i="50162"/>
  <c r="AJ300" i="50162"/>
  <c r="AJ301" i="50162"/>
  <c r="AJ302" i="50162"/>
  <c r="AJ303" i="50162"/>
  <c r="R228" i="50162" s="1"/>
  <c r="AJ304" i="50162"/>
  <c r="AJ305" i="50162"/>
  <c r="AJ306" i="50162"/>
  <c r="U181" i="50162" s="1"/>
  <c r="AJ307" i="50162"/>
  <c r="AJ308" i="50162"/>
  <c r="AJ309" i="50162"/>
  <c r="AJ310" i="50162"/>
  <c r="AJ311" i="50162"/>
  <c r="U186" i="50162" s="1"/>
  <c r="AJ312" i="50162"/>
  <c r="U187" i="50162" s="1"/>
  <c r="AJ313" i="50162"/>
  <c r="AJ314" i="50162"/>
  <c r="U189" i="50162" s="1"/>
  <c r="AJ315" i="50162"/>
  <c r="AJ316" i="50162"/>
  <c r="AJ317" i="50162"/>
  <c r="AJ318" i="50162"/>
  <c r="AJ319" i="50162"/>
  <c r="U194" i="50162" s="1"/>
  <c r="AJ320" i="50162"/>
  <c r="U195" i="50162" s="1"/>
  <c r="AJ321" i="50162"/>
  <c r="AJ322" i="50162"/>
  <c r="U197" i="50162" s="1"/>
  <c r="AJ323" i="50162"/>
  <c r="AJ324" i="50162"/>
  <c r="AJ325" i="50162"/>
  <c r="AJ326" i="50162"/>
  <c r="AJ327" i="50162"/>
  <c r="U202" i="50162" s="1"/>
  <c r="AJ328" i="50162"/>
  <c r="U203" i="50162" s="1"/>
  <c r="AJ329" i="50162"/>
  <c r="AJ330" i="50162"/>
  <c r="U205" i="50162" s="1"/>
  <c r="AJ331" i="50162"/>
  <c r="AJ332" i="50162"/>
  <c r="AJ333" i="50162"/>
  <c r="AJ334" i="50162"/>
  <c r="AJ335" i="50162"/>
  <c r="U210" i="50162" s="1"/>
  <c r="AJ336" i="50162"/>
  <c r="U211" i="50162" s="1"/>
  <c r="AJ337" i="50162"/>
  <c r="AJ338" i="50162"/>
  <c r="U213" i="50162" s="1"/>
  <c r="AJ339" i="50162"/>
  <c r="AJ340" i="50162"/>
  <c r="AJ341" i="50162"/>
  <c r="AJ342" i="50162"/>
  <c r="AJ343" i="50162"/>
  <c r="U218" i="50162" s="1"/>
  <c r="AJ344" i="50162"/>
  <c r="U219" i="50162" s="1"/>
  <c r="AJ345" i="50162"/>
  <c r="AJ346" i="50162"/>
  <c r="U221" i="50162" s="1"/>
  <c r="AJ347" i="50162"/>
  <c r="AJ348" i="50162"/>
  <c r="AJ349" i="50162"/>
  <c r="AJ350" i="50162"/>
  <c r="AJ351" i="50162"/>
  <c r="U226" i="50162" s="1"/>
  <c r="AJ352" i="50162"/>
  <c r="U227" i="50162" s="1"/>
  <c r="AJ353" i="50162"/>
  <c r="AJ354" i="50162"/>
  <c r="U229" i="50162" s="1"/>
  <c r="AJ355" i="50162"/>
  <c r="AJ356" i="50162"/>
  <c r="AJ357" i="50162"/>
  <c r="AJ358" i="50162"/>
  <c r="AJ359" i="50162"/>
  <c r="X184" i="50162" s="1"/>
  <c r="AJ360" i="50162"/>
  <c r="X185" i="50162" s="1"/>
  <c r="AJ361" i="50162"/>
  <c r="AJ362" i="50162"/>
  <c r="X187" i="50162" s="1"/>
  <c r="AJ363" i="50162"/>
  <c r="AJ364" i="50162"/>
  <c r="AJ365" i="50162"/>
  <c r="AJ366" i="50162"/>
  <c r="AJ367" i="50162"/>
  <c r="X192" i="50162" s="1"/>
  <c r="AJ368" i="50162"/>
  <c r="X193" i="50162" s="1"/>
  <c r="AJ369" i="50162"/>
  <c r="AJ370" i="50162"/>
  <c r="X195" i="50162" s="1"/>
  <c r="AJ371" i="50162"/>
  <c r="AJ372" i="50162"/>
  <c r="AJ373" i="50162"/>
  <c r="AJ374" i="50162"/>
  <c r="AJ375" i="50162"/>
  <c r="X200" i="50162" s="1"/>
  <c r="AJ376" i="50162"/>
  <c r="X201" i="50162" s="1"/>
  <c r="AJ377" i="50162"/>
  <c r="AJ378" i="50162"/>
  <c r="X203" i="50162" s="1"/>
  <c r="AJ379" i="50162"/>
  <c r="AJ380" i="50162"/>
  <c r="AJ381" i="50162"/>
  <c r="AJ382" i="50162"/>
  <c r="AJ383" i="50162"/>
  <c r="X208" i="50162" s="1"/>
  <c r="AJ384" i="50162"/>
  <c r="X209" i="50162" s="1"/>
  <c r="AJ385" i="50162"/>
  <c r="AJ386" i="50162"/>
  <c r="X211" i="50162" s="1"/>
  <c r="AJ387" i="50162"/>
  <c r="AJ388" i="50162"/>
  <c r="AJ389" i="50162"/>
  <c r="AJ390" i="50162"/>
  <c r="AJ391" i="50162"/>
  <c r="X216" i="50162" s="1"/>
  <c r="AJ392" i="50162"/>
  <c r="X217" i="50162" s="1"/>
  <c r="AJ393" i="50162"/>
  <c r="AJ394" i="50162"/>
  <c r="X219" i="50162" s="1"/>
  <c r="AJ395" i="50162"/>
  <c r="AJ396" i="50162"/>
  <c r="AJ397" i="50162"/>
  <c r="AJ398" i="50162"/>
  <c r="AJ399" i="50162"/>
  <c r="X224" i="50162" s="1"/>
  <c r="AJ400" i="50162"/>
  <c r="X225" i="50162" s="1"/>
  <c r="AJ401" i="50162"/>
  <c r="AJ402" i="50162"/>
  <c r="X227" i="50162" s="1"/>
  <c r="AJ403" i="50162"/>
  <c r="AJ404" i="50162"/>
  <c r="AH411" i="50162"/>
  <c r="AI411" i="50162"/>
  <c r="AJ411" i="50162"/>
  <c r="AK411" i="50162"/>
  <c r="AL411" i="50162"/>
  <c r="AM411" i="50162"/>
  <c r="AN411" i="50162"/>
  <c r="AO411" i="50162"/>
  <c r="AP411" i="50162"/>
  <c r="AQ411" i="50162"/>
  <c r="AR411" i="50162"/>
  <c r="AS411" i="50162"/>
  <c r="AT411" i="50162"/>
  <c r="AU411" i="50162"/>
  <c r="AV411" i="50162"/>
  <c r="AW411" i="50162"/>
  <c r="AX411" i="50162"/>
  <c r="AY411" i="50162"/>
  <c r="AZ411" i="50162"/>
  <c r="BA411" i="50162"/>
  <c r="BB411" i="50162"/>
  <c r="AF413" i="50162"/>
  <c r="AG413" i="50162"/>
  <c r="AH413" i="50162"/>
  <c r="AI413" i="50162"/>
  <c r="AJ413" i="50162"/>
  <c r="AK413" i="50162"/>
  <c r="AL413" i="50162"/>
  <c r="AM413" i="50162"/>
  <c r="AN413" i="50162"/>
  <c r="AO413" i="50162"/>
  <c r="AP413" i="50162"/>
  <c r="AQ413" i="50162"/>
  <c r="AR413" i="50162"/>
  <c r="AS413" i="50162"/>
  <c r="AT413" i="50162"/>
  <c r="AU413" i="50162"/>
  <c r="AV413" i="50162"/>
  <c r="AW413" i="50162"/>
  <c r="AX413" i="50162"/>
  <c r="AY413" i="50162"/>
  <c r="AZ413" i="50162"/>
  <c r="BA413" i="50162"/>
  <c r="BB413" i="50162"/>
  <c r="AH410" i="50162"/>
  <c r="AI410" i="50162"/>
  <c r="AJ410" i="50162"/>
  <c r="AK410" i="50162"/>
  <c r="AL410" i="50162"/>
  <c r="AM410" i="50162"/>
  <c r="AN410" i="50162"/>
  <c r="AO410" i="50162"/>
  <c r="AP410" i="50162"/>
  <c r="AQ410" i="50162"/>
  <c r="AR410" i="50162"/>
  <c r="AS410" i="50162"/>
  <c r="AT410" i="50162"/>
  <c r="AU410" i="50162"/>
  <c r="AV410" i="50162"/>
  <c r="AW410" i="50162"/>
  <c r="AX410" i="50162"/>
  <c r="AY410" i="50162"/>
  <c r="AZ410" i="50162"/>
  <c r="BA410" i="50162"/>
  <c r="BB410" i="50162"/>
  <c r="AF412" i="50162"/>
  <c r="AG412" i="50162"/>
  <c r="AH412" i="50162"/>
  <c r="AI412" i="50162"/>
  <c r="AJ412" i="50162"/>
  <c r="AK412" i="50162"/>
  <c r="AL412" i="50162"/>
  <c r="AM412" i="50162"/>
  <c r="AN412" i="50162"/>
  <c r="AO412" i="50162"/>
  <c r="AP412" i="50162"/>
  <c r="AQ412" i="50162"/>
  <c r="AR412" i="50162"/>
  <c r="AS412" i="50162"/>
  <c r="AT412" i="50162"/>
  <c r="AU412" i="50162"/>
  <c r="AV412" i="50162"/>
  <c r="AW412" i="50162"/>
  <c r="AX412" i="50162"/>
  <c r="AY412" i="50162"/>
  <c r="AZ412" i="50162"/>
  <c r="BA412" i="50162"/>
  <c r="BB412" i="50162"/>
  <c r="AF418" i="50162"/>
  <c r="AF45" i="50162"/>
  <c r="AF46" i="50162"/>
  <c r="AF47" i="50162"/>
  <c r="AF48" i="50162"/>
  <c r="AF49" i="50162"/>
  <c r="AF50" i="50162"/>
  <c r="AF51" i="50162"/>
  <c r="AF52" i="50162"/>
  <c r="AF53" i="50162"/>
  <c r="AF54" i="50162"/>
  <c r="AF55" i="50162"/>
  <c r="AF56" i="50162"/>
  <c r="AF57" i="50162"/>
  <c r="AF58" i="50162"/>
  <c r="AF59" i="50162"/>
  <c r="AF60" i="50162"/>
  <c r="AF61" i="50162"/>
  <c r="AF62" i="50162"/>
  <c r="AF63" i="50162"/>
  <c r="AF64" i="50162"/>
  <c r="AF65" i="50162"/>
  <c r="AF66" i="50162"/>
  <c r="AF67" i="50162"/>
  <c r="AF68" i="50162"/>
  <c r="AF69" i="50162"/>
  <c r="AF70" i="50162"/>
  <c r="AF71" i="50162"/>
  <c r="AF72" i="50162"/>
  <c r="AF73" i="50162"/>
  <c r="AF74" i="50162"/>
  <c r="AF75" i="50162"/>
  <c r="AF76" i="50162"/>
  <c r="AF77" i="50162"/>
  <c r="AF78" i="50162"/>
  <c r="AF79" i="50162"/>
  <c r="AF80" i="50162"/>
  <c r="AF81" i="50162"/>
  <c r="AF82" i="50162"/>
  <c r="AF83" i="50162"/>
  <c r="AF84" i="50162"/>
  <c r="AF85" i="50162"/>
  <c r="AF86" i="50162"/>
  <c r="AF87" i="50162"/>
  <c r="AF88" i="50162"/>
  <c r="AF89" i="50162"/>
  <c r="AF90" i="50162"/>
  <c r="AF91" i="50162"/>
  <c r="AF92" i="50162"/>
  <c r="AF93" i="50162"/>
  <c r="AF94" i="50162"/>
  <c r="AF95" i="50162"/>
  <c r="AF96" i="50162"/>
  <c r="AF97" i="50162"/>
  <c r="AF98" i="50162"/>
  <c r="AF99" i="50162"/>
  <c r="AF100" i="50162"/>
  <c r="AF101" i="50162"/>
  <c r="AF102" i="50162"/>
  <c r="AF103" i="50162"/>
  <c r="AF104" i="50162"/>
  <c r="AF105" i="50162"/>
  <c r="AF106" i="50162"/>
  <c r="AF107" i="50162"/>
  <c r="AF108" i="50162"/>
  <c r="AF109" i="50162"/>
  <c r="AF110" i="50162"/>
  <c r="AF111" i="50162"/>
  <c r="AF112" i="50162"/>
  <c r="AF113" i="50162"/>
  <c r="AF114" i="50162"/>
  <c r="AF115" i="50162"/>
  <c r="AF116" i="50162"/>
  <c r="AF117" i="50162"/>
  <c r="AF118" i="50162"/>
  <c r="AF119" i="50162"/>
  <c r="AF120" i="50162"/>
  <c r="AF121" i="50162"/>
  <c r="AF122" i="50162"/>
  <c r="AF123" i="50162"/>
  <c r="AF124" i="50162"/>
  <c r="AF125" i="50162"/>
  <c r="AF126" i="50162"/>
  <c r="AF127" i="50162"/>
  <c r="AF128" i="50162"/>
  <c r="AF129" i="50162"/>
  <c r="AF130" i="50162"/>
  <c r="AF131" i="50162"/>
  <c r="AF132" i="50162"/>
  <c r="AF133" i="50162"/>
  <c r="AF134" i="50162"/>
  <c r="AF135" i="50162"/>
  <c r="AF136" i="50162"/>
  <c r="AF137" i="50162"/>
  <c r="AF138" i="50162"/>
  <c r="AF139" i="50162"/>
  <c r="AF140" i="50162"/>
  <c r="AF141" i="50162"/>
  <c r="AF142" i="50162"/>
  <c r="AF143" i="50162"/>
  <c r="AF144" i="50162"/>
  <c r="AF145" i="50162"/>
  <c r="AF146" i="50162"/>
  <c r="AF147" i="50162"/>
  <c r="AF148" i="50162"/>
  <c r="AF149" i="50162"/>
  <c r="AF150" i="50162"/>
  <c r="AF151" i="50162"/>
  <c r="AF152" i="50162"/>
  <c r="AF153" i="50162"/>
  <c r="AF154" i="50162"/>
  <c r="AF155" i="50162"/>
  <c r="AF156" i="50162"/>
  <c r="AF157" i="50162"/>
  <c r="AF158" i="50162"/>
  <c r="AF159" i="50162"/>
  <c r="AF160" i="50162"/>
  <c r="AF161" i="50162"/>
  <c r="AF162" i="50162"/>
  <c r="AF163" i="50162"/>
  <c r="AF164" i="50162"/>
  <c r="AF165" i="50162"/>
  <c r="AF166" i="50162"/>
  <c r="AF167" i="50162"/>
  <c r="AF168" i="50162"/>
  <c r="AF169" i="50162"/>
  <c r="AF170" i="50162"/>
  <c r="AF171" i="50162"/>
  <c r="AF172" i="50162"/>
  <c r="AF173" i="50162"/>
  <c r="AF174" i="50162"/>
  <c r="AF175" i="50162"/>
  <c r="AF176" i="50162"/>
  <c r="AF177" i="50162"/>
  <c r="AF178" i="50162"/>
  <c r="AF179" i="50162"/>
  <c r="AF180" i="50162"/>
  <c r="AF181" i="50162"/>
  <c r="AF182" i="50162"/>
  <c r="AF183" i="50162"/>
  <c r="AF184" i="50162"/>
  <c r="AF185" i="50162"/>
  <c r="AF186" i="50162"/>
  <c r="AF187" i="50162"/>
  <c r="AF188" i="50162"/>
  <c r="AF189" i="50162"/>
  <c r="AF190" i="50162"/>
  <c r="AF191" i="50162"/>
  <c r="AF192" i="50162"/>
  <c r="AF193" i="50162"/>
  <c r="AF194" i="50162"/>
  <c r="AF195" i="50162"/>
  <c r="AF196" i="50162"/>
  <c r="AF197" i="50162"/>
  <c r="AF198" i="50162"/>
  <c r="AF199" i="50162"/>
  <c r="AF200" i="50162"/>
  <c r="AF201" i="50162"/>
  <c r="AF202" i="50162"/>
  <c r="AF203" i="50162"/>
  <c r="AF204" i="50162"/>
  <c r="AF205" i="50162"/>
  <c r="AF206" i="50162"/>
  <c r="AF207" i="50162"/>
  <c r="AF208" i="50162"/>
  <c r="AF209" i="50162"/>
  <c r="AF210" i="50162"/>
  <c r="AF211" i="50162"/>
  <c r="AF212" i="50162"/>
  <c r="AF213" i="50162"/>
  <c r="AF214" i="50162"/>
  <c r="AF215" i="50162"/>
  <c r="AF216" i="50162"/>
  <c r="AF217" i="50162"/>
  <c r="AF218" i="50162"/>
  <c r="AF219" i="50162"/>
  <c r="AF220" i="50162"/>
  <c r="AF221" i="50162"/>
  <c r="AF222" i="50162"/>
  <c r="AF223" i="50162"/>
  <c r="AF224" i="50162"/>
  <c r="AF225" i="50162"/>
  <c r="AF226" i="50162"/>
  <c r="AF227" i="50162"/>
  <c r="AF228" i="50162"/>
  <c r="AF229" i="50162"/>
  <c r="AF230" i="50162"/>
  <c r="AF231" i="50162"/>
  <c r="AF232" i="50162"/>
  <c r="AF233" i="50162"/>
  <c r="AF234" i="50162"/>
  <c r="AF235" i="50162"/>
  <c r="AF236" i="50162"/>
  <c r="AF237" i="50162"/>
  <c r="AF238" i="50162"/>
  <c r="AF239" i="50162"/>
  <c r="AF240" i="50162"/>
  <c r="AF241" i="50162"/>
  <c r="AF242" i="50162"/>
  <c r="AF243" i="50162"/>
  <c r="AF244" i="50162"/>
  <c r="AF245" i="50162"/>
  <c r="AF246" i="50162"/>
  <c r="AF247" i="50162"/>
  <c r="AF248" i="50162"/>
  <c r="AF249" i="50162"/>
  <c r="AF250" i="50162"/>
  <c r="AF251" i="50162"/>
  <c r="AF252" i="50162"/>
  <c r="AF253" i="50162"/>
  <c r="AF254" i="50162"/>
  <c r="AF255" i="50162"/>
  <c r="AF256" i="50162"/>
  <c r="AF257" i="50162"/>
  <c r="AF258" i="50162"/>
  <c r="AF259" i="50162"/>
  <c r="AF260" i="50162"/>
  <c r="AF261" i="50162"/>
  <c r="AF262" i="50162"/>
  <c r="AF263" i="50162"/>
  <c r="AF264" i="50162"/>
  <c r="AF265" i="50162"/>
  <c r="AF266" i="50162"/>
  <c r="AF267" i="50162"/>
  <c r="AF268" i="50162"/>
  <c r="AF269" i="50162"/>
  <c r="AF270" i="50162"/>
  <c r="AF271" i="50162"/>
  <c r="AF272" i="50162"/>
  <c r="AF273" i="50162"/>
  <c r="AF274" i="50162"/>
  <c r="AF275" i="50162"/>
  <c r="AF276" i="50162"/>
  <c r="AF277" i="50162"/>
  <c r="AF278" i="50162"/>
  <c r="AF279" i="50162"/>
  <c r="AF280" i="50162"/>
  <c r="AF281" i="50162"/>
  <c r="AF282" i="50162"/>
  <c r="AF283" i="50162"/>
  <c r="AF284" i="50162"/>
  <c r="AF285" i="50162"/>
  <c r="AF286" i="50162"/>
  <c r="AF287" i="50162"/>
  <c r="AF288" i="50162"/>
  <c r="AF289" i="50162"/>
  <c r="AF290" i="50162"/>
  <c r="AF291" i="50162"/>
  <c r="AF292" i="50162"/>
  <c r="AF293" i="50162"/>
  <c r="AF294" i="50162"/>
  <c r="AF295" i="50162"/>
  <c r="AF296" i="50162"/>
  <c r="AF297" i="50162"/>
  <c r="AF298" i="50162"/>
  <c r="AF299" i="50162"/>
  <c r="AF300" i="50162"/>
  <c r="AF301" i="50162"/>
  <c r="AF302" i="50162"/>
  <c r="AF303" i="50162"/>
  <c r="AF304" i="50162"/>
  <c r="AF305" i="50162"/>
  <c r="AF306" i="50162"/>
  <c r="AF307" i="50162"/>
  <c r="AF308" i="50162"/>
  <c r="AF309" i="50162"/>
  <c r="AF310" i="50162"/>
  <c r="AF311" i="50162"/>
  <c r="AF312" i="50162"/>
  <c r="AF313" i="50162"/>
  <c r="AF314" i="50162"/>
  <c r="AF315" i="50162"/>
  <c r="AF316" i="50162"/>
  <c r="AF317" i="50162"/>
  <c r="AF318" i="50162"/>
  <c r="AF319" i="50162"/>
  <c r="AF320" i="50162"/>
  <c r="AF321" i="50162"/>
  <c r="AF322" i="50162"/>
  <c r="AF323" i="50162"/>
  <c r="AF324" i="50162"/>
  <c r="AF325" i="50162"/>
  <c r="AF326" i="50162"/>
  <c r="AF327" i="50162"/>
  <c r="AF328" i="50162"/>
  <c r="AF329" i="50162"/>
  <c r="AF330" i="50162"/>
  <c r="AF331" i="50162"/>
  <c r="AF332" i="50162"/>
  <c r="AF333" i="50162"/>
  <c r="AF334" i="50162"/>
  <c r="AF335" i="50162"/>
  <c r="AF336" i="50162"/>
  <c r="AF337" i="50162"/>
  <c r="AF338" i="50162"/>
  <c r="AF339" i="50162"/>
  <c r="AF340" i="50162"/>
  <c r="AF341" i="50162"/>
  <c r="AF342" i="50162"/>
  <c r="AF343" i="50162"/>
  <c r="AF344" i="50162"/>
  <c r="AF345" i="50162"/>
  <c r="AF346" i="50162"/>
  <c r="AF347" i="50162"/>
  <c r="AF348" i="50162"/>
  <c r="AF349" i="50162"/>
  <c r="AF350" i="50162"/>
  <c r="AF351" i="50162"/>
  <c r="AF352" i="50162"/>
  <c r="AF353" i="50162"/>
  <c r="AF354" i="50162"/>
  <c r="AF355" i="50162"/>
  <c r="AF356" i="50162"/>
  <c r="AF357" i="50162"/>
  <c r="AF358" i="50162"/>
  <c r="AF359" i="50162"/>
  <c r="AF360" i="50162"/>
  <c r="AF361" i="50162"/>
  <c r="AF362" i="50162"/>
  <c r="AF363" i="50162"/>
  <c r="AF364" i="50162"/>
  <c r="AF365" i="50162"/>
  <c r="AF366" i="50162"/>
  <c r="AF367" i="50162"/>
  <c r="AF368" i="50162"/>
  <c r="AF369" i="50162"/>
  <c r="AF370" i="50162"/>
  <c r="AF371" i="50162"/>
  <c r="AF372" i="50162"/>
  <c r="AF373" i="50162"/>
  <c r="AF374" i="50162"/>
  <c r="AF375" i="50162"/>
  <c r="AF376" i="50162"/>
  <c r="AF377" i="50162"/>
  <c r="AF378" i="50162"/>
  <c r="AF379" i="50162"/>
  <c r="AF380" i="50162"/>
  <c r="AF381" i="50162"/>
  <c r="AF382" i="50162"/>
  <c r="AF383" i="50162"/>
  <c r="AF384" i="50162"/>
  <c r="AF385" i="50162"/>
  <c r="AF386" i="50162"/>
  <c r="AF387" i="50162"/>
  <c r="AF388" i="50162"/>
  <c r="AF389" i="50162"/>
  <c r="AF390" i="50162"/>
  <c r="AF391" i="50162"/>
  <c r="AF392" i="50162"/>
  <c r="AF393" i="50162"/>
  <c r="AF394" i="50162"/>
  <c r="AF395" i="50162"/>
  <c r="AF396" i="50162"/>
  <c r="AF397" i="50162"/>
  <c r="AF398" i="50162"/>
  <c r="AF399" i="50162"/>
  <c r="AF400" i="50162"/>
  <c r="AF401" i="50162"/>
  <c r="AF402" i="50162"/>
  <c r="AF403" i="50162"/>
  <c r="AF404" i="50162"/>
  <c r="AI45" i="50162"/>
  <c r="AI46" i="50162"/>
  <c r="B221" i="50162" s="1"/>
  <c r="AI47" i="50162"/>
  <c r="AI48" i="50162"/>
  <c r="AI49" i="50162"/>
  <c r="AI50" i="50162"/>
  <c r="AI51" i="50162"/>
  <c r="AI52" i="50162"/>
  <c r="AI53" i="50162"/>
  <c r="AI54" i="50162"/>
  <c r="B229" i="50162" s="1"/>
  <c r="AI55" i="50162"/>
  <c r="AI56" i="50162"/>
  <c r="AI57" i="50162"/>
  <c r="AI58" i="50162"/>
  <c r="AI59" i="50162"/>
  <c r="AI60" i="50162"/>
  <c r="AI61" i="50162"/>
  <c r="AI62" i="50162"/>
  <c r="E187" i="50162" s="1"/>
  <c r="AI63" i="50162"/>
  <c r="AI64" i="50162"/>
  <c r="AI65" i="50162"/>
  <c r="AI66" i="50162"/>
  <c r="AI67" i="50162"/>
  <c r="AI68" i="50162"/>
  <c r="AI69" i="50162"/>
  <c r="AI70" i="50162"/>
  <c r="E195" i="50162" s="1"/>
  <c r="AI71" i="50162"/>
  <c r="AI72" i="50162"/>
  <c r="AI73" i="50162"/>
  <c r="AI74" i="50162"/>
  <c r="AI75" i="50162"/>
  <c r="AI76" i="50162"/>
  <c r="AI77" i="50162"/>
  <c r="AI78" i="50162"/>
  <c r="E203" i="50162" s="1"/>
  <c r="AI79" i="50162"/>
  <c r="AI80" i="50162"/>
  <c r="AI81" i="50162"/>
  <c r="AI82" i="50162"/>
  <c r="AI83" i="50162"/>
  <c r="AI84" i="50162"/>
  <c r="AI85" i="50162"/>
  <c r="AI86" i="50162"/>
  <c r="E211" i="50162" s="1"/>
  <c r="AI87" i="50162"/>
  <c r="AI88" i="50162"/>
  <c r="AI89" i="50162"/>
  <c r="AI90" i="50162"/>
  <c r="AI91" i="50162"/>
  <c r="AI92" i="50162"/>
  <c r="AI93" i="50162"/>
  <c r="AI94" i="50162"/>
  <c r="E219" i="50162" s="1"/>
  <c r="AI95" i="50162"/>
  <c r="AI96" i="50162"/>
  <c r="AI97" i="50162"/>
  <c r="AI98" i="50162"/>
  <c r="AI99" i="50162"/>
  <c r="AI100" i="50162"/>
  <c r="AI101" i="50162"/>
  <c r="AI102" i="50162"/>
  <c r="E227" i="50162" s="1"/>
  <c r="AI103" i="50162"/>
  <c r="AI104" i="50162"/>
  <c r="AI105" i="50162"/>
  <c r="AI106" i="50162"/>
  <c r="AI107" i="50162"/>
  <c r="AI108" i="50162"/>
  <c r="AI109" i="50162"/>
  <c r="AI110" i="50162"/>
  <c r="H185" i="50162" s="1"/>
  <c r="AI111" i="50162"/>
  <c r="AI112" i="50162"/>
  <c r="AI113" i="50162"/>
  <c r="AI114" i="50162"/>
  <c r="AI115" i="50162"/>
  <c r="AI116" i="50162"/>
  <c r="AI117" i="50162"/>
  <c r="AI118" i="50162"/>
  <c r="H193" i="50162" s="1"/>
  <c r="AI119" i="50162"/>
  <c r="AI120" i="50162"/>
  <c r="AI121" i="50162"/>
  <c r="AI122" i="50162"/>
  <c r="AI123" i="50162"/>
  <c r="AI124" i="50162"/>
  <c r="AI125" i="50162"/>
  <c r="AI126" i="50162"/>
  <c r="H201" i="50162" s="1"/>
  <c r="AI127" i="50162"/>
  <c r="AI128" i="50162"/>
  <c r="AI129" i="50162"/>
  <c r="AI130" i="50162"/>
  <c r="AI131" i="50162"/>
  <c r="AI132" i="50162"/>
  <c r="AI133" i="50162"/>
  <c r="AI134" i="50162"/>
  <c r="H209" i="50162" s="1"/>
  <c r="AI135" i="50162"/>
  <c r="AI136" i="50162"/>
  <c r="AI137" i="50162"/>
  <c r="AI138" i="50162"/>
  <c r="AI139" i="50162"/>
  <c r="AI140" i="50162"/>
  <c r="AI141" i="50162"/>
  <c r="AI142" i="50162"/>
  <c r="H217" i="50162" s="1"/>
  <c r="AI143" i="50162"/>
  <c r="AI144" i="50162"/>
  <c r="AI145" i="50162"/>
  <c r="AI146" i="50162"/>
  <c r="AI147" i="50162"/>
  <c r="AI148" i="50162"/>
  <c r="AI149" i="50162"/>
  <c r="AI150" i="50162"/>
  <c r="H225" i="50162" s="1"/>
  <c r="AI151" i="50162"/>
  <c r="AI152" i="50162"/>
  <c r="AI153" i="50162"/>
  <c r="AI154" i="50162"/>
  <c r="AI155" i="50162"/>
  <c r="AI156" i="50162"/>
  <c r="AI157" i="50162"/>
  <c r="AI158" i="50162"/>
  <c r="K183" i="50162" s="1"/>
  <c r="AI159" i="50162"/>
  <c r="AI160" i="50162"/>
  <c r="AI161" i="50162"/>
  <c r="AI162" i="50162"/>
  <c r="AI163" i="50162"/>
  <c r="AI164" i="50162"/>
  <c r="AI165" i="50162"/>
  <c r="AI166" i="50162"/>
  <c r="K191" i="50162" s="1"/>
  <c r="AI167" i="50162"/>
  <c r="AI168" i="50162"/>
  <c r="AI169" i="50162"/>
  <c r="AI170" i="50162"/>
  <c r="AI171" i="50162"/>
  <c r="AI172" i="50162"/>
  <c r="AI173" i="50162"/>
  <c r="AI174" i="50162"/>
  <c r="K199" i="50162" s="1"/>
  <c r="AI175" i="50162"/>
  <c r="AI176" i="50162"/>
  <c r="AI177" i="50162"/>
  <c r="AI178" i="50162"/>
  <c r="AI179" i="50162"/>
  <c r="AI180" i="50162"/>
  <c r="AI181" i="50162"/>
  <c r="AI182" i="50162"/>
  <c r="K207" i="50162" s="1"/>
  <c r="AI183" i="50162"/>
  <c r="AI184" i="50162"/>
  <c r="AI185" i="50162"/>
  <c r="AI186" i="50162"/>
  <c r="AI187" i="50162"/>
  <c r="AI188" i="50162"/>
  <c r="AI189" i="50162"/>
  <c r="AI190" i="50162"/>
  <c r="K215" i="50162" s="1"/>
  <c r="AI191" i="50162"/>
  <c r="AI192" i="50162"/>
  <c r="AI193" i="50162"/>
  <c r="AI194" i="50162"/>
  <c r="AI195" i="50162"/>
  <c r="AI196" i="50162"/>
  <c r="AI197" i="50162"/>
  <c r="AI198" i="50162"/>
  <c r="K223" i="50162" s="1"/>
  <c r="AI199" i="50162"/>
  <c r="AI200" i="50162"/>
  <c r="AI201" i="50162"/>
  <c r="AI202" i="50162"/>
  <c r="AI203" i="50162"/>
  <c r="AI204" i="50162"/>
  <c r="AI205" i="50162"/>
  <c r="AI206" i="50162"/>
  <c r="N181" i="50162" s="1"/>
  <c r="AI207" i="50162"/>
  <c r="AI208" i="50162"/>
  <c r="AI209" i="50162"/>
  <c r="AI210" i="50162"/>
  <c r="AI211" i="50162"/>
  <c r="AI212" i="50162"/>
  <c r="AI213" i="50162"/>
  <c r="AI214" i="50162"/>
  <c r="N189" i="50162" s="1"/>
  <c r="AI215" i="50162"/>
  <c r="AI216" i="50162"/>
  <c r="AI217" i="50162"/>
  <c r="AI218" i="50162"/>
  <c r="AI219" i="50162"/>
  <c r="AI220" i="50162"/>
  <c r="AI221" i="50162"/>
  <c r="AI222" i="50162"/>
  <c r="N197" i="50162" s="1"/>
  <c r="AI223" i="50162"/>
  <c r="AI224" i="50162"/>
  <c r="AI225" i="50162"/>
  <c r="AI226" i="50162"/>
  <c r="AI227" i="50162"/>
  <c r="AI228" i="50162"/>
  <c r="AI229" i="50162"/>
  <c r="AI230" i="50162"/>
  <c r="N205" i="50162" s="1"/>
  <c r="AI231" i="50162"/>
  <c r="AI232" i="50162"/>
  <c r="AI233" i="50162"/>
  <c r="AI234" i="50162"/>
  <c r="AI235" i="50162"/>
  <c r="AI236" i="50162"/>
  <c r="AI237" i="50162"/>
  <c r="AI238" i="50162"/>
  <c r="N213" i="50162" s="1"/>
  <c r="AI239" i="50162"/>
  <c r="AI240" i="50162"/>
  <c r="AI241" i="50162"/>
  <c r="AI242" i="50162"/>
  <c r="AI243" i="50162"/>
  <c r="AI244" i="50162"/>
  <c r="AI245" i="50162"/>
  <c r="AI246" i="50162"/>
  <c r="N221" i="50162" s="1"/>
  <c r="AI247" i="50162"/>
  <c r="AI248" i="50162"/>
  <c r="AI249" i="50162"/>
  <c r="AI250" i="50162"/>
  <c r="AI251" i="50162"/>
  <c r="AI252" i="50162"/>
  <c r="AI253" i="50162"/>
  <c r="AI254" i="50162"/>
  <c r="N229" i="50162" s="1"/>
  <c r="AI255" i="50162"/>
  <c r="AI256" i="50162"/>
  <c r="AI257" i="50162"/>
  <c r="AI258" i="50162"/>
  <c r="AI259" i="50162"/>
  <c r="AI260" i="50162"/>
  <c r="AI261" i="50162"/>
  <c r="AI262" i="50162"/>
  <c r="Q187" i="50162" s="1"/>
  <c r="AI263" i="50162"/>
  <c r="AI264" i="50162"/>
  <c r="AI265" i="50162"/>
  <c r="AI266" i="50162"/>
  <c r="AI267" i="50162"/>
  <c r="AI268" i="50162"/>
  <c r="AI269" i="50162"/>
  <c r="AI270" i="50162"/>
  <c r="Q195" i="50162" s="1"/>
  <c r="AI271" i="50162"/>
  <c r="AI272" i="50162"/>
  <c r="AI273" i="50162"/>
  <c r="AI274" i="50162"/>
  <c r="AI275" i="50162"/>
  <c r="AI276" i="50162"/>
  <c r="AI277" i="50162"/>
  <c r="AI278" i="50162"/>
  <c r="Q203" i="50162" s="1"/>
  <c r="AI279" i="50162"/>
  <c r="AI280" i="50162"/>
  <c r="AI281" i="50162"/>
  <c r="AI282" i="50162"/>
  <c r="AI283" i="50162"/>
  <c r="AI284" i="50162"/>
  <c r="AI285" i="50162"/>
  <c r="AI286" i="50162"/>
  <c r="Q211" i="50162" s="1"/>
  <c r="AI287" i="50162"/>
  <c r="AI288" i="50162"/>
  <c r="AI289" i="50162"/>
  <c r="AI290" i="50162"/>
  <c r="AI291" i="50162"/>
  <c r="AI292" i="50162"/>
  <c r="AI293" i="50162"/>
  <c r="AI294" i="50162"/>
  <c r="Q219" i="50162" s="1"/>
  <c r="AI295" i="50162"/>
  <c r="AI296" i="50162"/>
  <c r="AI297" i="50162"/>
  <c r="AI298" i="50162"/>
  <c r="AI299" i="50162"/>
  <c r="AI300" i="50162"/>
  <c r="AI301" i="50162"/>
  <c r="AI302" i="50162"/>
  <c r="Q227" i="50162" s="1"/>
  <c r="AI303" i="50162"/>
  <c r="AI304" i="50162"/>
  <c r="AI305" i="50162"/>
  <c r="T180" i="50162" s="1"/>
  <c r="AI306" i="50162"/>
  <c r="AI307" i="50162"/>
  <c r="AI308" i="50162"/>
  <c r="AI309" i="50162"/>
  <c r="AI310" i="50162"/>
  <c r="T185" i="50162" s="1"/>
  <c r="AI311" i="50162"/>
  <c r="T186" i="50162" s="1"/>
  <c r="AI312" i="50162"/>
  <c r="AI313" i="50162"/>
  <c r="T188" i="50162" s="1"/>
  <c r="AI314" i="50162"/>
  <c r="AI315" i="50162"/>
  <c r="AI316" i="50162"/>
  <c r="AI317" i="50162"/>
  <c r="AI318" i="50162"/>
  <c r="T193" i="50162" s="1"/>
  <c r="AI319" i="50162"/>
  <c r="AI320" i="50162"/>
  <c r="AI321" i="50162"/>
  <c r="T196" i="50162" s="1"/>
  <c r="AI322" i="50162"/>
  <c r="AI323" i="50162"/>
  <c r="AI324" i="50162"/>
  <c r="AI325" i="50162"/>
  <c r="AI326" i="50162"/>
  <c r="T201" i="50162" s="1"/>
  <c r="AI327" i="50162"/>
  <c r="AI328" i="50162"/>
  <c r="AI329" i="50162"/>
  <c r="T204" i="50162" s="1"/>
  <c r="AI330" i="50162"/>
  <c r="AI331" i="50162"/>
  <c r="AI332" i="50162"/>
  <c r="AI333" i="50162"/>
  <c r="AI334" i="50162"/>
  <c r="T209" i="50162" s="1"/>
  <c r="AI335" i="50162"/>
  <c r="AI336" i="50162"/>
  <c r="AI337" i="50162"/>
  <c r="T212" i="50162" s="1"/>
  <c r="AI338" i="50162"/>
  <c r="AI339" i="50162"/>
  <c r="AI340" i="50162"/>
  <c r="AI341" i="50162"/>
  <c r="AI342" i="50162"/>
  <c r="T217" i="50162" s="1"/>
  <c r="AI343" i="50162"/>
  <c r="T218" i="50162" s="1"/>
  <c r="AI344" i="50162"/>
  <c r="AI345" i="50162"/>
  <c r="T220" i="50162" s="1"/>
  <c r="AI346" i="50162"/>
  <c r="AI347" i="50162"/>
  <c r="AI348" i="50162"/>
  <c r="AI349" i="50162"/>
  <c r="AI350" i="50162"/>
  <c r="T225" i="50162" s="1"/>
  <c r="AI351" i="50162"/>
  <c r="T226" i="50162" s="1"/>
  <c r="AI352" i="50162"/>
  <c r="AI353" i="50162"/>
  <c r="T228" i="50162" s="1"/>
  <c r="AI354" i="50162"/>
  <c r="AI355" i="50162"/>
  <c r="AI356" i="50162"/>
  <c r="AI357" i="50162"/>
  <c r="AI358" i="50162"/>
  <c r="W183" i="50162" s="1"/>
  <c r="AI359" i="50162"/>
  <c r="W184" i="50162" s="1"/>
  <c r="AI360" i="50162"/>
  <c r="AI361" i="50162"/>
  <c r="AI362" i="50162"/>
  <c r="AI363" i="50162"/>
  <c r="AI364" i="50162"/>
  <c r="AI365" i="50162"/>
  <c r="AI366" i="50162"/>
  <c r="W191" i="50162" s="1"/>
  <c r="AI367" i="50162"/>
  <c r="W192" i="50162" s="1"/>
  <c r="AI368" i="50162"/>
  <c r="AI369" i="50162"/>
  <c r="W194" i="50162" s="1"/>
  <c r="AI370" i="50162"/>
  <c r="AI371" i="50162"/>
  <c r="AI372" i="50162"/>
  <c r="AI373" i="50162"/>
  <c r="AI374" i="50162"/>
  <c r="W199" i="50162" s="1"/>
  <c r="AI375" i="50162"/>
  <c r="W200" i="50162" s="1"/>
  <c r="AI376" i="50162"/>
  <c r="AI377" i="50162"/>
  <c r="AI378" i="50162"/>
  <c r="AI379" i="50162"/>
  <c r="AI380" i="50162"/>
  <c r="AI381" i="50162"/>
  <c r="AI382" i="50162"/>
  <c r="W207" i="50162" s="1"/>
  <c r="AI383" i="50162"/>
  <c r="W208" i="50162" s="1"/>
  <c r="AI384" i="50162"/>
  <c r="AI385" i="50162"/>
  <c r="W210" i="50162" s="1"/>
  <c r="AI386" i="50162"/>
  <c r="AI387" i="50162"/>
  <c r="AI388" i="50162"/>
  <c r="AI389" i="50162"/>
  <c r="AI390" i="50162"/>
  <c r="W215" i="50162" s="1"/>
  <c r="AI391" i="50162"/>
  <c r="W216" i="50162" s="1"/>
  <c r="AI392" i="50162"/>
  <c r="AI393" i="50162"/>
  <c r="AI394" i="50162"/>
  <c r="AI395" i="50162"/>
  <c r="AI396" i="50162"/>
  <c r="AI397" i="50162"/>
  <c r="AI398" i="50162"/>
  <c r="W223" i="50162" s="1"/>
  <c r="AI399" i="50162"/>
  <c r="W224" i="50162" s="1"/>
  <c r="AI400" i="50162"/>
  <c r="AI401" i="50162"/>
  <c r="W226" i="50162" s="1"/>
  <c r="AI402" i="50162"/>
  <c r="AI403" i="50162"/>
  <c r="AI404" i="50162"/>
  <c r="AB355" i="50162"/>
  <c r="AC45" i="50161"/>
  <c r="AC46" i="50161"/>
  <c r="AC47" i="50161"/>
  <c r="AC48" i="50161"/>
  <c r="AC49" i="50161"/>
  <c r="AC50" i="50161"/>
  <c r="AC51" i="50161"/>
  <c r="AC52" i="50161"/>
  <c r="AC53" i="50161"/>
  <c r="AC54" i="50161"/>
  <c r="AC55" i="50161"/>
  <c r="AC56" i="50161"/>
  <c r="AC57" i="50161"/>
  <c r="AC58" i="50161"/>
  <c r="AC59" i="50161"/>
  <c r="AC60" i="50161"/>
  <c r="AC61" i="50161"/>
  <c r="AC62" i="50161"/>
  <c r="AC63" i="50161"/>
  <c r="AC64" i="50161"/>
  <c r="AC65" i="50161"/>
  <c r="AC66" i="50161"/>
  <c r="AC67" i="50161"/>
  <c r="AC68" i="50161"/>
  <c r="AC69" i="50161"/>
  <c r="AC70" i="50161"/>
  <c r="AC71" i="50161"/>
  <c r="AC72" i="50161"/>
  <c r="AC73" i="50161"/>
  <c r="AC74" i="50161"/>
  <c r="AC75" i="50161"/>
  <c r="AC76" i="50161"/>
  <c r="AC77" i="50161"/>
  <c r="AC78" i="50161"/>
  <c r="AC79" i="50161"/>
  <c r="AC80" i="50161"/>
  <c r="AC81" i="50161"/>
  <c r="AC82" i="50161"/>
  <c r="AC83" i="50161"/>
  <c r="AC84" i="50161"/>
  <c r="AC85" i="50161"/>
  <c r="AC86" i="50161"/>
  <c r="AC87" i="50161"/>
  <c r="AC88" i="50161"/>
  <c r="AC89" i="50161"/>
  <c r="AC90" i="50161"/>
  <c r="AC91" i="50161"/>
  <c r="AC92" i="50161"/>
  <c r="AC93" i="50161"/>
  <c r="AC94" i="50161"/>
  <c r="AC95" i="50161"/>
  <c r="AC96" i="50161"/>
  <c r="AC97" i="50161"/>
  <c r="AC98" i="50161"/>
  <c r="AC99" i="50161"/>
  <c r="AC100" i="50161"/>
  <c r="AC101" i="50161"/>
  <c r="AC102" i="50161"/>
  <c r="AC103" i="50161"/>
  <c r="AC104" i="50161"/>
  <c r="AC105" i="50161"/>
  <c r="AC106" i="50161"/>
  <c r="AC107" i="50161"/>
  <c r="AC108" i="50161"/>
  <c r="AC109" i="50161"/>
  <c r="AC110" i="50161"/>
  <c r="AC111" i="50161"/>
  <c r="AC112" i="50161"/>
  <c r="AC113" i="50161"/>
  <c r="AC114" i="50161"/>
  <c r="AC115" i="50161"/>
  <c r="AC116" i="50161"/>
  <c r="AC117" i="50161"/>
  <c r="AC118" i="50161"/>
  <c r="AC119" i="50161"/>
  <c r="AC120" i="50161"/>
  <c r="AC121" i="50161"/>
  <c r="AC122" i="50161"/>
  <c r="AC123" i="50161"/>
  <c r="AC124" i="50161"/>
  <c r="AC125" i="50161"/>
  <c r="AC126" i="50161"/>
  <c r="AC127" i="50161"/>
  <c r="AC128" i="50161"/>
  <c r="AC129" i="50161"/>
  <c r="AC130" i="50161"/>
  <c r="AC131" i="50161"/>
  <c r="AC132" i="50161"/>
  <c r="AC133" i="50161"/>
  <c r="AC134" i="50161"/>
  <c r="AC135" i="50161"/>
  <c r="AC136" i="50161"/>
  <c r="AC137" i="50161"/>
  <c r="AC138" i="50161"/>
  <c r="AC139" i="50161"/>
  <c r="AC140" i="50161"/>
  <c r="AC141" i="50161"/>
  <c r="AC142" i="50161"/>
  <c r="AC143" i="50161"/>
  <c r="AC144" i="50161"/>
  <c r="AC145" i="50161"/>
  <c r="AC146" i="50161"/>
  <c r="AC147" i="50161"/>
  <c r="AC148" i="50161"/>
  <c r="AC149" i="50161"/>
  <c r="AC150" i="50161"/>
  <c r="AC151" i="50161"/>
  <c r="AC152" i="50161"/>
  <c r="AC153" i="50161"/>
  <c r="AC154" i="50161"/>
  <c r="AC155" i="50161"/>
  <c r="AC156" i="50161"/>
  <c r="AC157" i="50161"/>
  <c r="AC158" i="50161"/>
  <c r="AC159" i="50161"/>
  <c r="AC160" i="50161"/>
  <c r="AC161" i="50161"/>
  <c r="AC162" i="50161"/>
  <c r="AC163" i="50161"/>
  <c r="AC164" i="50161"/>
  <c r="AC165" i="50161"/>
  <c r="AC166" i="50161"/>
  <c r="AC167" i="50161"/>
  <c r="AC168" i="50161"/>
  <c r="AC169" i="50161"/>
  <c r="AC170" i="50161"/>
  <c r="AC171" i="50161"/>
  <c r="AC172" i="50161"/>
  <c r="AC173" i="50161"/>
  <c r="AC174" i="50161"/>
  <c r="AC175" i="50161"/>
  <c r="AC176" i="50161"/>
  <c r="AC177" i="50161"/>
  <c r="AC178" i="50161"/>
  <c r="AC179" i="50161"/>
  <c r="AC180" i="50161"/>
  <c r="AC181" i="50161"/>
  <c r="AC182" i="50161"/>
  <c r="AC183" i="50161"/>
  <c r="AC184" i="50161"/>
  <c r="AC185" i="50161"/>
  <c r="AC186" i="50161"/>
  <c r="AC187" i="50161"/>
  <c r="AC188" i="50161"/>
  <c r="AC189" i="50161"/>
  <c r="AC190" i="50161"/>
  <c r="AC191" i="50161"/>
  <c r="AC192" i="50161"/>
  <c r="AC193" i="50161"/>
  <c r="AC194" i="50161"/>
  <c r="AC195" i="50161"/>
  <c r="AC196" i="50161"/>
  <c r="AC197" i="50161"/>
  <c r="AC198" i="50161"/>
  <c r="AC199" i="50161"/>
  <c r="AC200" i="50161"/>
  <c r="AC201" i="50161"/>
  <c r="AC202" i="50161"/>
  <c r="AC203" i="50161"/>
  <c r="AC204" i="50161"/>
  <c r="AC205" i="50161"/>
  <c r="AC206" i="50161"/>
  <c r="AC207" i="50161"/>
  <c r="AC208" i="50161"/>
  <c r="AC209" i="50161"/>
  <c r="AC210" i="50161"/>
  <c r="AC211" i="50161"/>
  <c r="AC212" i="50161"/>
  <c r="AC213" i="50161"/>
  <c r="AC214" i="50161"/>
  <c r="AC215" i="50161"/>
  <c r="AC216" i="50161"/>
  <c r="AC217" i="50161"/>
  <c r="AC218" i="50161"/>
  <c r="AC219" i="50161"/>
  <c r="AC220" i="50161"/>
  <c r="AC221" i="50161"/>
  <c r="AC222" i="50161"/>
  <c r="AC223" i="50161"/>
  <c r="AC224" i="50161"/>
  <c r="AC225" i="50161"/>
  <c r="AC226" i="50161"/>
  <c r="AC227" i="50161"/>
  <c r="AC228" i="50161"/>
  <c r="AC229" i="50161"/>
  <c r="AC230" i="50161"/>
  <c r="AC231" i="50161"/>
  <c r="AC232" i="50161"/>
  <c r="AC233" i="50161"/>
  <c r="AC234" i="50161"/>
  <c r="AC235" i="50161"/>
  <c r="AC236" i="50161"/>
  <c r="AC237" i="50161"/>
  <c r="AC238" i="50161"/>
  <c r="AC239" i="50161"/>
  <c r="AC240" i="50161"/>
  <c r="AC241" i="50161"/>
  <c r="AC242" i="50161"/>
  <c r="AC243" i="50161"/>
  <c r="AC244" i="50161"/>
  <c r="AC245" i="50161"/>
  <c r="AC246" i="50161"/>
  <c r="AC247" i="50161"/>
  <c r="AC248" i="50161"/>
  <c r="AC249" i="50161"/>
  <c r="AC250" i="50161"/>
  <c r="AC251" i="50161"/>
  <c r="AC252" i="50161"/>
  <c r="AC253" i="50161"/>
  <c r="AC254" i="50161"/>
  <c r="AC255" i="50161"/>
  <c r="AC256" i="50161"/>
  <c r="AC257" i="50161"/>
  <c r="AC258" i="50161"/>
  <c r="AC259" i="50161"/>
  <c r="AC260" i="50161"/>
  <c r="AC261" i="50161"/>
  <c r="AC262" i="50161"/>
  <c r="AC263" i="50161"/>
  <c r="AC264" i="50161"/>
  <c r="AC265" i="50161"/>
  <c r="AC266" i="50161"/>
  <c r="AC267" i="50161"/>
  <c r="AC268" i="50161"/>
  <c r="AC269" i="50161"/>
  <c r="AC270" i="50161"/>
  <c r="AC271" i="50161"/>
  <c r="AC272" i="50161"/>
  <c r="AC273" i="50161"/>
  <c r="AC274" i="50161"/>
  <c r="AC275" i="50161"/>
  <c r="AC276" i="50161"/>
  <c r="AC277" i="50161"/>
  <c r="AC278" i="50161"/>
  <c r="AC279" i="50161"/>
  <c r="AC280" i="50161"/>
  <c r="AC281" i="50161"/>
  <c r="AC282" i="50161"/>
  <c r="AC283" i="50161"/>
  <c r="AC284" i="50161"/>
  <c r="AC285" i="50161"/>
  <c r="AC286" i="50161"/>
  <c r="AC287" i="50161"/>
  <c r="AC288" i="50161"/>
  <c r="AC289" i="50161"/>
  <c r="AC290" i="50161"/>
  <c r="AC291" i="50161"/>
  <c r="AC292" i="50161"/>
  <c r="AC293" i="50161"/>
  <c r="AC294" i="50161"/>
  <c r="AC295" i="50161"/>
  <c r="AC296" i="50161"/>
  <c r="AC297" i="50161"/>
  <c r="AC298" i="50161"/>
  <c r="AC299" i="50161"/>
  <c r="AC300" i="50161"/>
  <c r="AC301" i="50161"/>
  <c r="AC302" i="50161"/>
  <c r="AC303" i="50161"/>
  <c r="AC304" i="50161"/>
  <c r="AC305" i="50161"/>
  <c r="AC306" i="50161"/>
  <c r="AC307" i="50161"/>
  <c r="AC308" i="50161"/>
  <c r="AC309" i="50161"/>
  <c r="AC310" i="50161"/>
  <c r="AC311" i="50161"/>
  <c r="AC312" i="50161"/>
  <c r="AC313" i="50161"/>
  <c r="AC314" i="50161"/>
  <c r="AC315" i="50161"/>
  <c r="AC316" i="50161"/>
  <c r="AC317" i="50161"/>
  <c r="AC318" i="50161"/>
  <c r="AC319" i="50161"/>
  <c r="AC320" i="50161"/>
  <c r="AC321" i="50161"/>
  <c r="AC322" i="50161"/>
  <c r="AC323" i="50161"/>
  <c r="AC324" i="50161"/>
  <c r="AC325" i="50161"/>
  <c r="AC326" i="50161"/>
  <c r="AC327" i="50161"/>
  <c r="AC328" i="50161"/>
  <c r="AC329" i="50161"/>
  <c r="AC330" i="50161"/>
  <c r="AC331" i="50161"/>
  <c r="AC332" i="50161"/>
  <c r="AC333" i="50161"/>
  <c r="AC334" i="50161"/>
  <c r="AC335" i="50161"/>
  <c r="AC336" i="50161"/>
  <c r="AC337" i="50161"/>
  <c r="AC338" i="50161"/>
  <c r="AC339" i="50161"/>
  <c r="AC340" i="50161"/>
  <c r="AC341" i="50161"/>
  <c r="AC342" i="50161"/>
  <c r="AC343" i="50161"/>
  <c r="AC344" i="50161"/>
  <c r="AC345" i="50161"/>
  <c r="AC346" i="50161"/>
  <c r="AC347" i="50161"/>
  <c r="AC348" i="50161"/>
  <c r="AC349" i="50161"/>
  <c r="AC350" i="50161"/>
  <c r="AC351" i="50161"/>
  <c r="AC352" i="50161"/>
  <c r="AC353" i="50161"/>
  <c r="AC354" i="50161"/>
  <c r="AC355" i="50161"/>
  <c r="AC356" i="50161"/>
  <c r="AC357" i="50161"/>
  <c r="AC358" i="50161"/>
  <c r="AC359" i="50161"/>
  <c r="AC360" i="50161"/>
  <c r="AC361" i="50161"/>
  <c r="AC362" i="50161"/>
  <c r="AC363" i="50161"/>
  <c r="AC364" i="50161"/>
  <c r="AC365" i="50161"/>
  <c r="AC366" i="50161"/>
  <c r="AC367" i="50161"/>
  <c r="AC368" i="50161"/>
  <c r="AC369" i="50161"/>
  <c r="AC370" i="50161"/>
  <c r="AC371" i="50161"/>
  <c r="AC372" i="50161"/>
  <c r="AC373" i="50161"/>
  <c r="AC374" i="50161"/>
  <c r="AC375" i="50161"/>
  <c r="AC376" i="50161"/>
  <c r="AC377" i="50161"/>
  <c r="AC378" i="50161"/>
  <c r="AC379" i="50161"/>
  <c r="AC380" i="50161"/>
  <c r="AC381" i="50161"/>
  <c r="AC382" i="50161"/>
  <c r="AC383" i="50161"/>
  <c r="AC384" i="50161"/>
  <c r="AC385" i="50161"/>
  <c r="AC386" i="50161"/>
  <c r="AC387" i="50161"/>
  <c r="AC388" i="50161"/>
  <c r="AC389" i="50161"/>
  <c r="AC390" i="50161"/>
  <c r="AC391" i="50161"/>
  <c r="AC392" i="50161"/>
  <c r="AC393" i="50161"/>
  <c r="AC394" i="50161"/>
  <c r="AC395" i="50161"/>
  <c r="AC396" i="50161"/>
  <c r="AC397" i="50161"/>
  <c r="AC398" i="50161"/>
  <c r="AC399" i="50161"/>
  <c r="AC400" i="50161"/>
  <c r="AC401" i="50161"/>
  <c r="AC402" i="50161"/>
  <c r="AC403" i="50161"/>
  <c r="AC404" i="50161"/>
  <c r="AB45" i="50161"/>
  <c r="AB46" i="50161"/>
  <c r="AB47" i="50161"/>
  <c r="AB48" i="50161"/>
  <c r="AB49" i="50161"/>
  <c r="AB50" i="50161"/>
  <c r="AB51" i="50161"/>
  <c r="AB52" i="50161"/>
  <c r="AB53" i="50161"/>
  <c r="AB54" i="50161"/>
  <c r="AB55" i="50161"/>
  <c r="AB56" i="50161"/>
  <c r="AB57" i="50161"/>
  <c r="AB58" i="50161"/>
  <c r="AB59" i="50161"/>
  <c r="AB60" i="50161"/>
  <c r="AB61" i="50161"/>
  <c r="AB62" i="50161"/>
  <c r="AB63" i="50161"/>
  <c r="AB64" i="50161"/>
  <c r="AB65" i="50161"/>
  <c r="AB66" i="50161"/>
  <c r="AB67" i="50161"/>
  <c r="AB68" i="50161"/>
  <c r="AB69" i="50161"/>
  <c r="AB70" i="50161"/>
  <c r="AB71" i="50161"/>
  <c r="AB72" i="50161"/>
  <c r="AB73" i="50161"/>
  <c r="AB74" i="50161"/>
  <c r="AB75" i="50161"/>
  <c r="AB76" i="50161"/>
  <c r="AB77" i="50161"/>
  <c r="AB78" i="50161"/>
  <c r="AB79" i="50161"/>
  <c r="AB80" i="50161"/>
  <c r="AB81" i="50161"/>
  <c r="AB82" i="50161"/>
  <c r="AB83" i="50161"/>
  <c r="AB84" i="50161"/>
  <c r="AB85" i="50161"/>
  <c r="AB86" i="50161"/>
  <c r="AB87" i="50161"/>
  <c r="AB88" i="50161"/>
  <c r="AB89" i="50161"/>
  <c r="AB90" i="50161"/>
  <c r="AB91" i="50161"/>
  <c r="AB92" i="50161"/>
  <c r="AB93" i="50161"/>
  <c r="AB94" i="50161"/>
  <c r="AB95" i="50161"/>
  <c r="AB96" i="50161"/>
  <c r="AB97" i="50161"/>
  <c r="AB98" i="50161"/>
  <c r="AB99" i="50161"/>
  <c r="AB100" i="50161"/>
  <c r="AB101" i="50161"/>
  <c r="AB102" i="50161"/>
  <c r="AB103" i="50161"/>
  <c r="AB104" i="50161"/>
  <c r="AB105" i="50161"/>
  <c r="AB106" i="50161"/>
  <c r="AB107" i="50161"/>
  <c r="AB108" i="50161"/>
  <c r="AB109" i="50161"/>
  <c r="AB110" i="50161"/>
  <c r="AB111" i="50161"/>
  <c r="AB112" i="50161"/>
  <c r="AB113" i="50161"/>
  <c r="AB114" i="50161"/>
  <c r="AB115" i="50161"/>
  <c r="AB116" i="50161"/>
  <c r="AB117" i="50161"/>
  <c r="AB118" i="50161"/>
  <c r="AB119" i="50161"/>
  <c r="AB120" i="50161"/>
  <c r="AB121" i="50161"/>
  <c r="AB122" i="50161"/>
  <c r="AB123" i="50161"/>
  <c r="AB124" i="50161"/>
  <c r="AB125" i="50161"/>
  <c r="AB126" i="50161"/>
  <c r="AB127" i="50161"/>
  <c r="AB128" i="50161"/>
  <c r="AB129" i="50161"/>
  <c r="AB130" i="50161"/>
  <c r="AB131" i="50161"/>
  <c r="AB132" i="50161"/>
  <c r="AB133" i="50161"/>
  <c r="AB134" i="50161"/>
  <c r="AB135" i="50161"/>
  <c r="AB136" i="50161"/>
  <c r="AB137" i="50161"/>
  <c r="AB138" i="50161"/>
  <c r="AB139" i="50161"/>
  <c r="AB140" i="50161"/>
  <c r="AB141" i="50161"/>
  <c r="AB142" i="50161"/>
  <c r="AB143" i="50161"/>
  <c r="AB144" i="50161"/>
  <c r="AB145" i="50161"/>
  <c r="AB146" i="50161"/>
  <c r="AB147" i="50161"/>
  <c r="AB148" i="50161"/>
  <c r="AB149" i="50161"/>
  <c r="AB150" i="50161"/>
  <c r="AB151" i="50161"/>
  <c r="AB152" i="50161"/>
  <c r="AB153" i="50161"/>
  <c r="AB154" i="50161"/>
  <c r="AB155" i="50161"/>
  <c r="AB156" i="50161"/>
  <c r="AB157" i="50161"/>
  <c r="AB158" i="50161"/>
  <c r="AB159" i="50161"/>
  <c r="AB160" i="50161"/>
  <c r="AB161" i="50161"/>
  <c r="AB162" i="50161"/>
  <c r="AB163" i="50161"/>
  <c r="AB164" i="50161"/>
  <c r="AB165" i="50161"/>
  <c r="AB166" i="50161"/>
  <c r="AB167" i="50161"/>
  <c r="AB168" i="50161"/>
  <c r="AB169" i="50161"/>
  <c r="AB170" i="50161"/>
  <c r="AB171" i="50161"/>
  <c r="AB172" i="50161"/>
  <c r="AB173" i="50161"/>
  <c r="AB174" i="50161"/>
  <c r="AB175" i="50161"/>
  <c r="AB176" i="50161"/>
  <c r="AB177" i="50161"/>
  <c r="AB178" i="50161"/>
  <c r="AB179" i="50161"/>
  <c r="AB180" i="50161"/>
  <c r="AB181" i="50161"/>
  <c r="AB182" i="50161"/>
  <c r="AB183" i="50161"/>
  <c r="AB184" i="50161"/>
  <c r="AB185" i="50161"/>
  <c r="AB186" i="50161"/>
  <c r="AB187" i="50161"/>
  <c r="AB188" i="50161"/>
  <c r="AB189" i="50161"/>
  <c r="AB190" i="50161"/>
  <c r="AB191" i="50161"/>
  <c r="AB192" i="50161"/>
  <c r="AB193" i="50161"/>
  <c r="AB194" i="50161"/>
  <c r="AB195" i="50161"/>
  <c r="AB196" i="50161"/>
  <c r="AB197" i="50161"/>
  <c r="AB198" i="50161"/>
  <c r="AB199" i="50161"/>
  <c r="AB200" i="50161"/>
  <c r="AB201" i="50161"/>
  <c r="AB202" i="50161"/>
  <c r="AB203" i="50161"/>
  <c r="AB204" i="50161"/>
  <c r="AB205" i="50161"/>
  <c r="AB206" i="50161"/>
  <c r="AB207" i="50161"/>
  <c r="AB208" i="50161"/>
  <c r="AB209" i="50161"/>
  <c r="AB210" i="50161"/>
  <c r="AB211" i="50161"/>
  <c r="AB212" i="50161"/>
  <c r="AB213" i="50161"/>
  <c r="AB214" i="50161"/>
  <c r="AB215" i="50161"/>
  <c r="AB216" i="50161"/>
  <c r="AB217" i="50161"/>
  <c r="AB218" i="50161"/>
  <c r="AB219" i="50161"/>
  <c r="AB220" i="50161"/>
  <c r="AB221" i="50161"/>
  <c r="AB222" i="50161"/>
  <c r="AB223" i="50161"/>
  <c r="AB224" i="50161"/>
  <c r="AB225" i="50161"/>
  <c r="AB226" i="50161"/>
  <c r="AB227" i="50161"/>
  <c r="AB228" i="50161"/>
  <c r="AB229" i="50161"/>
  <c r="AB230" i="50161"/>
  <c r="AB231" i="50161"/>
  <c r="AB232" i="50161"/>
  <c r="AB233" i="50161"/>
  <c r="AB234" i="50161"/>
  <c r="AB235" i="50161"/>
  <c r="AB236" i="50161"/>
  <c r="AB237" i="50161"/>
  <c r="AB238" i="50161"/>
  <c r="AB239" i="50161"/>
  <c r="AB240" i="50161"/>
  <c r="AB241" i="50161"/>
  <c r="AB242" i="50161"/>
  <c r="AB243" i="50161"/>
  <c r="AB244" i="50161"/>
  <c r="AB245" i="50161"/>
  <c r="AB246" i="50161"/>
  <c r="AB247" i="50161"/>
  <c r="AB248" i="50161"/>
  <c r="AB249" i="50161"/>
  <c r="AB250" i="50161"/>
  <c r="AB251" i="50161"/>
  <c r="AB252" i="50161"/>
  <c r="AB253" i="50161"/>
  <c r="AB254" i="50161"/>
  <c r="AB255" i="50161"/>
  <c r="AB256" i="50161"/>
  <c r="AB257" i="50161"/>
  <c r="AB258" i="50161"/>
  <c r="AB259" i="50161"/>
  <c r="AB260" i="50161"/>
  <c r="AB261" i="50161"/>
  <c r="AB262" i="50161"/>
  <c r="AB263" i="50161"/>
  <c r="AB264" i="50161"/>
  <c r="AB265" i="50161"/>
  <c r="AB266" i="50161"/>
  <c r="AB267" i="50161"/>
  <c r="AB268" i="50161"/>
  <c r="AB269" i="50161"/>
  <c r="AB270" i="50161"/>
  <c r="AB271" i="50161"/>
  <c r="AB272" i="50161"/>
  <c r="AB273" i="50161"/>
  <c r="AB274" i="50161"/>
  <c r="AB275" i="50161"/>
  <c r="AB276" i="50161"/>
  <c r="AB277" i="50161"/>
  <c r="AB278" i="50161"/>
  <c r="AB279" i="50161"/>
  <c r="AB280" i="50161"/>
  <c r="AB281" i="50161"/>
  <c r="AB282" i="50161"/>
  <c r="AB283" i="50161"/>
  <c r="AB284" i="50161"/>
  <c r="AB285" i="50161"/>
  <c r="AB286" i="50161"/>
  <c r="AB287" i="50161"/>
  <c r="AB288" i="50161"/>
  <c r="AB289" i="50161"/>
  <c r="AB290" i="50161"/>
  <c r="AB291" i="50161"/>
  <c r="AB292" i="50161"/>
  <c r="AB293" i="50161"/>
  <c r="AB294" i="50161"/>
  <c r="AB295" i="50161"/>
  <c r="AB296" i="50161"/>
  <c r="AB297" i="50161"/>
  <c r="AB298" i="50161"/>
  <c r="AB299" i="50161"/>
  <c r="AB300" i="50161"/>
  <c r="AB301" i="50161"/>
  <c r="AB302" i="50161"/>
  <c r="AB303" i="50161"/>
  <c r="AB304" i="50161"/>
  <c r="AB305" i="50161"/>
  <c r="AB306" i="50161"/>
  <c r="AB307" i="50161"/>
  <c r="AB308" i="50161"/>
  <c r="AB309" i="50161"/>
  <c r="AB310" i="50161"/>
  <c r="AB311" i="50161"/>
  <c r="AB312" i="50161"/>
  <c r="AB313" i="50161"/>
  <c r="AB314" i="50161"/>
  <c r="AB315" i="50161"/>
  <c r="AB316" i="50161"/>
  <c r="AB317" i="50161"/>
  <c r="AB318" i="50161"/>
  <c r="AB319" i="50161"/>
  <c r="AB320" i="50161"/>
  <c r="AB321" i="50161"/>
  <c r="AB322" i="50161"/>
  <c r="AB323" i="50161"/>
  <c r="AB324" i="50161"/>
  <c r="AB325" i="50161"/>
  <c r="AB326" i="50161"/>
  <c r="AB327" i="50161"/>
  <c r="AB328" i="50161"/>
  <c r="AB329" i="50161"/>
  <c r="AB330" i="50161"/>
  <c r="AB331" i="50161"/>
  <c r="AB332" i="50161"/>
  <c r="AB333" i="50161"/>
  <c r="AB334" i="50161"/>
  <c r="AB335" i="50161"/>
  <c r="AB336" i="50161"/>
  <c r="AB337" i="50161"/>
  <c r="AB338" i="50161"/>
  <c r="AB339" i="50161"/>
  <c r="AB340" i="50161"/>
  <c r="AB341" i="50161"/>
  <c r="AB342" i="50161"/>
  <c r="AB343" i="50161"/>
  <c r="AB344" i="50161"/>
  <c r="AB345" i="50161"/>
  <c r="AB346" i="50161"/>
  <c r="AB347" i="50161"/>
  <c r="AB348" i="50161"/>
  <c r="AB349" i="50161"/>
  <c r="AB350" i="50161"/>
  <c r="AB351" i="50161"/>
  <c r="AB352" i="50161"/>
  <c r="AB353" i="50161"/>
  <c r="AB354" i="50161"/>
  <c r="AB355" i="50161"/>
  <c r="AB356" i="50161"/>
  <c r="AB357" i="50161"/>
  <c r="AB358" i="50161"/>
  <c r="AB359" i="50161"/>
  <c r="AB360" i="50161"/>
  <c r="AB361" i="50161"/>
  <c r="AB362" i="50161"/>
  <c r="AB363" i="50161"/>
  <c r="AB364" i="50161"/>
  <c r="AB365" i="50161"/>
  <c r="AB366" i="50161"/>
  <c r="AB367" i="50161"/>
  <c r="AB368" i="50161"/>
  <c r="AB369" i="50161"/>
  <c r="AB370" i="50161"/>
  <c r="AB371" i="50161"/>
  <c r="AB372" i="50161"/>
  <c r="AB373" i="50161"/>
  <c r="AB374" i="50161"/>
  <c r="AB375" i="50161"/>
  <c r="AB376" i="50161"/>
  <c r="AB377" i="50161"/>
  <c r="AB378" i="50161"/>
  <c r="AB379" i="50161"/>
  <c r="AB380" i="50161"/>
  <c r="AB381" i="50161"/>
  <c r="AB382" i="50161"/>
  <c r="AB383" i="50161"/>
  <c r="AB384" i="50161"/>
  <c r="AB385" i="50161"/>
  <c r="AB386" i="50161"/>
  <c r="AB387" i="50161"/>
  <c r="AB388" i="50161"/>
  <c r="AB389" i="50161"/>
  <c r="AB390" i="50161"/>
  <c r="AB391" i="50161"/>
  <c r="AB392" i="50161"/>
  <c r="AB393" i="50161"/>
  <c r="AB394" i="50161"/>
  <c r="AB395" i="50161"/>
  <c r="AB396" i="50161"/>
  <c r="AB397" i="50161"/>
  <c r="AB398" i="50161"/>
  <c r="AB399" i="50161"/>
  <c r="AB400" i="50161"/>
  <c r="AB401" i="50161"/>
  <c r="AB402" i="50161"/>
  <c r="AB403" i="50161"/>
  <c r="AB404" i="50161"/>
  <c r="AG404" i="50161"/>
  <c r="AH404" i="50161"/>
  <c r="X229" i="50161"/>
  <c r="W229" i="50161"/>
  <c r="AG403" i="50161"/>
  <c r="AH403" i="50161"/>
  <c r="X228" i="50161"/>
  <c r="W228" i="50161"/>
  <c r="AG402" i="50161"/>
  <c r="AH402" i="50161"/>
  <c r="W227" i="50161"/>
  <c r="AG401" i="50161"/>
  <c r="AH401" i="50161"/>
  <c r="X226" i="50161"/>
  <c r="AG400" i="50161"/>
  <c r="AH400" i="50161"/>
  <c r="X225" i="50161"/>
  <c r="W225" i="50161"/>
  <c r="AG399" i="50161"/>
  <c r="AH399" i="50161"/>
  <c r="X224" i="50161"/>
  <c r="W224" i="50161"/>
  <c r="AG398" i="50161"/>
  <c r="AH398" i="50161"/>
  <c r="W223" i="50161"/>
  <c r="AG397" i="50161"/>
  <c r="AH397" i="50161"/>
  <c r="X222" i="50161"/>
  <c r="W222" i="50161"/>
  <c r="AG396" i="50161"/>
  <c r="AH396" i="50161"/>
  <c r="X221" i="50161"/>
  <c r="W221" i="50161"/>
  <c r="AG395" i="50161"/>
  <c r="AH395" i="50161"/>
  <c r="X220" i="50161"/>
  <c r="W220" i="50161"/>
  <c r="AG394" i="50161"/>
  <c r="AH394" i="50161"/>
  <c r="W219" i="50161"/>
  <c r="AG393" i="50161"/>
  <c r="AH393" i="50161"/>
  <c r="X218" i="50161"/>
  <c r="AG392" i="50161"/>
  <c r="AH392" i="50161"/>
  <c r="X217" i="50161"/>
  <c r="W217" i="50161"/>
  <c r="AG391" i="50161"/>
  <c r="AH391" i="50161"/>
  <c r="X216" i="50161"/>
  <c r="W216" i="50161"/>
  <c r="AG390" i="50161"/>
  <c r="AH390" i="50161"/>
  <c r="W215" i="50161"/>
  <c r="AG389" i="50161"/>
  <c r="AH389" i="50161"/>
  <c r="X214" i="50161"/>
  <c r="W214" i="50161"/>
  <c r="AG388" i="50161"/>
  <c r="AH388" i="50161"/>
  <c r="X213" i="50161"/>
  <c r="W213" i="50161"/>
  <c r="AG387" i="50161"/>
  <c r="AH387" i="50161"/>
  <c r="X212" i="50161"/>
  <c r="W212" i="50161"/>
  <c r="AG386" i="50161"/>
  <c r="AH386" i="50161"/>
  <c r="W211" i="50161"/>
  <c r="AG385" i="50161"/>
  <c r="AH385" i="50161"/>
  <c r="X210" i="50161"/>
  <c r="AG384" i="50161"/>
  <c r="AH384" i="50161"/>
  <c r="X209" i="50161"/>
  <c r="W209" i="50161"/>
  <c r="AG383" i="50161"/>
  <c r="AH383" i="50161"/>
  <c r="X208" i="50161"/>
  <c r="W208" i="50161"/>
  <c r="AG382" i="50161"/>
  <c r="AH382" i="50161"/>
  <c r="W207" i="50161"/>
  <c r="AG381" i="50161"/>
  <c r="AH381" i="50161"/>
  <c r="X206" i="50161"/>
  <c r="W206" i="50161"/>
  <c r="AG380" i="50161"/>
  <c r="AH380" i="50161"/>
  <c r="X205" i="50161"/>
  <c r="W205" i="50161"/>
  <c r="AG379" i="50161"/>
  <c r="AH379" i="50161"/>
  <c r="X204" i="50161"/>
  <c r="W204" i="50161"/>
  <c r="AG378" i="50161"/>
  <c r="AH378" i="50161"/>
  <c r="W203" i="50161"/>
  <c r="AG377" i="50161"/>
  <c r="AH377" i="50161"/>
  <c r="X202" i="50161"/>
  <c r="AG376" i="50161"/>
  <c r="AH376" i="50161"/>
  <c r="X201" i="50161"/>
  <c r="W201" i="50161"/>
  <c r="AG375" i="50161"/>
  <c r="AH375" i="50161"/>
  <c r="X200" i="50161"/>
  <c r="W200" i="50161"/>
  <c r="AG374" i="50161"/>
  <c r="AH374" i="50161"/>
  <c r="W199" i="50161"/>
  <c r="AG373" i="50161"/>
  <c r="AH373" i="50161"/>
  <c r="X198" i="50161"/>
  <c r="W198" i="50161"/>
  <c r="AG372" i="50161"/>
  <c r="AH372" i="50161"/>
  <c r="X197" i="50161"/>
  <c r="W197" i="50161"/>
  <c r="AG371" i="50161"/>
  <c r="AH371" i="50161"/>
  <c r="X196" i="50161"/>
  <c r="W196" i="50161"/>
  <c r="AG370" i="50161"/>
  <c r="AH370" i="50161"/>
  <c r="W195" i="50161"/>
  <c r="AG369" i="50161"/>
  <c r="AH369" i="50161"/>
  <c r="X194" i="50161"/>
  <c r="AG368" i="50161"/>
  <c r="AH368" i="50161"/>
  <c r="X193" i="50161"/>
  <c r="W193" i="50161"/>
  <c r="AG367" i="50161"/>
  <c r="AH367" i="50161"/>
  <c r="X192" i="50161"/>
  <c r="W192" i="50161"/>
  <c r="AG366" i="50161"/>
  <c r="AH366" i="50161"/>
  <c r="W191" i="50161"/>
  <c r="AG365" i="50161"/>
  <c r="AH365" i="50161"/>
  <c r="X190" i="50161"/>
  <c r="W190" i="50161"/>
  <c r="AG364" i="50161"/>
  <c r="AH364" i="50161"/>
  <c r="X189" i="50161"/>
  <c r="W189" i="50161"/>
  <c r="AG363" i="50161"/>
  <c r="AH363" i="50161"/>
  <c r="X188" i="50161"/>
  <c r="W188" i="50161"/>
  <c r="AG362" i="50161"/>
  <c r="AH362" i="50161"/>
  <c r="W187" i="50161"/>
  <c r="AG361" i="50161"/>
  <c r="AH361" i="50161"/>
  <c r="X186" i="50161"/>
  <c r="AG360" i="50161"/>
  <c r="AH360" i="50161"/>
  <c r="X185" i="50161"/>
  <c r="W185" i="50161"/>
  <c r="AG359" i="50161"/>
  <c r="AH359" i="50161"/>
  <c r="X184" i="50161"/>
  <c r="W184" i="50161"/>
  <c r="AG358" i="50161"/>
  <c r="AH358" i="50161"/>
  <c r="W183" i="50161"/>
  <c r="AG357" i="50161"/>
  <c r="AH357" i="50161"/>
  <c r="X182" i="50161"/>
  <c r="W182" i="50161"/>
  <c r="AG356" i="50161"/>
  <c r="AH356" i="50161"/>
  <c r="X181" i="50161"/>
  <c r="W181" i="50161"/>
  <c r="AG355" i="50161"/>
  <c r="AH355" i="50161"/>
  <c r="X180" i="50161"/>
  <c r="W180" i="50161"/>
  <c r="AG354" i="50161"/>
  <c r="AH354" i="50161"/>
  <c r="T229" i="50161"/>
  <c r="AG353" i="50161"/>
  <c r="AH353" i="50161"/>
  <c r="U228" i="50161"/>
  <c r="AG352" i="50161"/>
  <c r="AH352" i="50161"/>
  <c r="U227" i="50161"/>
  <c r="T227" i="50161"/>
  <c r="AG351" i="50161"/>
  <c r="AH351" i="50161"/>
  <c r="U226" i="50161"/>
  <c r="T226" i="50161"/>
  <c r="AG350" i="50161"/>
  <c r="AH350" i="50161"/>
  <c r="T225" i="50161"/>
  <c r="AG349" i="50161"/>
  <c r="AH349" i="50161"/>
  <c r="U224" i="50161"/>
  <c r="T224" i="50161"/>
  <c r="AG348" i="50161"/>
  <c r="AH348" i="50161"/>
  <c r="U223" i="50161"/>
  <c r="T223" i="50161"/>
  <c r="AG347" i="50161"/>
  <c r="AH347" i="50161"/>
  <c r="U222" i="50161"/>
  <c r="T222" i="50161"/>
  <c r="AG346" i="50161"/>
  <c r="AH346" i="50161"/>
  <c r="T221" i="50161"/>
  <c r="AG345" i="50161"/>
  <c r="AH345" i="50161"/>
  <c r="U220" i="50161"/>
  <c r="AG344" i="50161"/>
  <c r="AH344" i="50161"/>
  <c r="U219" i="50161"/>
  <c r="T219" i="50161"/>
  <c r="AG343" i="50161"/>
  <c r="AH343" i="50161"/>
  <c r="U218" i="50161"/>
  <c r="T218" i="50161"/>
  <c r="AG342" i="50161"/>
  <c r="AH342" i="50161"/>
  <c r="T217" i="50161"/>
  <c r="AG341" i="50161"/>
  <c r="AH341" i="50161"/>
  <c r="U216" i="50161"/>
  <c r="T216" i="50161"/>
  <c r="AG340" i="50161"/>
  <c r="AH340" i="50161"/>
  <c r="U215" i="50161"/>
  <c r="T215" i="50161"/>
  <c r="AG339" i="50161"/>
  <c r="AH339" i="50161"/>
  <c r="U214" i="50161"/>
  <c r="T214" i="50161"/>
  <c r="AG338" i="50161"/>
  <c r="AH338" i="50161"/>
  <c r="T213" i="50161"/>
  <c r="AG337" i="50161"/>
  <c r="AH337" i="50161"/>
  <c r="U212" i="50161"/>
  <c r="AG336" i="50161"/>
  <c r="AH336" i="50161"/>
  <c r="U211" i="50161"/>
  <c r="T211" i="50161"/>
  <c r="AG335" i="50161"/>
  <c r="AH335" i="50161"/>
  <c r="U210" i="50161"/>
  <c r="T210" i="50161"/>
  <c r="AG334" i="50161"/>
  <c r="AH334" i="50161"/>
  <c r="T209" i="50161"/>
  <c r="AG333" i="50161"/>
  <c r="AH333" i="50161"/>
  <c r="U208" i="50161"/>
  <c r="T208" i="50161"/>
  <c r="AG332" i="50161"/>
  <c r="AH332" i="50161"/>
  <c r="U207" i="50161"/>
  <c r="T207" i="50161"/>
  <c r="AG331" i="50161"/>
  <c r="AH331" i="50161"/>
  <c r="U206" i="50161"/>
  <c r="T206" i="50161"/>
  <c r="AG330" i="50161"/>
  <c r="AH330" i="50161"/>
  <c r="T205" i="50161"/>
  <c r="AG329" i="50161"/>
  <c r="AH329" i="50161"/>
  <c r="U204" i="50161"/>
  <c r="AG328" i="50161"/>
  <c r="AH328" i="50161"/>
  <c r="U203" i="50161"/>
  <c r="T203" i="50161"/>
  <c r="AG327" i="50161"/>
  <c r="AH327" i="50161"/>
  <c r="U202" i="50161"/>
  <c r="T202" i="50161"/>
  <c r="AG326" i="50161"/>
  <c r="AH326" i="50161"/>
  <c r="T201" i="50161"/>
  <c r="AG325" i="50161"/>
  <c r="AH325" i="50161"/>
  <c r="U200" i="50161"/>
  <c r="T200" i="50161"/>
  <c r="AG324" i="50161"/>
  <c r="AH324" i="50161"/>
  <c r="U199" i="50161"/>
  <c r="T199" i="50161"/>
  <c r="AG323" i="50161"/>
  <c r="AH323" i="50161"/>
  <c r="U198" i="50161"/>
  <c r="T198" i="50161"/>
  <c r="AG322" i="50161"/>
  <c r="AH322" i="50161"/>
  <c r="T197" i="50161"/>
  <c r="AG321" i="50161"/>
  <c r="AH321" i="50161"/>
  <c r="U196" i="50161"/>
  <c r="AG320" i="50161"/>
  <c r="AH320" i="50161"/>
  <c r="U195" i="50161"/>
  <c r="T195" i="50161"/>
  <c r="AG319" i="50161"/>
  <c r="AH319" i="50161"/>
  <c r="U194" i="50161"/>
  <c r="T194" i="50161"/>
  <c r="AG318" i="50161"/>
  <c r="AH318" i="50161"/>
  <c r="T193" i="50161"/>
  <c r="AG317" i="50161"/>
  <c r="AH317" i="50161"/>
  <c r="U192" i="50161"/>
  <c r="T192" i="50161"/>
  <c r="AG316" i="50161"/>
  <c r="AH316" i="50161"/>
  <c r="U191" i="50161"/>
  <c r="T191" i="50161"/>
  <c r="AG315" i="50161"/>
  <c r="AH315" i="50161"/>
  <c r="U190" i="50161"/>
  <c r="T190" i="50161"/>
  <c r="AG314" i="50161"/>
  <c r="AH314" i="50161"/>
  <c r="T189" i="50161"/>
  <c r="AG313" i="50161"/>
  <c r="AH313" i="50161"/>
  <c r="U188" i="50161"/>
  <c r="AG312" i="50161"/>
  <c r="AH312" i="50161"/>
  <c r="U187" i="50161"/>
  <c r="T187" i="50161"/>
  <c r="AG311" i="50161"/>
  <c r="AH311" i="50161"/>
  <c r="U186" i="50161"/>
  <c r="T186" i="50161"/>
  <c r="AG310" i="50161"/>
  <c r="AH310" i="50161"/>
  <c r="T185" i="50161"/>
  <c r="AG309" i="50161"/>
  <c r="AH309" i="50161"/>
  <c r="U184" i="50161"/>
  <c r="T184" i="50161"/>
  <c r="AG308" i="50161"/>
  <c r="AH308" i="50161"/>
  <c r="U183" i="50161"/>
  <c r="T183" i="50161"/>
  <c r="AG307" i="50161"/>
  <c r="AH307" i="50161"/>
  <c r="U182" i="50161"/>
  <c r="T182" i="50161"/>
  <c r="AG306" i="50161"/>
  <c r="AH306" i="50161"/>
  <c r="T181" i="50161"/>
  <c r="AG305" i="50161"/>
  <c r="AH305" i="50161"/>
  <c r="U180" i="50161"/>
  <c r="X229" i="50162"/>
  <c r="W229" i="50162"/>
  <c r="X228" i="50162"/>
  <c r="W228" i="50162"/>
  <c r="W227" i="50162"/>
  <c r="X226" i="50162"/>
  <c r="W225" i="50162"/>
  <c r="X223" i="50162"/>
  <c r="X222" i="50162"/>
  <c r="W222" i="50162"/>
  <c r="X221" i="50162"/>
  <c r="W221" i="50162"/>
  <c r="X220" i="50162"/>
  <c r="W220" i="50162"/>
  <c r="W219" i="50162"/>
  <c r="X218" i="50162"/>
  <c r="W218" i="50162"/>
  <c r="W217" i="50162"/>
  <c r="X215" i="50162"/>
  <c r="X214" i="50162"/>
  <c r="W214" i="50162"/>
  <c r="X213" i="50162"/>
  <c r="W213" i="50162"/>
  <c r="X212" i="50162"/>
  <c r="W212" i="50162"/>
  <c r="W211" i="50162"/>
  <c r="X210" i="50162"/>
  <c r="W209" i="50162"/>
  <c r="X207" i="50162"/>
  <c r="X206" i="50162"/>
  <c r="W206" i="50162"/>
  <c r="X205" i="50162"/>
  <c r="W205" i="50162"/>
  <c r="X204" i="50162"/>
  <c r="W204" i="50162"/>
  <c r="W203" i="50162"/>
  <c r="X202" i="50162"/>
  <c r="W202" i="50162"/>
  <c r="W201" i="50162"/>
  <c r="X199" i="50162"/>
  <c r="X198" i="50162"/>
  <c r="W198" i="50162"/>
  <c r="X197" i="50162"/>
  <c r="W197" i="50162"/>
  <c r="X196" i="50162"/>
  <c r="W196" i="50162"/>
  <c r="W195" i="50162"/>
  <c r="X194" i="50162"/>
  <c r="W193" i="50162"/>
  <c r="X191" i="50162"/>
  <c r="X190" i="50162"/>
  <c r="W190" i="50162"/>
  <c r="X189" i="50162"/>
  <c r="W189" i="50162"/>
  <c r="X188" i="50162"/>
  <c r="W188" i="50162"/>
  <c r="W187" i="50162"/>
  <c r="X186" i="50162"/>
  <c r="W186" i="50162"/>
  <c r="W185" i="50162"/>
  <c r="X183" i="50162"/>
  <c r="X182" i="50162"/>
  <c r="W182" i="50162"/>
  <c r="X181" i="50162"/>
  <c r="W181" i="50162"/>
  <c r="X180" i="50162"/>
  <c r="W180" i="50162"/>
  <c r="AH354" i="50162"/>
  <c r="AB45" i="50162"/>
  <c r="AB46" i="50162"/>
  <c r="AB47" i="50162"/>
  <c r="AB48" i="50162"/>
  <c r="AB49" i="50162"/>
  <c r="AB50" i="50162"/>
  <c r="AB51" i="50162"/>
  <c r="AB52" i="50162"/>
  <c r="AB53" i="50162"/>
  <c r="AB54" i="50162"/>
  <c r="AB55" i="50162"/>
  <c r="AB56" i="50162"/>
  <c r="AB57" i="50162"/>
  <c r="AB58" i="50162"/>
  <c r="AB59" i="50162"/>
  <c r="AB60" i="50162"/>
  <c r="AB61" i="50162"/>
  <c r="AB62" i="50162"/>
  <c r="AB63" i="50162"/>
  <c r="AB64" i="50162"/>
  <c r="AB65" i="50162"/>
  <c r="AB66" i="50162"/>
  <c r="AB67" i="50162"/>
  <c r="AB68" i="50162"/>
  <c r="AB69" i="50162"/>
  <c r="AB70" i="50162"/>
  <c r="AB71" i="50162"/>
  <c r="AB72" i="50162"/>
  <c r="AB73" i="50162"/>
  <c r="AB74" i="50162"/>
  <c r="AB75" i="50162"/>
  <c r="AB76" i="50162"/>
  <c r="AB77" i="50162"/>
  <c r="AB78" i="50162"/>
  <c r="AB79" i="50162"/>
  <c r="AB80" i="50162"/>
  <c r="AB81" i="50162"/>
  <c r="AB82" i="50162"/>
  <c r="AB83" i="50162"/>
  <c r="AB84" i="50162"/>
  <c r="AB85" i="50162"/>
  <c r="AB86" i="50162"/>
  <c r="AB87" i="50162"/>
  <c r="AB88" i="50162"/>
  <c r="AB89" i="50162"/>
  <c r="AB90" i="50162"/>
  <c r="AB91" i="50162"/>
  <c r="AB92" i="50162"/>
  <c r="AB93" i="50162"/>
  <c r="AB94" i="50162"/>
  <c r="AB95" i="50162"/>
  <c r="AB96" i="50162"/>
  <c r="AB97" i="50162"/>
  <c r="AB98" i="50162"/>
  <c r="AB99" i="50162"/>
  <c r="AB100" i="50162"/>
  <c r="AB101" i="50162"/>
  <c r="AB102" i="50162"/>
  <c r="AB103" i="50162"/>
  <c r="AB104" i="50162"/>
  <c r="AB105" i="50162"/>
  <c r="AB106" i="50162"/>
  <c r="AB107" i="50162"/>
  <c r="AB108" i="50162"/>
  <c r="AB109" i="50162"/>
  <c r="AB110" i="50162"/>
  <c r="AB111" i="50162"/>
  <c r="AB112" i="50162"/>
  <c r="AB113" i="50162"/>
  <c r="AB114" i="50162"/>
  <c r="AB115" i="50162"/>
  <c r="AB116" i="50162"/>
  <c r="AB117" i="50162"/>
  <c r="AB118" i="50162"/>
  <c r="AB119" i="50162"/>
  <c r="AB120" i="50162"/>
  <c r="AB121" i="50162"/>
  <c r="AB122" i="50162"/>
  <c r="AB123" i="50162"/>
  <c r="AB124" i="50162"/>
  <c r="AB125" i="50162"/>
  <c r="AB126" i="50162"/>
  <c r="AB127" i="50162"/>
  <c r="AB128" i="50162"/>
  <c r="AB129" i="50162"/>
  <c r="AB130" i="50162"/>
  <c r="AB131" i="50162"/>
  <c r="AB132" i="50162"/>
  <c r="AB133" i="50162"/>
  <c r="AB134" i="50162"/>
  <c r="AB135" i="50162"/>
  <c r="AB136" i="50162"/>
  <c r="AB137" i="50162"/>
  <c r="AB138" i="50162"/>
  <c r="AB139" i="50162"/>
  <c r="AB140" i="50162"/>
  <c r="AB141" i="50162"/>
  <c r="AB142" i="50162"/>
  <c r="AB143" i="50162"/>
  <c r="AB144" i="50162"/>
  <c r="AB145" i="50162"/>
  <c r="AB146" i="50162"/>
  <c r="AB147" i="50162"/>
  <c r="AB148" i="50162"/>
  <c r="AB149" i="50162"/>
  <c r="AB150" i="50162"/>
  <c r="AB151" i="50162"/>
  <c r="AB152" i="50162"/>
  <c r="AB153" i="50162"/>
  <c r="AB154" i="50162"/>
  <c r="AB155" i="50162"/>
  <c r="AB156" i="50162"/>
  <c r="AB157" i="50162"/>
  <c r="AB158" i="50162"/>
  <c r="AB159" i="50162"/>
  <c r="AB160" i="50162"/>
  <c r="AB161" i="50162"/>
  <c r="AB162" i="50162"/>
  <c r="AB163" i="50162"/>
  <c r="AB164" i="50162"/>
  <c r="AB165" i="50162"/>
  <c r="AB166" i="50162"/>
  <c r="AB167" i="50162"/>
  <c r="AB168" i="50162"/>
  <c r="AB169" i="50162"/>
  <c r="AB170" i="50162"/>
  <c r="AB171" i="50162"/>
  <c r="AB172" i="50162"/>
  <c r="AB173" i="50162"/>
  <c r="AB174" i="50162"/>
  <c r="AB175" i="50162"/>
  <c r="AB176" i="50162"/>
  <c r="AB177" i="50162"/>
  <c r="AB178" i="50162"/>
  <c r="AB179" i="50162"/>
  <c r="AB180" i="50162"/>
  <c r="AB181" i="50162"/>
  <c r="AB182" i="50162"/>
  <c r="AB183" i="50162"/>
  <c r="AB184" i="50162"/>
  <c r="AB185" i="50162"/>
  <c r="AB186" i="50162"/>
  <c r="AB187" i="50162"/>
  <c r="AB188" i="50162"/>
  <c r="AB189" i="50162"/>
  <c r="AB190" i="50162"/>
  <c r="AB191" i="50162"/>
  <c r="AB192" i="50162"/>
  <c r="AB193" i="50162"/>
  <c r="AB194" i="50162"/>
  <c r="AB195" i="50162"/>
  <c r="AB196" i="50162"/>
  <c r="AB197" i="50162"/>
  <c r="AB198" i="50162"/>
  <c r="AB199" i="50162"/>
  <c r="AB200" i="50162"/>
  <c r="AB201" i="50162"/>
  <c r="AB202" i="50162"/>
  <c r="AB203" i="50162"/>
  <c r="AB204" i="50162"/>
  <c r="AB205" i="50162"/>
  <c r="AB206" i="50162"/>
  <c r="AB207" i="50162"/>
  <c r="AB208" i="50162"/>
  <c r="AB209" i="50162"/>
  <c r="AB210" i="50162"/>
  <c r="AB211" i="50162"/>
  <c r="AB212" i="50162"/>
  <c r="AB213" i="50162"/>
  <c r="AB214" i="50162"/>
  <c r="AB215" i="50162"/>
  <c r="AB216" i="50162"/>
  <c r="AB217" i="50162"/>
  <c r="AB218" i="50162"/>
  <c r="AB219" i="50162"/>
  <c r="AB220" i="50162"/>
  <c r="AB221" i="50162"/>
  <c r="AB222" i="50162"/>
  <c r="AB223" i="50162"/>
  <c r="AB224" i="50162"/>
  <c r="AB225" i="50162"/>
  <c r="AB226" i="50162"/>
  <c r="AB227" i="50162"/>
  <c r="AB228" i="50162"/>
  <c r="AB229" i="50162"/>
  <c r="AB230" i="50162"/>
  <c r="AB231" i="50162"/>
  <c r="AB232" i="50162"/>
  <c r="AB233" i="50162"/>
  <c r="AB234" i="50162"/>
  <c r="AB235" i="50162"/>
  <c r="AB236" i="50162"/>
  <c r="AB237" i="50162"/>
  <c r="AB238" i="50162"/>
  <c r="AB239" i="50162"/>
  <c r="AB240" i="50162"/>
  <c r="AB241" i="50162"/>
  <c r="AB242" i="50162"/>
  <c r="AB243" i="50162"/>
  <c r="AB244" i="50162"/>
  <c r="AB245" i="50162"/>
  <c r="AB246" i="50162"/>
  <c r="AB247" i="50162"/>
  <c r="AB248" i="50162"/>
  <c r="AB249" i="50162"/>
  <c r="AB250" i="50162"/>
  <c r="AB251" i="50162"/>
  <c r="AB252" i="50162"/>
  <c r="AB253" i="50162"/>
  <c r="AB254" i="50162"/>
  <c r="AB255" i="50162"/>
  <c r="AB256" i="50162"/>
  <c r="AB257" i="50162"/>
  <c r="AB258" i="50162"/>
  <c r="AB259" i="50162"/>
  <c r="AB260" i="50162"/>
  <c r="AB261" i="50162"/>
  <c r="AB262" i="50162"/>
  <c r="AB263" i="50162"/>
  <c r="AB264" i="50162"/>
  <c r="AB265" i="50162"/>
  <c r="AB266" i="50162"/>
  <c r="AB267" i="50162"/>
  <c r="AB268" i="50162"/>
  <c r="AB269" i="50162"/>
  <c r="AB270" i="50162"/>
  <c r="AB271" i="50162"/>
  <c r="AB272" i="50162"/>
  <c r="AB273" i="50162"/>
  <c r="AB274" i="50162"/>
  <c r="AB275" i="50162"/>
  <c r="AB276" i="50162"/>
  <c r="AB277" i="50162"/>
  <c r="AB278" i="50162"/>
  <c r="AB279" i="50162"/>
  <c r="AB280" i="50162"/>
  <c r="AB281" i="50162"/>
  <c r="AB282" i="50162"/>
  <c r="AB283" i="50162"/>
  <c r="AB284" i="50162"/>
  <c r="AB285" i="50162"/>
  <c r="AB286" i="50162"/>
  <c r="AB287" i="50162"/>
  <c r="AB288" i="50162"/>
  <c r="AB289" i="50162"/>
  <c r="AB290" i="50162"/>
  <c r="AB291" i="50162"/>
  <c r="AB292" i="50162"/>
  <c r="AB293" i="50162"/>
  <c r="AB294" i="50162"/>
  <c r="AB295" i="50162"/>
  <c r="AB296" i="50162"/>
  <c r="AB297" i="50162"/>
  <c r="AB298" i="50162"/>
  <c r="AB299" i="50162"/>
  <c r="AB300" i="50162"/>
  <c r="AB301" i="50162"/>
  <c r="AB302" i="50162"/>
  <c r="AB303" i="50162"/>
  <c r="AB304" i="50162"/>
  <c r="AB305" i="50162"/>
  <c r="AB306" i="50162"/>
  <c r="AB307" i="50162"/>
  <c r="AB308" i="50162"/>
  <c r="AB309" i="50162"/>
  <c r="AB310" i="50162"/>
  <c r="AB311" i="50162"/>
  <c r="AB312" i="50162"/>
  <c r="AB313" i="50162"/>
  <c r="AB314" i="50162"/>
  <c r="AB315" i="50162"/>
  <c r="AB316" i="50162"/>
  <c r="AB317" i="50162"/>
  <c r="AB318" i="50162"/>
  <c r="AB319" i="50162"/>
  <c r="AB320" i="50162"/>
  <c r="AB321" i="50162"/>
  <c r="AB322" i="50162"/>
  <c r="AB323" i="50162"/>
  <c r="AB324" i="50162"/>
  <c r="AB325" i="50162"/>
  <c r="AB326" i="50162"/>
  <c r="AB327" i="50162"/>
  <c r="AB328" i="50162"/>
  <c r="AB329" i="50162"/>
  <c r="AB330" i="50162"/>
  <c r="AB331" i="50162"/>
  <c r="AB332" i="50162"/>
  <c r="AB333" i="50162"/>
  <c r="AB334" i="50162"/>
  <c r="AB335" i="50162"/>
  <c r="AB336" i="50162"/>
  <c r="AB337" i="50162"/>
  <c r="AB338" i="50162"/>
  <c r="AB339" i="50162"/>
  <c r="AB340" i="50162"/>
  <c r="AB341" i="50162"/>
  <c r="AB342" i="50162"/>
  <c r="AB343" i="50162"/>
  <c r="AB344" i="50162"/>
  <c r="AB345" i="50162"/>
  <c r="AB346" i="50162"/>
  <c r="AB347" i="50162"/>
  <c r="AB348" i="50162"/>
  <c r="AB349" i="50162"/>
  <c r="AB350" i="50162"/>
  <c r="AB351" i="50162"/>
  <c r="AB352" i="50162"/>
  <c r="AB353" i="50162"/>
  <c r="AB354" i="50162"/>
  <c r="AC45" i="50162"/>
  <c r="AC46" i="50162"/>
  <c r="AC47" i="50162"/>
  <c r="AC48" i="50162"/>
  <c r="AC49" i="50162"/>
  <c r="AC50" i="50162"/>
  <c r="AC51" i="50162"/>
  <c r="AC52" i="50162"/>
  <c r="AC53" i="50162"/>
  <c r="AC54" i="50162"/>
  <c r="AC55" i="50162"/>
  <c r="AC56" i="50162"/>
  <c r="AC57" i="50162"/>
  <c r="AC58" i="50162"/>
  <c r="AC59" i="50162"/>
  <c r="AC60" i="50162"/>
  <c r="AC61" i="50162"/>
  <c r="AC62" i="50162"/>
  <c r="AC63" i="50162"/>
  <c r="AC64" i="50162"/>
  <c r="AC65" i="50162"/>
  <c r="AC66" i="50162"/>
  <c r="AC67" i="50162"/>
  <c r="AC68" i="50162"/>
  <c r="AC69" i="50162"/>
  <c r="AC70" i="50162"/>
  <c r="AC71" i="50162"/>
  <c r="AC72" i="50162"/>
  <c r="AC73" i="50162"/>
  <c r="AC74" i="50162"/>
  <c r="AC75" i="50162"/>
  <c r="AC76" i="50162"/>
  <c r="AC77" i="50162"/>
  <c r="AC78" i="50162"/>
  <c r="AC79" i="50162"/>
  <c r="AC80" i="50162"/>
  <c r="AC81" i="50162"/>
  <c r="AC82" i="50162"/>
  <c r="AC83" i="50162"/>
  <c r="AC84" i="50162"/>
  <c r="AC85" i="50162"/>
  <c r="AC86" i="50162"/>
  <c r="AC87" i="50162"/>
  <c r="AC88" i="50162"/>
  <c r="AC89" i="50162"/>
  <c r="AC90" i="50162"/>
  <c r="AC91" i="50162"/>
  <c r="AC92" i="50162"/>
  <c r="AC93" i="50162"/>
  <c r="AC94" i="50162"/>
  <c r="AC95" i="50162"/>
  <c r="AC96" i="50162"/>
  <c r="AC97" i="50162"/>
  <c r="AC98" i="50162"/>
  <c r="AC99" i="50162"/>
  <c r="AC100" i="50162"/>
  <c r="AC101" i="50162"/>
  <c r="AC102" i="50162"/>
  <c r="AC103" i="50162"/>
  <c r="AC104" i="50162"/>
  <c r="AC105" i="50162"/>
  <c r="AC106" i="50162"/>
  <c r="AC107" i="50162"/>
  <c r="AC108" i="50162"/>
  <c r="AC109" i="50162"/>
  <c r="AC110" i="50162"/>
  <c r="AC111" i="50162"/>
  <c r="AC112" i="50162"/>
  <c r="AC113" i="50162"/>
  <c r="AC114" i="50162"/>
  <c r="AC115" i="50162"/>
  <c r="AC116" i="50162"/>
  <c r="AC117" i="50162"/>
  <c r="AC118" i="50162"/>
  <c r="AC119" i="50162"/>
  <c r="AC120" i="50162"/>
  <c r="AC121" i="50162"/>
  <c r="AC122" i="50162"/>
  <c r="AC123" i="50162"/>
  <c r="AC124" i="50162"/>
  <c r="AC125" i="50162"/>
  <c r="AC126" i="50162"/>
  <c r="AC127" i="50162"/>
  <c r="AC128" i="50162"/>
  <c r="AC129" i="50162"/>
  <c r="AC130" i="50162"/>
  <c r="AC131" i="50162"/>
  <c r="AC132" i="50162"/>
  <c r="AC133" i="50162"/>
  <c r="AC134" i="50162"/>
  <c r="AC135" i="50162"/>
  <c r="AC136" i="50162"/>
  <c r="AC137" i="50162"/>
  <c r="AC138" i="50162"/>
  <c r="AC139" i="50162"/>
  <c r="AC140" i="50162"/>
  <c r="AC141" i="50162"/>
  <c r="AC142" i="50162"/>
  <c r="AC143" i="50162"/>
  <c r="AC144" i="50162"/>
  <c r="AC145" i="50162"/>
  <c r="AC146" i="50162"/>
  <c r="AC147" i="50162"/>
  <c r="AC148" i="50162"/>
  <c r="AC149" i="50162"/>
  <c r="AC150" i="50162"/>
  <c r="AC151" i="50162"/>
  <c r="AC152" i="50162"/>
  <c r="AC153" i="50162"/>
  <c r="AC154" i="50162"/>
  <c r="AC155" i="50162"/>
  <c r="AC156" i="50162"/>
  <c r="AC157" i="50162"/>
  <c r="AC158" i="50162"/>
  <c r="AC159" i="50162"/>
  <c r="AC160" i="50162"/>
  <c r="AC161" i="50162"/>
  <c r="AC162" i="50162"/>
  <c r="AC163" i="50162"/>
  <c r="AC164" i="50162"/>
  <c r="AC165" i="50162"/>
  <c r="AC166" i="50162"/>
  <c r="AC167" i="50162"/>
  <c r="AC168" i="50162"/>
  <c r="AC169" i="50162"/>
  <c r="AC170" i="50162"/>
  <c r="AC171" i="50162"/>
  <c r="AC172" i="50162"/>
  <c r="AC173" i="50162"/>
  <c r="AC174" i="50162"/>
  <c r="AC175" i="50162"/>
  <c r="AC176" i="50162"/>
  <c r="AC177" i="50162"/>
  <c r="AC178" i="50162"/>
  <c r="AC179" i="50162"/>
  <c r="AC180" i="50162"/>
  <c r="AC181" i="50162"/>
  <c r="AC182" i="50162"/>
  <c r="AC183" i="50162"/>
  <c r="AC184" i="50162"/>
  <c r="AC185" i="50162"/>
  <c r="AC186" i="50162"/>
  <c r="AC187" i="50162"/>
  <c r="AC188" i="50162"/>
  <c r="AC189" i="50162"/>
  <c r="AC190" i="50162"/>
  <c r="AC191" i="50162"/>
  <c r="AC192" i="50162"/>
  <c r="AC193" i="50162"/>
  <c r="AC194" i="50162"/>
  <c r="AC195" i="50162"/>
  <c r="AC196" i="50162"/>
  <c r="AC197" i="50162"/>
  <c r="AC198" i="50162"/>
  <c r="AC199" i="50162"/>
  <c r="AC200" i="50162"/>
  <c r="AC201" i="50162"/>
  <c r="AC202" i="50162"/>
  <c r="AC203" i="50162"/>
  <c r="AC204" i="50162"/>
  <c r="AC205" i="50162"/>
  <c r="AC206" i="50162"/>
  <c r="AC207" i="50162"/>
  <c r="AC208" i="50162"/>
  <c r="AC209" i="50162"/>
  <c r="AC210" i="50162"/>
  <c r="AC211" i="50162"/>
  <c r="AC212" i="50162"/>
  <c r="AC213" i="50162"/>
  <c r="AC214" i="50162"/>
  <c r="AC215" i="50162"/>
  <c r="AC216" i="50162"/>
  <c r="AC217" i="50162"/>
  <c r="AC218" i="50162"/>
  <c r="AC219" i="50162"/>
  <c r="AC220" i="50162"/>
  <c r="AC221" i="50162"/>
  <c r="AC222" i="50162"/>
  <c r="AC223" i="50162"/>
  <c r="AC224" i="50162"/>
  <c r="AC225" i="50162"/>
  <c r="AC226" i="50162"/>
  <c r="AC227" i="50162"/>
  <c r="AC228" i="50162"/>
  <c r="AC229" i="50162"/>
  <c r="AC230" i="50162"/>
  <c r="AC231" i="50162"/>
  <c r="AC232" i="50162"/>
  <c r="AC233" i="50162"/>
  <c r="AC234" i="50162"/>
  <c r="AC235" i="50162"/>
  <c r="AC236" i="50162"/>
  <c r="AC237" i="50162"/>
  <c r="AC238" i="50162"/>
  <c r="AC239" i="50162"/>
  <c r="AC240" i="50162"/>
  <c r="AC241" i="50162"/>
  <c r="AC242" i="50162"/>
  <c r="AC243" i="50162"/>
  <c r="AC244" i="50162"/>
  <c r="AC245" i="50162"/>
  <c r="AC246" i="50162"/>
  <c r="AC247" i="50162"/>
  <c r="AC248" i="50162"/>
  <c r="AC249" i="50162"/>
  <c r="AC250" i="50162"/>
  <c r="AC251" i="50162"/>
  <c r="AC252" i="50162"/>
  <c r="AC253" i="50162"/>
  <c r="AC254" i="50162"/>
  <c r="AC255" i="50162"/>
  <c r="AC256" i="50162"/>
  <c r="AC257" i="50162"/>
  <c r="AC258" i="50162"/>
  <c r="AC259" i="50162"/>
  <c r="AC260" i="50162"/>
  <c r="AC261" i="50162"/>
  <c r="AC262" i="50162"/>
  <c r="AC263" i="50162"/>
  <c r="AC264" i="50162"/>
  <c r="AC265" i="50162"/>
  <c r="AC266" i="50162"/>
  <c r="AC267" i="50162"/>
  <c r="AC268" i="50162"/>
  <c r="AC269" i="50162"/>
  <c r="AC270" i="50162"/>
  <c r="AC271" i="50162"/>
  <c r="AC272" i="50162"/>
  <c r="AC273" i="50162"/>
  <c r="AC274" i="50162"/>
  <c r="AC275" i="50162"/>
  <c r="AC276" i="50162"/>
  <c r="AC277" i="50162"/>
  <c r="AC278" i="50162"/>
  <c r="AC279" i="50162"/>
  <c r="AC280" i="50162"/>
  <c r="AC281" i="50162"/>
  <c r="AC282" i="50162"/>
  <c r="AC283" i="50162"/>
  <c r="AC284" i="50162"/>
  <c r="AC285" i="50162"/>
  <c r="AC286" i="50162"/>
  <c r="AC287" i="50162"/>
  <c r="AC288" i="50162"/>
  <c r="AC289" i="50162"/>
  <c r="AC290" i="50162"/>
  <c r="AC291" i="50162"/>
  <c r="AC292" i="50162"/>
  <c r="AC293" i="50162"/>
  <c r="AC294" i="50162"/>
  <c r="AC295" i="50162"/>
  <c r="AC296" i="50162"/>
  <c r="AC297" i="50162"/>
  <c r="AC298" i="50162"/>
  <c r="AC299" i="50162"/>
  <c r="AC300" i="50162"/>
  <c r="AC301" i="50162"/>
  <c r="AC302" i="50162"/>
  <c r="AC303" i="50162"/>
  <c r="AC304" i="50162"/>
  <c r="AC305" i="50162"/>
  <c r="AC306" i="50162"/>
  <c r="AC307" i="50162"/>
  <c r="AC308" i="50162"/>
  <c r="AC309" i="50162"/>
  <c r="AC310" i="50162"/>
  <c r="AC311" i="50162"/>
  <c r="AC312" i="50162"/>
  <c r="AC313" i="50162"/>
  <c r="AC314" i="50162"/>
  <c r="AC315" i="50162"/>
  <c r="AC316" i="50162"/>
  <c r="AC317" i="50162"/>
  <c r="AC318" i="50162"/>
  <c r="AC319" i="50162"/>
  <c r="AC320" i="50162"/>
  <c r="AC321" i="50162"/>
  <c r="AC322" i="50162"/>
  <c r="AC323" i="50162"/>
  <c r="AC324" i="50162"/>
  <c r="AC325" i="50162"/>
  <c r="AC326" i="50162"/>
  <c r="AC327" i="50162"/>
  <c r="AC328" i="50162"/>
  <c r="AC329" i="50162"/>
  <c r="AC330" i="50162"/>
  <c r="AC331" i="50162"/>
  <c r="AC332" i="50162"/>
  <c r="AC333" i="50162"/>
  <c r="AC334" i="50162"/>
  <c r="AC335" i="50162"/>
  <c r="AC336" i="50162"/>
  <c r="AC337" i="50162"/>
  <c r="AC338" i="50162"/>
  <c r="AC339" i="50162"/>
  <c r="AC340" i="50162"/>
  <c r="AC341" i="50162"/>
  <c r="AC342" i="50162"/>
  <c r="AC343" i="50162"/>
  <c r="AC344" i="50162"/>
  <c r="AC345" i="50162"/>
  <c r="AC346" i="50162"/>
  <c r="AC347" i="50162"/>
  <c r="AC348" i="50162"/>
  <c r="AC349" i="50162"/>
  <c r="AC350" i="50162"/>
  <c r="AC351" i="50162"/>
  <c r="AC352" i="50162"/>
  <c r="AC353" i="50162"/>
  <c r="AC354" i="50162"/>
  <c r="AG354" i="50162"/>
  <c r="T229" i="50162"/>
  <c r="AH353" i="50162"/>
  <c r="AG353" i="50162"/>
  <c r="U228" i="50162"/>
  <c r="AH352" i="50162"/>
  <c r="AG352" i="50162"/>
  <c r="T227" i="50162"/>
  <c r="AH351" i="50162"/>
  <c r="AG351" i="50162"/>
  <c r="AH350" i="50162"/>
  <c r="AG350" i="50162"/>
  <c r="U225" i="50162"/>
  <c r="AH349" i="50162"/>
  <c r="AG349" i="50162"/>
  <c r="U224" i="50162"/>
  <c r="T224" i="50162"/>
  <c r="AH348" i="50162"/>
  <c r="AG348" i="50162"/>
  <c r="U223" i="50162"/>
  <c r="T223" i="50162"/>
  <c r="AH347" i="50162"/>
  <c r="AG347" i="50162"/>
  <c r="U222" i="50162"/>
  <c r="T222" i="50162"/>
  <c r="AH346" i="50162"/>
  <c r="AG346" i="50162"/>
  <c r="T221" i="50162"/>
  <c r="AH345" i="50162"/>
  <c r="AG345" i="50162"/>
  <c r="U220" i="50162"/>
  <c r="AH344" i="50162"/>
  <c r="AG344" i="50162"/>
  <c r="T219" i="50162"/>
  <c r="AH343" i="50162"/>
  <c r="AG343" i="50162"/>
  <c r="AH342" i="50162"/>
  <c r="AG342" i="50162"/>
  <c r="U217" i="50162"/>
  <c r="AH341" i="50162"/>
  <c r="AG341" i="50162"/>
  <c r="U216" i="50162"/>
  <c r="T216" i="50162"/>
  <c r="AH340" i="50162"/>
  <c r="AG340" i="50162"/>
  <c r="U215" i="50162"/>
  <c r="T215" i="50162"/>
  <c r="AH339" i="50162"/>
  <c r="AG339" i="50162"/>
  <c r="U214" i="50162"/>
  <c r="T214" i="50162"/>
  <c r="AH338" i="50162"/>
  <c r="AG338" i="50162"/>
  <c r="T213" i="50162"/>
  <c r="AH337" i="50162"/>
  <c r="AG337" i="50162"/>
  <c r="U212" i="50162"/>
  <c r="AH336" i="50162"/>
  <c r="AG336" i="50162"/>
  <c r="T211" i="50162"/>
  <c r="AH335" i="50162"/>
  <c r="AG335" i="50162"/>
  <c r="T210" i="50162"/>
  <c r="AH334" i="50162"/>
  <c r="AG334" i="50162"/>
  <c r="U209" i="50162"/>
  <c r="AH333" i="50162"/>
  <c r="AG333" i="50162"/>
  <c r="U208" i="50162"/>
  <c r="T208" i="50162"/>
  <c r="AH332" i="50162"/>
  <c r="AG332" i="50162"/>
  <c r="U207" i="50162"/>
  <c r="T207" i="50162"/>
  <c r="AH331" i="50162"/>
  <c r="AG331" i="50162"/>
  <c r="U206" i="50162"/>
  <c r="T206" i="50162"/>
  <c r="AH330" i="50162"/>
  <c r="AG330" i="50162"/>
  <c r="T205" i="50162"/>
  <c r="AH329" i="50162"/>
  <c r="AG329" i="50162"/>
  <c r="U204" i="50162"/>
  <c r="AH328" i="50162"/>
  <c r="AG328" i="50162"/>
  <c r="T203" i="50162"/>
  <c r="AH327" i="50162"/>
  <c r="AG327" i="50162"/>
  <c r="T202" i="50162"/>
  <c r="AH326" i="50162"/>
  <c r="AG326" i="50162"/>
  <c r="U201" i="50162"/>
  <c r="AH325" i="50162"/>
  <c r="AG325" i="50162"/>
  <c r="U200" i="50162"/>
  <c r="T200" i="50162"/>
  <c r="AH324" i="50162"/>
  <c r="AG324" i="50162"/>
  <c r="U199" i="50162"/>
  <c r="T199" i="50162"/>
  <c r="AH323" i="50162"/>
  <c r="AG323" i="50162"/>
  <c r="U198" i="50162"/>
  <c r="T198" i="50162"/>
  <c r="AH322" i="50162"/>
  <c r="AG322" i="50162"/>
  <c r="T197" i="50162"/>
  <c r="AH321" i="50162"/>
  <c r="AG321" i="50162"/>
  <c r="U196" i="50162"/>
  <c r="AH320" i="50162"/>
  <c r="AG320" i="50162"/>
  <c r="T195" i="50162"/>
  <c r="AH319" i="50162"/>
  <c r="AG319" i="50162"/>
  <c r="T194" i="50162"/>
  <c r="AH318" i="50162"/>
  <c r="AG318" i="50162"/>
  <c r="U193" i="50162"/>
  <c r="AH317" i="50162"/>
  <c r="AG317" i="50162"/>
  <c r="U192" i="50162"/>
  <c r="T192" i="50162"/>
  <c r="AH316" i="50162"/>
  <c r="AG316" i="50162"/>
  <c r="U191" i="50162"/>
  <c r="T191" i="50162"/>
  <c r="AH315" i="50162"/>
  <c r="AG315" i="50162"/>
  <c r="U190" i="50162"/>
  <c r="T190" i="50162"/>
  <c r="AH314" i="50162"/>
  <c r="AG314" i="50162"/>
  <c r="T189" i="50162"/>
  <c r="AH313" i="50162"/>
  <c r="AG313" i="50162"/>
  <c r="U188" i="50162"/>
  <c r="AH312" i="50162"/>
  <c r="AG312" i="50162"/>
  <c r="T187" i="50162"/>
  <c r="AH311" i="50162"/>
  <c r="AG311" i="50162"/>
  <c r="AH310" i="50162"/>
  <c r="AG310" i="50162"/>
  <c r="U185" i="50162"/>
  <c r="AH309" i="50162"/>
  <c r="AG309" i="50162"/>
  <c r="U184" i="50162"/>
  <c r="T184" i="50162"/>
  <c r="AH308" i="50162"/>
  <c r="AG308" i="50162"/>
  <c r="U183" i="50162"/>
  <c r="T183" i="50162"/>
  <c r="AH307" i="50162"/>
  <c r="AG307" i="50162"/>
  <c r="U182" i="50162"/>
  <c r="T182" i="50162"/>
  <c r="AH306" i="50162"/>
  <c r="AG306" i="50162"/>
  <c r="T181" i="50162"/>
  <c r="AH305" i="50162"/>
  <c r="AG305" i="50162"/>
  <c r="U180" i="50162"/>
  <c r="V229" i="50161"/>
  <c r="V228" i="50161"/>
  <c r="V227" i="50161"/>
  <c r="V226" i="50161"/>
  <c r="V225" i="50161"/>
  <c r="V224" i="50161"/>
  <c r="V223" i="50161"/>
  <c r="V222" i="50161"/>
  <c r="V221" i="50161"/>
  <c r="V220" i="50161"/>
  <c r="V219" i="50161"/>
  <c r="V218" i="50161"/>
  <c r="V217" i="50161"/>
  <c r="V216" i="50161"/>
  <c r="V215" i="50161"/>
  <c r="V214" i="50161"/>
  <c r="V213" i="50161"/>
  <c r="V212" i="50161"/>
  <c r="V211" i="50161"/>
  <c r="V210" i="50161"/>
  <c r="V209" i="50161"/>
  <c r="V208" i="50161"/>
  <c r="V207" i="50161"/>
  <c r="V206" i="50161"/>
  <c r="V205" i="50161"/>
  <c r="V204" i="50161"/>
  <c r="V203" i="50161"/>
  <c r="V202" i="50161"/>
  <c r="V201" i="50161"/>
  <c r="V200" i="50161"/>
  <c r="V199" i="50161"/>
  <c r="V198" i="50161"/>
  <c r="V197" i="50161"/>
  <c r="V196" i="50161"/>
  <c r="V195" i="50161"/>
  <c r="V194" i="50161"/>
  <c r="V193" i="50161"/>
  <c r="V192" i="50161"/>
  <c r="V191" i="50161"/>
  <c r="V190" i="50161"/>
  <c r="V189" i="50161"/>
  <c r="V188" i="50161"/>
  <c r="V187" i="50161"/>
  <c r="V186" i="50161"/>
  <c r="V185" i="50161"/>
  <c r="V184" i="50161"/>
  <c r="V183" i="50161"/>
  <c r="V182" i="50161"/>
  <c r="V181" i="50161"/>
  <c r="V180" i="50161"/>
  <c r="S229" i="50161"/>
  <c r="S228" i="50161"/>
  <c r="S227" i="50161"/>
  <c r="S226" i="50161"/>
  <c r="S225" i="50161"/>
  <c r="S224" i="50161"/>
  <c r="S223" i="50161"/>
  <c r="S222" i="50161"/>
  <c r="S221" i="50161"/>
  <c r="S220" i="50161"/>
  <c r="S219" i="50161"/>
  <c r="S218" i="50161"/>
  <c r="S217" i="50161"/>
  <c r="S216" i="50161"/>
  <c r="S215" i="50161"/>
  <c r="S214" i="50161"/>
  <c r="S213" i="50161"/>
  <c r="S212" i="50161"/>
  <c r="S211" i="50161"/>
  <c r="S210" i="50161"/>
  <c r="S209" i="50161"/>
  <c r="S208" i="50161"/>
  <c r="S207" i="50161"/>
  <c r="S206" i="50161"/>
  <c r="S205" i="50161"/>
  <c r="S204" i="50161"/>
  <c r="S203" i="50161"/>
  <c r="S202" i="50161"/>
  <c r="S201" i="50161"/>
  <c r="S200" i="50161"/>
  <c r="S199" i="50161"/>
  <c r="S198" i="50161"/>
  <c r="S197" i="50161"/>
  <c r="S196" i="50161"/>
  <c r="S195" i="50161"/>
  <c r="S194" i="50161"/>
  <c r="S193" i="50161"/>
  <c r="S192" i="50161"/>
  <c r="S191" i="50161"/>
  <c r="S190" i="50161"/>
  <c r="S189" i="50161"/>
  <c r="S188" i="50161"/>
  <c r="S187" i="50161"/>
  <c r="S186" i="50161"/>
  <c r="S185" i="50161"/>
  <c r="S184" i="50161"/>
  <c r="S183" i="50161"/>
  <c r="S182" i="50161"/>
  <c r="S181" i="50161"/>
  <c r="S180" i="50161"/>
  <c r="V229" i="50162"/>
  <c r="V228" i="50162"/>
  <c r="V227" i="50162"/>
  <c r="V226" i="50162"/>
  <c r="V225" i="50162"/>
  <c r="V224" i="50162"/>
  <c r="V223" i="50162"/>
  <c r="V222" i="50162"/>
  <c r="V221" i="50162"/>
  <c r="V220" i="50162"/>
  <c r="V219" i="50162"/>
  <c r="V218" i="50162"/>
  <c r="V217" i="50162"/>
  <c r="V216" i="50162"/>
  <c r="V215" i="50162"/>
  <c r="V214" i="50162"/>
  <c r="V213" i="50162"/>
  <c r="V212" i="50162"/>
  <c r="V211" i="50162"/>
  <c r="V210" i="50162"/>
  <c r="V209" i="50162"/>
  <c r="V208" i="50162"/>
  <c r="V207" i="50162"/>
  <c r="V206" i="50162"/>
  <c r="V205" i="50162"/>
  <c r="V204" i="50162"/>
  <c r="V203" i="50162"/>
  <c r="V202" i="50162"/>
  <c r="V201" i="50162"/>
  <c r="V200" i="50162"/>
  <c r="V199" i="50162"/>
  <c r="V198" i="50162"/>
  <c r="V197" i="50162"/>
  <c r="V196" i="50162"/>
  <c r="V195" i="50162"/>
  <c r="V194" i="50162"/>
  <c r="V193" i="50162"/>
  <c r="V192" i="50162"/>
  <c r="V191" i="50162"/>
  <c r="V190" i="50162"/>
  <c r="V189" i="50162"/>
  <c r="V188" i="50162"/>
  <c r="V187" i="50162"/>
  <c r="V186" i="50162"/>
  <c r="V185" i="50162"/>
  <c r="V184" i="50162"/>
  <c r="V183" i="50162"/>
  <c r="V182" i="50162"/>
  <c r="V181" i="50162"/>
  <c r="S229" i="50162"/>
  <c r="S228" i="50162"/>
  <c r="S227" i="50162"/>
  <c r="S226" i="50162"/>
  <c r="S225" i="50162"/>
  <c r="S224" i="50162"/>
  <c r="S223" i="50162"/>
  <c r="S222" i="50162"/>
  <c r="S221" i="50162"/>
  <c r="S220" i="50162"/>
  <c r="S219" i="50162"/>
  <c r="S218" i="50162"/>
  <c r="S217" i="50162"/>
  <c r="S216" i="50162"/>
  <c r="S215" i="50162"/>
  <c r="S214" i="50162"/>
  <c r="S213" i="50162"/>
  <c r="S212" i="50162"/>
  <c r="S211" i="50162"/>
  <c r="S210" i="50162"/>
  <c r="S209" i="50162"/>
  <c r="S208" i="50162"/>
  <c r="S207" i="50162"/>
  <c r="S206" i="50162"/>
  <c r="S205" i="50162"/>
  <c r="S204" i="50162"/>
  <c r="S203" i="50162"/>
  <c r="S202" i="50162"/>
  <c r="S201" i="50162"/>
  <c r="S200" i="50162"/>
  <c r="S199" i="50162"/>
  <c r="S198" i="50162"/>
  <c r="S197" i="50162"/>
  <c r="S196" i="50162"/>
  <c r="S195" i="50162"/>
  <c r="S194" i="50162"/>
  <c r="S193" i="50162"/>
  <c r="S192" i="50162"/>
  <c r="S191" i="50162"/>
  <c r="S190" i="50162"/>
  <c r="S189" i="50162"/>
  <c r="S188" i="50162"/>
  <c r="S187" i="50162"/>
  <c r="S186" i="50162"/>
  <c r="S185" i="50162"/>
  <c r="S184" i="50162"/>
  <c r="S183" i="50162"/>
  <c r="S182" i="50162"/>
  <c r="S181" i="50162"/>
  <c r="V180" i="50162"/>
  <c r="S180" i="50162"/>
  <c r="CD75" i="50161"/>
  <c r="CD74" i="50161"/>
  <c r="CD73" i="50161"/>
  <c r="CD72" i="50161"/>
  <c r="CD71" i="50161"/>
  <c r="CD70" i="50161"/>
  <c r="CD69" i="50161"/>
  <c r="CD68" i="50161"/>
  <c r="CD67" i="50161"/>
  <c r="CC75" i="50161"/>
  <c r="CC74" i="50161"/>
  <c r="CC73" i="50161"/>
  <c r="CC72" i="50161"/>
  <c r="CC71" i="50161"/>
  <c r="CC70" i="50161"/>
  <c r="CC69" i="50161"/>
  <c r="CC68" i="50161"/>
  <c r="CC67" i="50161"/>
  <c r="CB75" i="50161"/>
  <c r="CB74" i="50161"/>
  <c r="CB73" i="50161"/>
  <c r="CB72" i="50161"/>
  <c r="CB71" i="50161"/>
  <c r="CB70" i="50161"/>
  <c r="CB69" i="50161"/>
  <c r="CB68" i="50161"/>
  <c r="CB67" i="50161"/>
  <c r="CA75" i="50161"/>
  <c r="CA74" i="50161"/>
  <c r="CA73" i="50161"/>
  <c r="CA72" i="50161"/>
  <c r="CA71" i="50161"/>
  <c r="CA70" i="50161"/>
  <c r="CA69" i="50161"/>
  <c r="CA68" i="50161"/>
  <c r="CA67" i="50161"/>
  <c r="BZ75" i="50161"/>
  <c r="BZ74" i="50161"/>
  <c r="BZ73" i="50161"/>
  <c r="BZ72" i="50161"/>
  <c r="BZ71" i="50161"/>
  <c r="BZ70" i="50161"/>
  <c r="BZ69" i="50161"/>
  <c r="BZ68" i="50161"/>
  <c r="BZ67" i="50161"/>
  <c r="BY75" i="50161"/>
  <c r="BY74" i="50161"/>
  <c r="BY73" i="50161"/>
  <c r="BY72" i="50161"/>
  <c r="BY71" i="50161"/>
  <c r="BY70" i="50161"/>
  <c r="BY69" i="50161"/>
  <c r="BY68" i="50161"/>
  <c r="BY67" i="50161"/>
  <c r="BX75" i="50161"/>
  <c r="BX74" i="50161"/>
  <c r="BX73" i="50161"/>
  <c r="BX72" i="50161"/>
  <c r="BX71" i="50161"/>
  <c r="BX70" i="50161"/>
  <c r="BX69" i="50161"/>
  <c r="BX68" i="50161"/>
  <c r="BX67" i="50161"/>
  <c r="CD66" i="50161"/>
  <c r="CC66" i="50161"/>
  <c r="CB66" i="50161"/>
  <c r="CA66" i="50161"/>
  <c r="BZ66" i="50161"/>
  <c r="BY66" i="50161"/>
  <c r="BX66" i="50161"/>
  <c r="CD75" i="50162"/>
  <c r="CD74" i="50162"/>
  <c r="CD73" i="50162"/>
  <c r="CD72" i="50162"/>
  <c r="CD71" i="50162"/>
  <c r="CD70" i="50162"/>
  <c r="CD69" i="50162"/>
  <c r="CD68" i="50162"/>
  <c r="CD67" i="50162"/>
  <c r="CD66" i="50162"/>
  <c r="CC75" i="50162"/>
  <c r="CC74" i="50162"/>
  <c r="CC73" i="50162"/>
  <c r="CC72" i="50162"/>
  <c r="CC71" i="50162"/>
  <c r="CC70" i="50162"/>
  <c r="CC68" i="50162"/>
  <c r="CC67" i="50162"/>
  <c r="CC69" i="50162"/>
  <c r="CB75" i="50162"/>
  <c r="CB74" i="50162"/>
  <c r="CB73" i="50162"/>
  <c r="CB72" i="50162"/>
  <c r="CB71" i="50162"/>
  <c r="CB70" i="50162"/>
  <c r="CB69" i="50162"/>
  <c r="CB68" i="50162"/>
  <c r="CB67" i="50162"/>
  <c r="CA75" i="50162"/>
  <c r="CA74" i="50162"/>
  <c r="CA73" i="50162"/>
  <c r="CA72" i="50162"/>
  <c r="CA71" i="50162"/>
  <c r="CA70" i="50162"/>
  <c r="CA69" i="50162"/>
  <c r="CA68" i="50162"/>
  <c r="CA67" i="50162"/>
  <c r="BZ75" i="50162"/>
  <c r="BZ74" i="50162"/>
  <c r="BZ73" i="50162"/>
  <c r="BZ72" i="50162"/>
  <c r="BZ71" i="50162"/>
  <c r="BZ70" i="50162"/>
  <c r="BZ69" i="50162"/>
  <c r="BZ68" i="50162"/>
  <c r="BZ67" i="50162"/>
  <c r="BY75" i="50162"/>
  <c r="BY74" i="50162"/>
  <c r="BY73" i="50162"/>
  <c r="BY72" i="50162"/>
  <c r="BY71" i="50162"/>
  <c r="BY70" i="50162"/>
  <c r="BY69" i="50162"/>
  <c r="BY68" i="50162"/>
  <c r="BY67" i="50162"/>
  <c r="BX75" i="50162"/>
  <c r="BX74" i="50162"/>
  <c r="BX73" i="50162"/>
  <c r="BX72" i="50162"/>
  <c r="BX71" i="50162"/>
  <c r="BX70" i="50162"/>
  <c r="BX69" i="50162"/>
  <c r="BX68" i="50162"/>
  <c r="BX67" i="50162"/>
  <c r="CC66" i="50162"/>
  <c r="CB66" i="50162"/>
  <c r="CA66" i="50162"/>
  <c r="BZ66" i="50162"/>
  <c r="BY66" i="50162"/>
  <c r="BX66" i="50162"/>
  <c r="BW66" i="50162"/>
  <c r="BW66" i="50161"/>
  <c r="X66" i="50161"/>
  <c r="W66" i="50161"/>
  <c r="V66" i="50161"/>
  <c r="U66" i="50161"/>
  <c r="T66" i="50161"/>
  <c r="S66" i="50161"/>
  <c r="R66" i="50161"/>
  <c r="Q66" i="50161"/>
  <c r="X66" i="50162"/>
  <c r="W66" i="50162"/>
  <c r="V66" i="50162"/>
  <c r="U66" i="50162"/>
  <c r="T66" i="50162"/>
  <c r="S66" i="50162"/>
  <c r="R66" i="50162"/>
  <c r="Q66" i="50162"/>
  <c r="V308" i="50160"/>
  <c r="V310" i="50160" s="1"/>
  <c r="AB309" i="50160"/>
  <c r="AB314" i="50160"/>
  <c r="AC309" i="50160"/>
  <c r="AC314" i="50160"/>
  <c r="AD309" i="50160"/>
  <c r="AD314" i="50160"/>
  <c r="AE309" i="50160"/>
  <c r="AE314" i="50160"/>
  <c r="AF309" i="50160"/>
  <c r="AF314" i="50160"/>
  <c r="AG309" i="50160"/>
  <c r="AG314" i="50160"/>
  <c r="AH309" i="50160"/>
  <c r="AH314" i="50160"/>
  <c r="AI309" i="50160"/>
  <c r="AI314" i="50160"/>
  <c r="AJ309" i="50160"/>
  <c r="AJ314" i="50160"/>
  <c r="AK309" i="50160"/>
  <c r="AK314" i="50160"/>
  <c r="AL309" i="50160"/>
  <c r="AL314" i="50160"/>
  <c r="AM309" i="50160"/>
  <c r="AM314" i="50160"/>
  <c r="AN309" i="50160"/>
  <c r="AN314" i="50160"/>
  <c r="AO309" i="50160"/>
  <c r="AO314" i="50160"/>
  <c r="AP309" i="50160"/>
  <c r="AP314" i="50160"/>
  <c r="V307" i="50160"/>
  <c r="V309" i="50160" s="1"/>
  <c r="AB308" i="50160"/>
  <c r="AB315" i="50160"/>
  <c r="AC308" i="50160"/>
  <c r="AC315" i="50160"/>
  <c r="AD308" i="50160"/>
  <c r="AD315" i="50160"/>
  <c r="AE308" i="50160"/>
  <c r="AE315" i="50160"/>
  <c r="AF308" i="50160"/>
  <c r="AF315" i="50160"/>
  <c r="AG308" i="50160"/>
  <c r="AG315" i="50160"/>
  <c r="AH308" i="50160"/>
  <c r="AH315" i="50160"/>
  <c r="AI308" i="50160"/>
  <c r="AI315" i="50160"/>
  <c r="AJ308" i="50160"/>
  <c r="AJ315" i="50160"/>
  <c r="AK308" i="50160"/>
  <c r="AK315" i="50160"/>
  <c r="AL308" i="50160"/>
  <c r="AL315" i="50160"/>
  <c r="AM308" i="50160"/>
  <c r="AM315" i="50160"/>
  <c r="AN308" i="50160"/>
  <c r="AN315" i="50160"/>
  <c r="AO308" i="50160"/>
  <c r="AO315" i="50160"/>
  <c r="AP308" i="50160"/>
  <c r="AP315" i="50160"/>
  <c r="AB311" i="50160"/>
  <c r="AC311" i="50160"/>
  <c r="AD311" i="50160"/>
  <c r="AE311" i="50160"/>
  <c r="AF311" i="50160"/>
  <c r="AG311" i="50160"/>
  <c r="AH311" i="50160"/>
  <c r="AI311" i="50160"/>
  <c r="AJ311" i="50160"/>
  <c r="AK311" i="50160"/>
  <c r="AL311" i="50160"/>
  <c r="AM311" i="50160"/>
  <c r="AN311" i="50160"/>
  <c r="AO311" i="50160"/>
  <c r="AP311" i="50160"/>
  <c r="Z313" i="50160"/>
  <c r="AA313" i="50160"/>
  <c r="AB313" i="50160"/>
  <c r="AC313" i="50160"/>
  <c r="AD313" i="50160"/>
  <c r="AE313" i="50160"/>
  <c r="AF313" i="50160"/>
  <c r="AG313" i="50160"/>
  <c r="AH313" i="50160"/>
  <c r="AI313" i="50160"/>
  <c r="AJ313" i="50160"/>
  <c r="AK313" i="50160"/>
  <c r="AL313" i="50160"/>
  <c r="AM313" i="50160"/>
  <c r="AN313" i="50160"/>
  <c r="AO313" i="50160"/>
  <c r="AP313" i="50160"/>
  <c r="AB310" i="50160"/>
  <c r="AC310" i="50160"/>
  <c r="AD310" i="50160"/>
  <c r="AE310" i="50160"/>
  <c r="AF310" i="50160"/>
  <c r="AG310" i="50160"/>
  <c r="AH310" i="50160"/>
  <c r="AI310" i="50160"/>
  <c r="AJ310" i="50160"/>
  <c r="AK310" i="50160"/>
  <c r="AL310" i="50160"/>
  <c r="AM310" i="50160"/>
  <c r="AN310" i="50160"/>
  <c r="AO310" i="50160"/>
  <c r="AP310" i="50160"/>
  <c r="Z312" i="50160"/>
  <c r="AA312" i="50160"/>
  <c r="AB312" i="50160"/>
  <c r="AC312" i="50160"/>
  <c r="AD312" i="50160"/>
  <c r="AE312" i="50160"/>
  <c r="AF312" i="50160"/>
  <c r="AG312" i="50160"/>
  <c r="AH312" i="50160"/>
  <c r="AI312" i="50160"/>
  <c r="AJ312" i="50160"/>
  <c r="AK312" i="50160"/>
  <c r="AL312" i="50160"/>
  <c r="AM312" i="50160"/>
  <c r="AN312" i="50160"/>
  <c r="AO312" i="50160"/>
  <c r="AP312" i="50160"/>
  <c r="Z320" i="50160"/>
  <c r="Z319" i="50160"/>
  <c r="Z318" i="50160"/>
  <c r="V308" i="50158"/>
  <c r="V310" i="50158" s="1"/>
  <c r="AB309" i="50158"/>
  <c r="AB314" i="50158"/>
  <c r="AC309" i="50158"/>
  <c r="AC314" i="50158"/>
  <c r="AD309" i="50158"/>
  <c r="AD314" i="50158"/>
  <c r="AE309" i="50158"/>
  <c r="AE314" i="50158"/>
  <c r="AF309" i="50158"/>
  <c r="AF314" i="50158"/>
  <c r="AG309" i="50158"/>
  <c r="AG314" i="50158"/>
  <c r="AH309" i="50158"/>
  <c r="AH314" i="50158"/>
  <c r="AI309" i="50158"/>
  <c r="AI314" i="50158"/>
  <c r="AJ309" i="50158"/>
  <c r="AJ314" i="50158"/>
  <c r="AK309" i="50158"/>
  <c r="AK314" i="50158"/>
  <c r="AL309" i="50158"/>
  <c r="AL314" i="50158"/>
  <c r="AM309" i="50158"/>
  <c r="AM314" i="50158"/>
  <c r="AN309" i="50158"/>
  <c r="AN314" i="50158"/>
  <c r="AO309" i="50158"/>
  <c r="AO314" i="50158"/>
  <c r="AP309" i="50158"/>
  <c r="AP314" i="50158"/>
  <c r="V307" i="50158"/>
  <c r="V309" i="50158" s="1"/>
  <c r="Z308" i="50158" s="1"/>
  <c r="AB308" i="50158"/>
  <c r="AB315" i="50158"/>
  <c r="AC308" i="50158"/>
  <c r="AC315" i="50158"/>
  <c r="AD308" i="50158"/>
  <c r="AD315" i="50158"/>
  <c r="AE308" i="50158"/>
  <c r="AE315" i="50158"/>
  <c r="AF308" i="50158"/>
  <c r="AF315" i="50158"/>
  <c r="AG308" i="50158"/>
  <c r="AG315" i="50158"/>
  <c r="AH308" i="50158"/>
  <c r="AH315" i="50158"/>
  <c r="AI308" i="50158"/>
  <c r="AI315" i="50158"/>
  <c r="AJ308" i="50158"/>
  <c r="AJ315" i="50158"/>
  <c r="AK308" i="50158"/>
  <c r="AK315" i="50158"/>
  <c r="AL308" i="50158"/>
  <c r="AL315" i="50158"/>
  <c r="AM308" i="50158"/>
  <c r="AM315" i="50158"/>
  <c r="AN308" i="50158"/>
  <c r="AN315" i="50158"/>
  <c r="AO308" i="50158"/>
  <c r="AO315" i="50158"/>
  <c r="AP308" i="50158"/>
  <c r="AP315" i="50158"/>
  <c r="AB311" i="50158"/>
  <c r="AC311" i="50158"/>
  <c r="AD311" i="50158"/>
  <c r="AE311" i="50158"/>
  <c r="AF311" i="50158"/>
  <c r="AG311" i="50158"/>
  <c r="AH311" i="50158"/>
  <c r="AI311" i="50158"/>
  <c r="AJ311" i="50158"/>
  <c r="AK311" i="50158"/>
  <c r="AL311" i="50158"/>
  <c r="AM311" i="50158"/>
  <c r="AN311" i="50158"/>
  <c r="AO311" i="50158"/>
  <c r="AP311" i="50158"/>
  <c r="Z313" i="50158"/>
  <c r="AA313" i="50158"/>
  <c r="AB313" i="50158"/>
  <c r="AC313" i="50158"/>
  <c r="AD313" i="50158"/>
  <c r="AE313" i="50158"/>
  <c r="AF313" i="50158"/>
  <c r="AG313" i="50158"/>
  <c r="AH313" i="50158"/>
  <c r="AI313" i="50158"/>
  <c r="AJ313" i="50158"/>
  <c r="AK313" i="50158"/>
  <c r="AL313" i="50158"/>
  <c r="AM313" i="50158"/>
  <c r="AN313" i="50158"/>
  <c r="AO313" i="50158"/>
  <c r="AP313" i="50158"/>
  <c r="AB310" i="50158"/>
  <c r="AC310" i="50158"/>
  <c r="AD310" i="50158"/>
  <c r="AE310" i="50158"/>
  <c r="AF310" i="50158"/>
  <c r="AG310" i="50158"/>
  <c r="AH310" i="50158"/>
  <c r="AI310" i="50158"/>
  <c r="AJ310" i="50158"/>
  <c r="AK310" i="50158"/>
  <c r="AL310" i="50158"/>
  <c r="AM310" i="50158"/>
  <c r="AN310" i="50158"/>
  <c r="AO310" i="50158"/>
  <c r="AP310" i="50158"/>
  <c r="Z312" i="50158"/>
  <c r="AA312" i="50158"/>
  <c r="AB312" i="50158"/>
  <c r="AC312" i="50158"/>
  <c r="AD312" i="50158"/>
  <c r="AE312" i="50158"/>
  <c r="AF312" i="50158"/>
  <c r="AG312" i="50158"/>
  <c r="AH312" i="50158"/>
  <c r="AI312" i="50158"/>
  <c r="AJ312" i="50158"/>
  <c r="AK312" i="50158"/>
  <c r="AL312" i="50158"/>
  <c r="AM312" i="50158"/>
  <c r="AN312" i="50158"/>
  <c r="AO312" i="50158"/>
  <c r="AP312" i="50158"/>
  <c r="Z320" i="50158"/>
  <c r="Z319" i="50158"/>
  <c r="Z318" i="50158"/>
  <c r="R66" i="50160"/>
  <c r="Q66" i="50160"/>
  <c r="R66" i="50158"/>
  <c r="Q66" i="50158"/>
  <c r="A13" i="50162"/>
  <c r="D13" i="50162"/>
  <c r="G13" i="50162"/>
  <c r="J13" i="50162"/>
  <c r="M13" i="50162"/>
  <c r="P13" i="50162"/>
  <c r="S13" i="50162"/>
  <c r="V13" i="50162"/>
  <c r="BG13" i="50162"/>
  <c r="BH13" i="50162"/>
  <c r="BI13" i="50162"/>
  <c r="BJ13" i="50162"/>
  <c r="BK13" i="50162"/>
  <c r="BL13" i="50162"/>
  <c r="BM13" i="50162"/>
  <c r="BN13" i="50162"/>
  <c r="BO13" i="50162"/>
  <c r="BP13" i="50162"/>
  <c r="BQ13" i="50162"/>
  <c r="BR13" i="50162"/>
  <c r="BS13" i="50162"/>
  <c r="BT13" i="50162"/>
  <c r="BU13" i="50162"/>
  <c r="BV13" i="50162"/>
  <c r="BW13" i="50162"/>
  <c r="BX13" i="50162"/>
  <c r="BY13" i="50162"/>
  <c r="BZ13" i="50162"/>
  <c r="CA13" i="50162"/>
  <c r="CB13" i="50162"/>
  <c r="CC13" i="50162"/>
  <c r="CD13" i="50162"/>
  <c r="A14" i="50162"/>
  <c r="D14" i="50162"/>
  <c r="G14" i="50162"/>
  <c r="J14" i="50162"/>
  <c r="M14" i="50162"/>
  <c r="P14" i="50162"/>
  <c r="S14" i="50162"/>
  <c r="V14" i="50162"/>
  <c r="BG14" i="50162"/>
  <c r="BH14" i="50162"/>
  <c r="BI14" i="50162"/>
  <c r="BJ14" i="50162"/>
  <c r="BK14" i="50162"/>
  <c r="BL14" i="50162"/>
  <c r="BM14" i="50162"/>
  <c r="BN14" i="50162"/>
  <c r="BO14" i="50162"/>
  <c r="BP14" i="50162"/>
  <c r="BQ14" i="50162"/>
  <c r="BR14" i="50162"/>
  <c r="BS14" i="50162"/>
  <c r="BT14" i="50162"/>
  <c r="BU14" i="50162"/>
  <c r="BV14" i="50162"/>
  <c r="BW14" i="50162"/>
  <c r="BX14" i="50162"/>
  <c r="BY14" i="50162"/>
  <c r="BZ14" i="50162"/>
  <c r="CA14" i="50162"/>
  <c r="CB14" i="50162"/>
  <c r="CC14" i="50162"/>
  <c r="CD14" i="50162"/>
  <c r="A15" i="50162"/>
  <c r="D15" i="50162"/>
  <c r="G15" i="50162"/>
  <c r="J15" i="50162"/>
  <c r="M15" i="50162"/>
  <c r="P15" i="50162"/>
  <c r="S15" i="50162"/>
  <c r="V15" i="50162"/>
  <c r="BG15" i="50162"/>
  <c r="BH15" i="50162"/>
  <c r="BI15" i="50162"/>
  <c r="BJ15" i="50162"/>
  <c r="BK15" i="50162"/>
  <c r="BL15" i="50162"/>
  <c r="BM15" i="50162"/>
  <c r="BN15" i="50162"/>
  <c r="BO15" i="50162"/>
  <c r="BP15" i="50162"/>
  <c r="BQ15" i="50162"/>
  <c r="BR15" i="50162"/>
  <c r="BS15" i="50162"/>
  <c r="BT15" i="50162"/>
  <c r="BU15" i="50162"/>
  <c r="BV15" i="50162"/>
  <c r="BW15" i="50162"/>
  <c r="BX15" i="50162"/>
  <c r="BY15" i="50162"/>
  <c r="BZ15" i="50162"/>
  <c r="CA15" i="50162"/>
  <c r="CB15" i="50162"/>
  <c r="CC15" i="50162"/>
  <c r="CD15" i="50162"/>
  <c r="A16" i="50162"/>
  <c r="D16" i="50162"/>
  <c r="G16" i="50162"/>
  <c r="J16" i="50162"/>
  <c r="M16" i="50162"/>
  <c r="P16" i="50162"/>
  <c r="S16" i="50162"/>
  <c r="V16" i="50162"/>
  <c r="BG16" i="50162"/>
  <c r="BH16" i="50162"/>
  <c r="BI16" i="50162"/>
  <c r="BJ16" i="50162"/>
  <c r="BK16" i="50162"/>
  <c r="BL16" i="50162"/>
  <c r="BM16" i="50162"/>
  <c r="BN16" i="50162"/>
  <c r="BO16" i="50162"/>
  <c r="BP16" i="50162"/>
  <c r="BQ16" i="50162"/>
  <c r="BR16" i="50162"/>
  <c r="BS16" i="50162"/>
  <c r="BT16" i="50162"/>
  <c r="BU16" i="50162"/>
  <c r="BV16" i="50162"/>
  <c r="BW16" i="50162"/>
  <c r="BX16" i="50162"/>
  <c r="BY16" i="50162"/>
  <c r="BZ16" i="50162"/>
  <c r="CA16" i="50162"/>
  <c r="CB16" i="50162"/>
  <c r="CC16" i="50162"/>
  <c r="CD16" i="50162"/>
  <c r="A17" i="50162"/>
  <c r="D17" i="50162"/>
  <c r="G17" i="50162"/>
  <c r="J17" i="50162"/>
  <c r="M17" i="50162"/>
  <c r="P17" i="50162"/>
  <c r="S17" i="50162"/>
  <c r="V17" i="50162"/>
  <c r="BG17" i="50162"/>
  <c r="BH17" i="50162"/>
  <c r="BI17" i="50162"/>
  <c r="BJ17" i="50162"/>
  <c r="BK17" i="50162"/>
  <c r="BL17" i="50162"/>
  <c r="BM17" i="50162"/>
  <c r="BN17" i="50162"/>
  <c r="BO17" i="50162"/>
  <c r="BP17" i="50162"/>
  <c r="BQ17" i="50162"/>
  <c r="BR17" i="50162"/>
  <c r="BS17" i="50162"/>
  <c r="BT17" i="50162"/>
  <c r="BU17" i="50162"/>
  <c r="BV17" i="50162"/>
  <c r="BW17" i="50162"/>
  <c r="BX17" i="50162"/>
  <c r="BY17" i="50162"/>
  <c r="BZ17" i="50162"/>
  <c r="CA17" i="50162"/>
  <c r="CB17" i="50162"/>
  <c r="CC17" i="50162"/>
  <c r="CD17" i="50162"/>
  <c r="A18" i="50162"/>
  <c r="D18" i="50162"/>
  <c r="G18" i="50162"/>
  <c r="J18" i="50162"/>
  <c r="M18" i="50162"/>
  <c r="P18" i="50162"/>
  <c r="S18" i="50162"/>
  <c r="V18" i="50162"/>
  <c r="BG18" i="50162"/>
  <c r="BH18" i="50162"/>
  <c r="BI18" i="50162"/>
  <c r="BJ18" i="50162"/>
  <c r="BK18" i="50162"/>
  <c r="BL18" i="50162"/>
  <c r="BM18" i="50162"/>
  <c r="BN18" i="50162"/>
  <c r="BO18" i="50162"/>
  <c r="BP18" i="50162"/>
  <c r="BQ18" i="50162"/>
  <c r="BR18" i="50162"/>
  <c r="BS18" i="50162"/>
  <c r="BT18" i="50162"/>
  <c r="BU18" i="50162"/>
  <c r="BV18" i="50162"/>
  <c r="BW18" i="50162"/>
  <c r="BX18" i="50162"/>
  <c r="BY18" i="50162"/>
  <c r="BZ18" i="50162"/>
  <c r="CA18" i="50162"/>
  <c r="CB18" i="50162"/>
  <c r="CC18" i="50162"/>
  <c r="CD18" i="50162"/>
  <c r="A19" i="50162"/>
  <c r="D19" i="50162"/>
  <c r="G19" i="50162"/>
  <c r="J19" i="50162"/>
  <c r="M19" i="50162"/>
  <c r="P19" i="50162"/>
  <c r="S19" i="50162"/>
  <c r="V19" i="50162"/>
  <c r="BG19" i="50162"/>
  <c r="BH19" i="50162"/>
  <c r="BI19" i="50162"/>
  <c r="BJ19" i="50162"/>
  <c r="BK19" i="50162"/>
  <c r="BL19" i="50162"/>
  <c r="BM19" i="50162"/>
  <c r="BN19" i="50162"/>
  <c r="BO19" i="50162"/>
  <c r="BP19" i="50162"/>
  <c r="BQ19" i="50162"/>
  <c r="BR19" i="50162"/>
  <c r="BS19" i="50162"/>
  <c r="BT19" i="50162"/>
  <c r="BU19" i="50162"/>
  <c r="BV19" i="50162"/>
  <c r="BW19" i="50162"/>
  <c r="BX19" i="50162"/>
  <c r="BY19" i="50162"/>
  <c r="BZ19" i="50162"/>
  <c r="CA19" i="50162"/>
  <c r="CB19" i="50162"/>
  <c r="CC19" i="50162"/>
  <c r="CD19" i="50162"/>
  <c r="A20" i="50162"/>
  <c r="D20" i="50162"/>
  <c r="G20" i="50162"/>
  <c r="J20" i="50162"/>
  <c r="M20" i="50162"/>
  <c r="P20" i="50162"/>
  <c r="S20" i="50162"/>
  <c r="V20" i="50162"/>
  <c r="BG20" i="50162"/>
  <c r="BH20" i="50162"/>
  <c r="BI20" i="50162"/>
  <c r="BJ20" i="50162"/>
  <c r="BK20" i="50162"/>
  <c r="BL20" i="50162"/>
  <c r="BM20" i="50162"/>
  <c r="BN20" i="50162"/>
  <c r="BO20" i="50162"/>
  <c r="BP20" i="50162"/>
  <c r="BQ20" i="50162"/>
  <c r="BR20" i="50162"/>
  <c r="BS20" i="50162"/>
  <c r="BT20" i="50162"/>
  <c r="BU20" i="50162"/>
  <c r="BV20" i="50162"/>
  <c r="BW20" i="50162"/>
  <c r="BX20" i="50162"/>
  <c r="BY20" i="50162"/>
  <c r="BZ20" i="50162"/>
  <c r="CA20" i="50162"/>
  <c r="CB20" i="50162"/>
  <c r="CC20" i="50162"/>
  <c r="CD20" i="50162"/>
  <c r="A21" i="50162"/>
  <c r="D21" i="50162"/>
  <c r="G21" i="50162"/>
  <c r="J21" i="50162"/>
  <c r="M21" i="50162"/>
  <c r="P21" i="50162"/>
  <c r="S21" i="50162"/>
  <c r="V21" i="50162"/>
  <c r="BG21" i="50162"/>
  <c r="BH21" i="50162"/>
  <c r="BI21" i="50162"/>
  <c r="BJ21" i="50162"/>
  <c r="BK21" i="50162"/>
  <c r="BL21" i="50162"/>
  <c r="BM21" i="50162"/>
  <c r="BN21" i="50162"/>
  <c r="BO21" i="50162"/>
  <c r="BP21" i="50162"/>
  <c r="BQ21" i="50162"/>
  <c r="BR21" i="50162"/>
  <c r="BS21" i="50162"/>
  <c r="BT21" i="50162"/>
  <c r="BU21" i="50162"/>
  <c r="BV21" i="50162"/>
  <c r="BW21" i="50162"/>
  <c r="BX21" i="50162"/>
  <c r="BY21" i="50162"/>
  <c r="BZ21" i="50162"/>
  <c r="CA21" i="50162"/>
  <c r="CB21" i="50162"/>
  <c r="CC21" i="50162"/>
  <c r="CD21" i="50162"/>
  <c r="A22" i="50162"/>
  <c r="D22" i="50162"/>
  <c r="G22" i="50162"/>
  <c r="J22" i="50162"/>
  <c r="M22" i="50162"/>
  <c r="P22" i="50162"/>
  <c r="S22" i="50162"/>
  <c r="V22" i="50162"/>
  <c r="BG22" i="50162"/>
  <c r="BH22" i="50162"/>
  <c r="BI22" i="50162"/>
  <c r="BJ22" i="50162"/>
  <c r="BK22" i="50162"/>
  <c r="BL22" i="50162"/>
  <c r="BM22" i="50162"/>
  <c r="BN22" i="50162"/>
  <c r="BO22" i="50162"/>
  <c r="BP22" i="50162"/>
  <c r="BQ22" i="50162"/>
  <c r="BR22" i="50162"/>
  <c r="BS22" i="50162"/>
  <c r="BT22" i="50162"/>
  <c r="BU22" i="50162"/>
  <c r="BV22" i="50162"/>
  <c r="BW22" i="50162"/>
  <c r="BX22" i="50162"/>
  <c r="BY22" i="50162"/>
  <c r="BZ22" i="50162"/>
  <c r="CA22" i="50162"/>
  <c r="CB22" i="50162"/>
  <c r="CC22" i="50162"/>
  <c r="CD22" i="50162"/>
  <c r="A23" i="50162"/>
  <c r="D23" i="50162"/>
  <c r="G23" i="50162"/>
  <c r="J23" i="50162"/>
  <c r="M23" i="50162"/>
  <c r="P23" i="50162"/>
  <c r="S23" i="50162"/>
  <c r="V23" i="50162"/>
  <c r="BG23" i="50162"/>
  <c r="BH23" i="50162"/>
  <c r="BI23" i="50162"/>
  <c r="BJ23" i="50162"/>
  <c r="BK23" i="50162"/>
  <c r="BL23" i="50162"/>
  <c r="BM23" i="50162"/>
  <c r="BN23" i="50162"/>
  <c r="BO23" i="50162"/>
  <c r="BP23" i="50162"/>
  <c r="BQ23" i="50162"/>
  <c r="BR23" i="50162"/>
  <c r="BS23" i="50162"/>
  <c r="BT23" i="50162"/>
  <c r="BU23" i="50162"/>
  <c r="BV23" i="50162"/>
  <c r="BW23" i="50162"/>
  <c r="BX23" i="50162"/>
  <c r="BY23" i="50162"/>
  <c r="BZ23" i="50162"/>
  <c r="CA23" i="50162"/>
  <c r="CB23" i="50162"/>
  <c r="CC23" i="50162"/>
  <c r="CD23" i="50162"/>
  <c r="A24" i="50162"/>
  <c r="D24" i="50162"/>
  <c r="G24" i="50162"/>
  <c r="J24" i="50162"/>
  <c r="M24" i="50162"/>
  <c r="P24" i="50162"/>
  <c r="S24" i="50162"/>
  <c r="V24" i="50162"/>
  <c r="BG24" i="50162"/>
  <c r="BH24" i="50162"/>
  <c r="BI24" i="50162"/>
  <c r="BJ24" i="50162"/>
  <c r="BK24" i="50162"/>
  <c r="BL24" i="50162"/>
  <c r="BM24" i="50162"/>
  <c r="BN24" i="50162"/>
  <c r="BO24" i="50162"/>
  <c r="BP24" i="50162"/>
  <c r="BQ24" i="50162"/>
  <c r="BR24" i="50162"/>
  <c r="BS24" i="50162"/>
  <c r="BT24" i="50162"/>
  <c r="BU24" i="50162"/>
  <c r="BV24" i="50162"/>
  <c r="BW24" i="50162"/>
  <c r="BX24" i="50162"/>
  <c r="BY24" i="50162"/>
  <c r="BZ24" i="50162"/>
  <c r="CA24" i="50162"/>
  <c r="CB24" i="50162"/>
  <c r="CC24" i="50162"/>
  <c r="CD24" i="50162"/>
  <c r="A25" i="50162"/>
  <c r="D25" i="50162"/>
  <c r="G25" i="50162"/>
  <c r="J25" i="50162"/>
  <c r="M25" i="50162"/>
  <c r="P25" i="50162"/>
  <c r="S25" i="50162"/>
  <c r="V25" i="50162"/>
  <c r="BG25" i="50162"/>
  <c r="BH25" i="50162"/>
  <c r="BI25" i="50162"/>
  <c r="BJ25" i="50162"/>
  <c r="BK25" i="50162"/>
  <c r="BL25" i="50162"/>
  <c r="BM25" i="50162"/>
  <c r="BN25" i="50162"/>
  <c r="BO25" i="50162"/>
  <c r="BP25" i="50162"/>
  <c r="BQ25" i="50162"/>
  <c r="BR25" i="50162"/>
  <c r="BS25" i="50162"/>
  <c r="BT25" i="50162"/>
  <c r="BU25" i="50162"/>
  <c r="BV25" i="50162"/>
  <c r="BW25" i="50162"/>
  <c r="BX25" i="50162"/>
  <c r="BY25" i="50162"/>
  <c r="BZ25" i="50162"/>
  <c r="CA25" i="50162"/>
  <c r="CB25" i="50162"/>
  <c r="CC25" i="50162"/>
  <c r="CD25" i="50162"/>
  <c r="A26" i="50162"/>
  <c r="D26" i="50162"/>
  <c r="G26" i="50162"/>
  <c r="J26" i="50162"/>
  <c r="M26" i="50162"/>
  <c r="P26" i="50162"/>
  <c r="S26" i="50162"/>
  <c r="V26" i="50162"/>
  <c r="BG26" i="50162"/>
  <c r="BH26" i="50162"/>
  <c r="BI26" i="50162"/>
  <c r="BJ26" i="50162"/>
  <c r="BK26" i="50162"/>
  <c r="BL26" i="50162"/>
  <c r="BM26" i="50162"/>
  <c r="BN26" i="50162"/>
  <c r="BO26" i="50162"/>
  <c r="BP26" i="50162"/>
  <c r="BQ26" i="50162"/>
  <c r="BR26" i="50162"/>
  <c r="BS26" i="50162"/>
  <c r="BT26" i="50162"/>
  <c r="BU26" i="50162"/>
  <c r="BV26" i="50162"/>
  <c r="BW26" i="50162"/>
  <c r="BX26" i="50162"/>
  <c r="BY26" i="50162"/>
  <c r="BZ26" i="50162"/>
  <c r="CA26" i="50162"/>
  <c r="CB26" i="50162"/>
  <c r="CC26" i="50162"/>
  <c r="CD26" i="50162"/>
  <c r="A27" i="50162"/>
  <c r="D27" i="50162"/>
  <c r="G27" i="50162"/>
  <c r="J27" i="50162"/>
  <c r="M27" i="50162"/>
  <c r="P27" i="50162"/>
  <c r="S27" i="50162"/>
  <c r="V27" i="50162"/>
  <c r="BG27" i="50162"/>
  <c r="BH27" i="50162"/>
  <c r="BI27" i="50162"/>
  <c r="BJ27" i="50162"/>
  <c r="BK27" i="50162"/>
  <c r="BL27" i="50162"/>
  <c r="BM27" i="50162"/>
  <c r="BN27" i="50162"/>
  <c r="BO27" i="50162"/>
  <c r="BP27" i="50162"/>
  <c r="BQ27" i="50162"/>
  <c r="BR27" i="50162"/>
  <c r="BS27" i="50162"/>
  <c r="BT27" i="50162"/>
  <c r="BU27" i="50162"/>
  <c r="BV27" i="50162"/>
  <c r="BW27" i="50162"/>
  <c r="BX27" i="50162"/>
  <c r="BY27" i="50162"/>
  <c r="BZ27" i="50162"/>
  <c r="CA27" i="50162"/>
  <c r="CB27" i="50162"/>
  <c r="CC27" i="50162"/>
  <c r="CD27" i="50162"/>
  <c r="A28" i="50162"/>
  <c r="D28" i="50162"/>
  <c r="G28" i="50162"/>
  <c r="J28" i="50162"/>
  <c r="M28" i="50162"/>
  <c r="P28" i="50162"/>
  <c r="S28" i="50162"/>
  <c r="V28" i="50162"/>
  <c r="BG28" i="50162"/>
  <c r="BH28" i="50162"/>
  <c r="BI28" i="50162"/>
  <c r="BJ28" i="50162"/>
  <c r="BK28" i="50162"/>
  <c r="BL28" i="50162"/>
  <c r="BM28" i="50162"/>
  <c r="BN28" i="50162"/>
  <c r="BO28" i="50162"/>
  <c r="BP28" i="50162"/>
  <c r="BQ28" i="50162"/>
  <c r="BR28" i="50162"/>
  <c r="BS28" i="50162"/>
  <c r="BT28" i="50162"/>
  <c r="BU28" i="50162"/>
  <c r="BV28" i="50162"/>
  <c r="BW28" i="50162"/>
  <c r="BX28" i="50162"/>
  <c r="BY28" i="50162"/>
  <c r="BZ28" i="50162"/>
  <c r="CA28" i="50162"/>
  <c r="CB28" i="50162"/>
  <c r="CC28" i="50162"/>
  <c r="CD28" i="50162"/>
  <c r="A29" i="50162"/>
  <c r="D29" i="50162"/>
  <c r="G29" i="50162"/>
  <c r="J29" i="50162"/>
  <c r="M29" i="50162"/>
  <c r="P29" i="50162"/>
  <c r="S29" i="50162"/>
  <c r="V29" i="50162"/>
  <c r="BG29" i="50162"/>
  <c r="BH29" i="50162"/>
  <c r="BI29" i="50162"/>
  <c r="BJ29" i="50162"/>
  <c r="BK29" i="50162"/>
  <c r="BL29" i="50162"/>
  <c r="BM29" i="50162"/>
  <c r="BN29" i="50162"/>
  <c r="BO29" i="50162"/>
  <c r="BP29" i="50162"/>
  <c r="BQ29" i="50162"/>
  <c r="BR29" i="50162"/>
  <c r="BS29" i="50162"/>
  <c r="BT29" i="50162"/>
  <c r="BU29" i="50162"/>
  <c r="BV29" i="50162"/>
  <c r="BW29" i="50162"/>
  <c r="BX29" i="50162"/>
  <c r="BY29" i="50162"/>
  <c r="BZ29" i="50162"/>
  <c r="CA29" i="50162"/>
  <c r="CB29" i="50162"/>
  <c r="CC29" i="50162"/>
  <c r="CD29" i="50162"/>
  <c r="A30" i="50162"/>
  <c r="D30" i="50162"/>
  <c r="G30" i="50162"/>
  <c r="J30" i="50162"/>
  <c r="M30" i="50162"/>
  <c r="P30" i="50162"/>
  <c r="S30" i="50162"/>
  <c r="V30" i="50162"/>
  <c r="BG30" i="50162"/>
  <c r="BH30" i="50162"/>
  <c r="BI30" i="50162"/>
  <c r="BJ30" i="50162"/>
  <c r="BK30" i="50162"/>
  <c r="BL30" i="50162"/>
  <c r="BM30" i="50162"/>
  <c r="BN30" i="50162"/>
  <c r="BO30" i="50162"/>
  <c r="BP30" i="50162"/>
  <c r="BQ30" i="50162"/>
  <c r="BR30" i="50162"/>
  <c r="BS30" i="50162"/>
  <c r="BT30" i="50162"/>
  <c r="BU30" i="50162"/>
  <c r="BV30" i="50162"/>
  <c r="BW30" i="50162"/>
  <c r="BX30" i="50162"/>
  <c r="BY30" i="50162"/>
  <c r="BZ30" i="50162"/>
  <c r="CA30" i="50162"/>
  <c r="CB30" i="50162"/>
  <c r="CC30" i="50162"/>
  <c r="CD30" i="50162"/>
  <c r="A31" i="50162"/>
  <c r="D31" i="50162"/>
  <c r="G31" i="50162"/>
  <c r="J31" i="50162"/>
  <c r="M31" i="50162"/>
  <c r="P31" i="50162"/>
  <c r="S31" i="50162"/>
  <c r="V31" i="50162"/>
  <c r="BG31" i="50162"/>
  <c r="BH31" i="50162"/>
  <c r="BI31" i="50162"/>
  <c r="BJ31" i="50162"/>
  <c r="BK31" i="50162"/>
  <c r="BL31" i="50162"/>
  <c r="BM31" i="50162"/>
  <c r="BN31" i="50162"/>
  <c r="BO31" i="50162"/>
  <c r="BP31" i="50162"/>
  <c r="BQ31" i="50162"/>
  <c r="BR31" i="50162"/>
  <c r="BS31" i="50162"/>
  <c r="BT31" i="50162"/>
  <c r="BU31" i="50162"/>
  <c r="BV31" i="50162"/>
  <c r="BW31" i="50162"/>
  <c r="BX31" i="50162"/>
  <c r="BY31" i="50162"/>
  <c r="BZ31" i="50162"/>
  <c r="CA31" i="50162"/>
  <c r="CB31" i="50162"/>
  <c r="CC31" i="50162"/>
  <c r="CD31" i="50162"/>
  <c r="A32" i="50162"/>
  <c r="D32" i="50162"/>
  <c r="G32" i="50162"/>
  <c r="J32" i="50162"/>
  <c r="M32" i="50162"/>
  <c r="P32" i="50162"/>
  <c r="S32" i="50162"/>
  <c r="V32" i="50162"/>
  <c r="BG32" i="50162"/>
  <c r="BH32" i="50162"/>
  <c r="BI32" i="50162"/>
  <c r="BJ32" i="50162"/>
  <c r="BK32" i="50162"/>
  <c r="BL32" i="50162"/>
  <c r="BM32" i="50162"/>
  <c r="BN32" i="50162"/>
  <c r="BO32" i="50162"/>
  <c r="BP32" i="50162"/>
  <c r="BQ32" i="50162"/>
  <c r="BR32" i="50162"/>
  <c r="BS32" i="50162"/>
  <c r="BT32" i="50162"/>
  <c r="BU32" i="50162"/>
  <c r="BV32" i="50162"/>
  <c r="BW32" i="50162"/>
  <c r="BX32" i="50162"/>
  <c r="BY32" i="50162"/>
  <c r="BZ32" i="50162"/>
  <c r="CA32" i="50162"/>
  <c r="CB32" i="50162"/>
  <c r="CC32" i="50162"/>
  <c r="CD32" i="50162"/>
  <c r="A33" i="50162"/>
  <c r="D33" i="50162"/>
  <c r="G33" i="50162"/>
  <c r="J33" i="50162"/>
  <c r="M33" i="50162"/>
  <c r="P33" i="50162"/>
  <c r="S33" i="50162"/>
  <c r="V33" i="50162"/>
  <c r="BG33" i="50162"/>
  <c r="BH33" i="50162"/>
  <c r="BI33" i="50162"/>
  <c r="BJ33" i="50162"/>
  <c r="BK33" i="50162"/>
  <c r="BL33" i="50162"/>
  <c r="BM33" i="50162"/>
  <c r="BN33" i="50162"/>
  <c r="BO33" i="50162"/>
  <c r="BP33" i="50162"/>
  <c r="BQ33" i="50162"/>
  <c r="BR33" i="50162"/>
  <c r="BS33" i="50162"/>
  <c r="BT33" i="50162"/>
  <c r="BU33" i="50162"/>
  <c r="BV33" i="50162"/>
  <c r="BW33" i="50162"/>
  <c r="BX33" i="50162"/>
  <c r="BY33" i="50162"/>
  <c r="BZ33" i="50162"/>
  <c r="CA33" i="50162"/>
  <c r="CB33" i="50162"/>
  <c r="CC33" i="50162"/>
  <c r="CD33" i="50162"/>
  <c r="A34" i="50162"/>
  <c r="D34" i="50162"/>
  <c r="G34" i="50162"/>
  <c r="J34" i="50162"/>
  <c r="M34" i="50162"/>
  <c r="P34" i="50162"/>
  <c r="S34" i="50162"/>
  <c r="V34" i="50162"/>
  <c r="BG34" i="50162"/>
  <c r="BH34" i="50162"/>
  <c r="BI34" i="50162"/>
  <c r="BJ34" i="50162"/>
  <c r="BK34" i="50162"/>
  <c r="BL34" i="50162"/>
  <c r="BM34" i="50162"/>
  <c r="BN34" i="50162"/>
  <c r="BO34" i="50162"/>
  <c r="BP34" i="50162"/>
  <c r="BQ34" i="50162"/>
  <c r="BR34" i="50162"/>
  <c r="BS34" i="50162"/>
  <c r="BT34" i="50162"/>
  <c r="BU34" i="50162"/>
  <c r="BV34" i="50162"/>
  <c r="BW34" i="50162"/>
  <c r="BX34" i="50162"/>
  <c r="BY34" i="50162"/>
  <c r="BZ34" i="50162"/>
  <c r="CA34" i="50162"/>
  <c r="CB34" i="50162"/>
  <c r="CC34" i="50162"/>
  <c r="CD34" i="50162"/>
  <c r="A35" i="50162"/>
  <c r="D35" i="50162"/>
  <c r="G35" i="50162"/>
  <c r="J35" i="50162"/>
  <c r="M35" i="50162"/>
  <c r="P35" i="50162"/>
  <c r="S35" i="50162"/>
  <c r="V35" i="50162"/>
  <c r="BG35" i="50162"/>
  <c r="BH35" i="50162"/>
  <c r="BI35" i="50162"/>
  <c r="BJ35" i="50162"/>
  <c r="BK35" i="50162"/>
  <c r="BL35" i="50162"/>
  <c r="BM35" i="50162"/>
  <c r="BN35" i="50162"/>
  <c r="BO35" i="50162"/>
  <c r="BP35" i="50162"/>
  <c r="BQ35" i="50162"/>
  <c r="BR35" i="50162"/>
  <c r="BS35" i="50162"/>
  <c r="BT35" i="50162"/>
  <c r="BU35" i="50162"/>
  <c r="BV35" i="50162"/>
  <c r="BW35" i="50162"/>
  <c r="BX35" i="50162"/>
  <c r="BY35" i="50162"/>
  <c r="BZ35" i="50162"/>
  <c r="CA35" i="50162"/>
  <c r="CB35" i="50162"/>
  <c r="CC35" i="50162"/>
  <c r="CD35" i="50162"/>
  <c r="A36" i="50162"/>
  <c r="D36" i="50162"/>
  <c r="G36" i="50162"/>
  <c r="J36" i="50162"/>
  <c r="M36" i="50162"/>
  <c r="P36" i="50162"/>
  <c r="S36" i="50162"/>
  <c r="V36" i="50162"/>
  <c r="BG36" i="50162"/>
  <c r="BH36" i="50162"/>
  <c r="BI36" i="50162"/>
  <c r="BJ36" i="50162"/>
  <c r="BK36" i="50162"/>
  <c r="BL36" i="50162"/>
  <c r="BM36" i="50162"/>
  <c r="BN36" i="50162"/>
  <c r="BO36" i="50162"/>
  <c r="BP36" i="50162"/>
  <c r="BQ36" i="50162"/>
  <c r="BR36" i="50162"/>
  <c r="BS36" i="50162"/>
  <c r="BT36" i="50162"/>
  <c r="BU36" i="50162"/>
  <c r="BV36" i="50162"/>
  <c r="BW36" i="50162"/>
  <c r="BX36" i="50162"/>
  <c r="BY36" i="50162"/>
  <c r="BZ36" i="50162"/>
  <c r="CA36" i="50162"/>
  <c r="CB36" i="50162"/>
  <c r="CC36" i="50162"/>
  <c r="CD36" i="50162"/>
  <c r="A37" i="50162"/>
  <c r="D37" i="50162"/>
  <c r="G37" i="50162"/>
  <c r="J37" i="50162"/>
  <c r="M37" i="50162"/>
  <c r="P37" i="50162"/>
  <c r="S37" i="50162"/>
  <c r="V37" i="50162"/>
  <c r="BG37" i="50162"/>
  <c r="BH37" i="50162"/>
  <c r="BI37" i="50162"/>
  <c r="BJ37" i="50162"/>
  <c r="BK37" i="50162"/>
  <c r="BL37" i="50162"/>
  <c r="BM37" i="50162"/>
  <c r="BN37" i="50162"/>
  <c r="BO37" i="50162"/>
  <c r="BP37" i="50162"/>
  <c r="BQ37" i="50162"/>
  <c r="BR37" i="50162"/>
  <c r="BS37" i="50162"/>
  <c r="BT37" i="50162"/>
  <c r="BU37" i="50162"/>
  <c r="BV37" i="50162"/>
  <c r="BW37" i="50162"/>
  <c r="BX37" i="50162"/>
  <c r="BY37" i="50162"/>
  <c r="BZ37" i="50162"/>
  <c r="CA37" i="50162"/>
  <c r="CB37" i="50162"/>
  <c r="CC37" i="50162"/>
  <c r="CD37" i="50162"/>
  <c r="A38" i="50162"/>
  <c r="D38" i="50162"/>
  <c r="G38" i="50162"/>
  <c r="J38" i="50162"/>
  <c r="M38" i="50162"/>
  <c r="P38" i="50162"/>
  <c r="S38" i="50162"/>
  <c r="V38" i="50162"/>
  <c r="BG38" i="50162"/>
  <c r="BH38" i="50162"/>
  <c r="BI38" i="50162"/>
  <c r="BJ38" i="50162"/>
  <c r="BK38" i="50162"/>
  <c r="BL38" i="50162"/>
  <c r="BM38" i="50162"/>
  <c r="BN38" i="50162"/>
  <c r="BO38" i="50162"/>
  <c r="BP38" i="50162"/>
  <c r="BQ38" i="50162"/>
  <c r="BR38" i="50162"/>
  <c r="BS38" i="50162"/>
  <c r="BT38" i="50162"/>
  <c r="BU38" i="50162"/>
  <c r="BV38" i="50162"/>
  <c r="BW38" i="50162"/>
  <c r="BX38" i="50162"/>
  <c r="BY38" i="50162"/>
  <c r="BZ38" i="50162"/>
  <c r="CA38" i="50162"/>
  <c r="CB38" i="50162"/>
  <c r="CC38" i="50162"/>
  <c r="CD38" i="50162"/>
  <c r="A39" i="50162"/>
  <c r="D39" i="50162"/>
  <c r="G39" i="50162"/>
  <c r="J39" i="50162"/>
  <c r="M39" i="50162"/>
  <c r="P39" i="50162"/>
  <c r="S39" i="50162"/>
  <c r="V39" i="50162"/>
  <c r="BG39" i="50162"/>
  <c r="BH39" i="50162"/>
  <c r="BI39" i="50162"/>
  <c r="BJ39" i="50162"/>
  <c r="BK39" i="50162"/>
  <c r="BL39" i="50162"/>
  <c r="BM39" i="50162"/>
  <c r="BN39" i="50162"/>
  <c r="BO39" i="50162"/>
  <c r="BP39" i="50162"/>
  <c r="BQ39" i="50162"/>
  <c r="BR39" i="50162"/>
  <c r="BS39" i="50162"/>
  <c r="BT39" i="50162"/>
  <c r="BU39" i="50162"/>
  <c r="BV39" i="50162"/>
  <c r="BW39" i="50162"/>
  <c r="BX39" i="50162"/>
  <c r="BY39" i="50162"/>
  <c r="BZ39" i="50162"/>
  <c r="CA39" i="50162"/>
  <c r="CB39" i="50162"/>
  <c r="CC39" i="50162"/>
  <c r="CD39" i="50162"/>
  <c r="A40" i="50162"/>
  <c r="D40" i="50162"/>
  <c r="G40" i="50162"/>
  <c r="J40" i="50162"/>
  <c r="M40" i="50162"/>
  <c r="P40" i="50162"/>
  <c r="S40" i="50162"/>
  <c r="V40" i="50162"/>
  <c r="BG40" i="50162"/>
  <c r="BH40" i="50162"/>
  <c r="BI40" i="50162"/>
  <c r="BJ40" i="50162"/>
  <c r="BK40" i="50162"/>
  <c r="BL40" i="50162"/>
  <c r="BM40" i="50162"/>
  <c r="BN40" i="50162"/>
  <c r="BO40" i="50162"/>
  <c r="BP40" i="50162"/>
  <c r="BQ40" i="50162"/>
  <c r="BR40" i="50162"/>
  <c r="BS40" i="50162"/>
  <c r="BT40" i="50162"/>
  <c r="BU40" i="50162"/>
  <c r="BV40" i="50162"/>
  <c r="BW40" i="50162"/>
  <c r="BX40" i="50162"/>
  <c r="BY40" i="50162"/>
  <c r="BZ40" i="50162"/>
  <c r="CA40" i="50162"/>
  <c r="CB40" i="50162"/>
  <c r="CC40" i="50162"/>
  <c r="CD40" i="50162"/>
  <c r="A41" i="50162"/>
  <c r="D41" i="50162"/>
  <c r="G41" i="50162"/>
  <c r="J41" i="50162"/>
  <c r="M41" i="50162"/>
  <c r="P41" i="50162"/>
  <c r="S41" i="50162"/>
  <c r="V41" i="50162"/>
  <c r="BG41" i="50162"/>
  <c r="BH41" i="50162"/>
  <c r="BI41" i="50162"/>
  <c r="BJ41" i="50162"/>
  <c r="BK41" i="50162"/>
  <c r="BL41" i="50162"/>
  <c r="BM41" i="50162"/>
  <c r="BN41" i="50162"/>
  <c r="BO41" i="50162"/>
  <c r="BP41" i="50162"/>
  <c r="BQ41" i="50162"/>
  <c r="BR41" i="50162"/>
  <c r="BS41" i="50162"/>
  <c r="BT41" i="50162"/>
  <c r="BU41" i="50162"/>
  <c r="BV41" i="50162"/>
  <c r="BW41" i="50162"/>
  <c r="BX41" i="50162"/>
  <c r="BY41" i="50162"/>
  <c r="BZ41" i="50162"/>
  <c r="CA41" i="50162"/>
  <c r="CB41" i="50162"/>
  <c r="CC41" i="50162"/>
  <c r="CD41" i="50162"/>
  <c r="A42" i="50162"/>
  <c r="D42" i="50162"/>
  <c r="G42" i="50162"/>
  <c r="J42" i="50162"/>
  <c r="M42" i="50162"/>
  <c r="P42" i="50162"/>
  <c r="S42" i="50162"/>
  <c r="V42" i="50162"/>
  <c r="BG42" i="50162"/>
  <c r="BH42" i="50162"/>
  <c r="BI42" i="50162"/>
  <c r="BJ42" i="50162"/>
  <c r="BK42" i="50162"/>
  <c r="BL42" i="50162"/>
  <c r="BM42" i="50162"/>
  <c r="BN42" i="50162"/>
  <c r="BO42" i="50162"/>
  <c r="BP42" i="50162"/>
  <c r="BQ42" i="50162"/>
  <c r="BR42" i="50162"/>
  <c r="BS42" i="50162"/>
  <c r="BT42" i="50162"/>
  <c r="BU42" i="50162"/>
  <c r="BV42" i="50162"/>
  <c r="BW42" i="50162"/>
  <c r="BX42" i="50162"/>
  <c r="BY42" i="50162"/>
  <c r="BZ42" i="50162"/>
  <c r="CA42" i="50162"/>
  <c r="CB42" i="50162"/>
  <c r="CC42" i="50162"/>
  <c r="CD42" i="50162"/>
  <c r="A43" i="50162"/>
  <c r="D43" i="50162"/>
  <c r="G43" i="50162"/>
  <c r="J43" i="50162"/>
  <c r="M43" i="50162"/>
  <c r="P43" i="50162"/>
  <c r="S43" i="50162"/>
  <c r="V43" i="50162"/>
  <c r="BG43" i="50162"/>
  <c r="BH43" i="50162"/>
  <c r="BI43" i="50162"/>
  <c r="BJ43" i="50162"/>
  <c r="BK43" i="50162"/>
  <c r="BL43" i="50162"/>
  <c r="BM43" i="50162"/>
  <c r="BN43" i="50162"/>
  <c r="BO43" i="50162"/>
  <c r="BP43" i="50162"/>
  <c r="BQ43" i="50162"/>
  <c r="BR43" i="50162"/>
  <c r="BS43" i="50162"/>
  <c r="BT43" i="50162"/>
  <c r="BU43" i="50162"/>
  <c r="BV43" i="50162"/>
  <c r="BW43" i="50162"/>
  <c r="BX43" i="50162"/>
  <c r="BY43" i="50162"/>
  <c r="BZ43" i="50162"/>
  <c r="CA43" i="50162"/>
  <c r="CB43" i="50162"/>
  <c r="CC43" i="50162"/>
  <c r="CD43" i="50162"/>
  <c r="A44" i="50162"/>
  <c r="D44" i="50162"/>
  <c r="G44" i="50162"/>
  <c r="J44" i="50162"/>
  <c r="M44" i="50162"/>
  <c r="P44" i="50162"/>
  <c r="S44" i="50162"/>
  <c r="V44" i="50162"/>
  <c r="BG44" i="50162"/>
  <c r="BH44" i="50162"/>
  <c r="BI44" i="50162"/>
  <c r="BJ44" i="50162"/>
  <c r="BK44" i="50162"/>
  <c r="BL44" i="50162"/>
  <c r="BM44" i="50162"/>
  <c r="BN44" i="50162"/>
  <c r="BO44" i="50162"/>
  <c r="BP44" i="50162"/>
  <c r="BQ44" i="50162"/>
  <c r="BR44" i="50162"/>
  <c r="BS44" i="50162"/>
  <c r="BT44" i="50162"/>
  <c r="BU44" i="50162"/>
  <c r="BV44" i="50162"/>
  <c r="BW44" i="50162"/>
  <c r="BX44" i="50162"/>
  <c r="BY44" i="50162"/>
  <c r="BZ44" i="50162"/>
  <c r="CA44" i="50162"/>
  <c r="CB44" i="50162"/>
  <c r="CC44" i="50162"/>
  <c r="CD44" i="50162"/>
  <c r="A45" i="50162"/>
  <c r="D45" i="50162"/>
  <c r="G45" i="50162"/>
  <c r="J45" i="50162"/>
  <c r="M45" i="50162"/>
  <c r="P45" i="50162"/>
  <c r="S45" i="50162"/>
  <c r="V45" i="50162"/>
  <c r="AG45" i="50162"/>
  <c r="AH45" i="50162"/>
  <c r="BG45" i="50162"/>
  <c r="BH45" i="50162"/>
  <c r="BI45" i="50162"/>
  <c r="BJ45" i="50162"/>
  <c r="BK45" i="50162"/>
  <c r="BL45" i="50162"/>
  <c r="BM45" i="50162"/>
  <c r="BN45" i="50162"/>
  <c r="BO45" i="50162"/>
  <c r="BP45" i="50162"/>
  <c r="BQ45" i="50162"/>
  <c r="BR45" i="50162"/>
  <c r="BS45" i="50162"/>
  <c r="BT45" i="50162"/>
  <c r="BU45" i="50162"/>
  <c r="BV45" i="50162"/>
  <c r="BW45" i="50162"/>
  <c r="BX45" i="50162"/>
  <c r="BY45" i="50162"/>
  <c r="BZ45" i="50162"/>
  <c r="CA45" i="50162"/>
  <c r="CB45" i="50162"/>
  <c r="CC45" i="50162"/>
  <c r="CD45" i="50162"/>
  <c r="A46" i="50162"/>
  <c r="D46" i="50162"/>
  <c r="G46" i="50162"/>
  <c r="J46" i="50162"/>
  <c r="M46" i="50162"/>
  <c r="P46" i="50162"/>
  <c r="S46" i="50162"/>
  <c r="V46" i="50162"/>
  <c r="AG46" i="50162"/>
  <c r="AH46" i="50162"/>
  <c r="BG46" i="50162"/>
  <c r="BH46" i="50162"/>
  <c r="BI46" i="50162"/>
  <c r="BJ46" i="50162"/>
  <c r="BK46" i="50162"/>
  <c r="BL46" i="50162"/>
  <c r="BM46" i="50162"/>
  <c r="BN46" i="50162"/>
  <c r="BO46" i="50162"/>
  <c r="BP46" i="50162"/>
  <c r="BQ46" i="50162"/>
  <c r="BR46" i="50162"/>
  <c r="BS46" i="50162"/>
  <c r="BT46" i="50162"/>
  <c r="BU46" i="50162"/>
  <c r="BV46" i="50162"/>
  <c r="BW46" i="50162"/>
  <c r="BX46" i="50162"/>
  <c r="BY46" i="50162"/>
  <c r="BZ46" i="50162"/>
  <c r="CA46" i="50162"/>
  <c r="CB46" i="50162"/>
  <c r="CC46" i="50162"/>
  <c r="CD46" i="50162"/>
  <c r="A47" i="50162"/>
  <c r="D47" i="50162"/>
  <c r="G47" i="50162"/>
  <c r="J47" i="50162"/>
  <c r="M47" i="50162"/>
  <c r="P47" i="50162"/>
  <c r="S47" i="50162"/>
  <c r="V47" i="50162"/>
  <c r="AG47" i="50162"/>
  <c r="AH47" i="50162"/>
  <c r="BG47" i="50162"/>
  <c r="BH47" i="50162"/>
  <c r="BI47" i="50162"/>
  <c r="BJ47" i="50162"/>
  <c r="BK47" i="50162"/>
  <c r="BL47" i="50162"/>
  <c r="BM47" i="50162"/>
  <c r="BN47" i="50162"/>
  <c r="BO47" i="50162"/>
  <c r="BP47" i="50162"/>
  <c r="BQ47" i="50162"/>
  <c r="BR47" i="50162"/>
  <c r="BS47" i="50162"/>
  <c r="BT47" i="50162"/>
  <c r="BU47" i="50162"/>
  <c r="BV47" i="50162"/>
  <c r="BW47" i="50162"/>
  <c r="BX47" i="50162"/>
  <c r="BY47" i="50162"/>
  <c r="BZ47" i="50162"/>
  <c r="CA47" i="50162"/>
  <c r="CB47" i="50162"/>
  <c r="CC47" i="50162"/>
  <c r="CD47" i="50162"/>
  <c r="A48" i="50162"/>
  <c r="D48" i="50162"/>
  <c r="G48" i="50162"/>
  <c r="J48" i="50162"/>
  <c r="M48" i="50162"/>
  <c r="P48" i="50162"/>
  <c r="S48" i="50162"/>
  <c r="V48" i="50162"/>
  <c r="AG48" i="50162"/>
  <c r="AH48" i="50162"/>
  <c r="BG48" i="50162"/>
  <c r="BH48" i="50162"/>
  <c r="BI48" i="50162"/>
  <c r="BJ48" i="50162"/>
  <c r="BK48" i="50162"/>
  <c r="BL48" i="50162"/>
  <c r="BM48" i="50162"/>
  <c r="BN48" i="50162"/>
  <c r="BO48" i="50162"/>
  <c r="BP48" i="50162"/>
  <c r="BQ48" i="50162"/>
  <c r="BR48" i="50162"/>
  <c r="BS48" i="50162"/>
  <c r="BT48" i="50162"/>
  <c r="BU48" i="50162"/>
  <c r="BV48" i="50162"/>
  <c r="BW48" i="50162"/>
  <c r="BX48" i="50162"/>
  <c r="BY48" i="50162"/>
  <c r="BZ48" i="50162"/>
  <c r="CA48" i="50162"/>
  <c r="CB48" i="50162"/>
  <c r="CC48" i="50162"/>
  <c r="CD48" i="50162"/>
  <c r="A49" i="50162"/>
  <c r="D49" i="50162"/>
  <c r="G49" i="50162"/>
  <c r="J49" i="50162"/>
  <c r="M49" i="50162"/>
  <c r="P49" i="50162"/>
  <c r="S49" i="50162"/>
  <c r="V49" i="50162"/>
  <c r="AG49" i="50162"/>
  <c r="AH49" i="50162"/>
  <c r="BG49" i="50162"/>
  <c r="BH49" i="50162"/>
  <c r="BI49" i="50162"/>
  <c r="BJ49" i="50162"/>
  <c r="BK49" i="50162"/>
  <c r="BL49" i="50162"/>
  <c r="BM49" i="50162"/>
  <c r="BN49" i="50162"/>
  <c r="BO49" i="50162"/>
  <c r="BP49" i="50162"/>
  <c r="BQ49" i="50162"/>
  <c r="BR49" i="50162"/>
  <c r="BS49" i="50162"/>
  <c r="BT49" i="50162"/>
  <c r="BU49" i="50162"/>
  <c r="BV49" i="50162"/>
  <c r="BW49" i="50162"/>
  <c r="BX49" i="50162"/>
  <c r="BY49" i="50162"/>
  <c r="BZ49" i="50162"/>
  <c r="CA49" i="50162"/>
  <c r="CB49" i="50162"/>
  <c r="CC49" i="50162"/>
  <c r="CD49" i="50162"/>
  <c r="A50" i="50162"/>
  <c r="D50" i="50162"/>
  <c r="G50" i="50162"/>
  <c r="J50" i="50162"/>
  <c r="M50" i="50162"/>
  <c r="P50" i="50162"/>
  <c r="S50" i="50162"/>
  <c r="V50" i="50162"/>
  <c r="AG50" i="50162"/>
  <c r="AH50" i="50162"/>
  <c r="BG50" i="50162"/>
  <c r="BH50" i="50162"/>
  <c r="BI50" i="50162"/>
  <c r="BJ50" i="50162"/>
  <c r="BK50" i="50162"/>
  <c r="BL50" i="50162"/>
  <c r="BM50" i="50162"/>
  <c r="BN50" i="50162"/>
  <c r="BO50" i="50162"/>
  <c r="BP50" i="50162"/>
  <c r="BQ50" i="50162"/>
  <c r="BR50" i="50162"/>
  <c r="BS50" i="50162"/>
  <c r="BT50" i="50162"/>
  <c r="BU50" i="50162"/>
  <c r="BV50" i="50162"/>
  <c r="BW50" i="50162"/>
  <c r="BX50" i="50162"/>
  <c r="BY50" i="50162"/>
  <c r="BZ50" i="50162"/>
  <c r="CA50" i="50162"/>
  <c r="CB50" i="50162"/>
  <c r="CC50" i="50162"/>
  <c r="CD50" i="50162"/>
  <c r="A51" i="50162"/>
  <c r="D51" i="50162"/>
  <c r="G51" i="50162"/>
  <c r="J51" i="50162"/>
  <c r="M51" i="50162"/>
  <c r="P51" i="50162"/>
  <c r="S51" i="50162"/>
  <c r="V51" i="50162"/>
  <c r="AG51" i="50162"/>
  <c r="AH51" i="50162"/>
  <c r="BG51" i="50162"/>
  <c r="BH51" i="50162"/>
  <c r="BI51" i="50162"/>
  <c r="BJ51" i="50162"/>
  <c r="BK51" i="50162"/>
  <c r="BL51" i="50162"/>
  <c r="BM51" i="50162"/>
  <c r="BN51" i="50162"/>
  <c r="BO51" i="50162"/>
  <c r="BP51" i="50162"/>
  <c r="BQ51" i="50162"/>
  <c r="BR51" i="50162"/>
  <c r="BS51" i="50162"/>
  <c r="BT51" i="50162"/>
  <c r="BU51" i="50162"/>
  <c r="BV51" i="50162"/>
  <c r="BW51" i="50162"/>
  <c r="BX51" i="50162"/>
  <c r="BY51" i="50162"/>
  <c r="BZ51" i="50162"/>
  <c r="CA51" i="50162"/>
  <c r="CB51" i="50162"/>
  <c r="CC51" i="50162"/>
  <c r="CD51" i="50162"/>
  <c r="A52" i="50162"/>
  <c r="D52" i="50162"/>
  <c r="G52" i="50162"/>
  <c r="J52" i="50162"/>
  <c r="M52" i="50162"/>
  <c r="P52" i="50162"/>
  <c r="S52" i="50162"/>
  <c r="V52" i="50162"/>
  <c r="AG52" i="50162"/>
  <c r="AH52" i="50162"/>
  <c r="BG52" i="50162"/>
  <c r="BH52" i="50162"/>
  <c r="BI52" i="50162"/>
  <c r="BJ52" i="50162"/>
  <c r="BK52" i="50162"/>
  <c r="BL52" i="50162"/>
  <c r="BM52" i="50162"/>
  <c r="BN52" i="50162"/>
  <c r="BO52" i="50162"/>
  <c r="BP52" i="50162"/>
  <c r="BQ52" i="50162"/>
  <c r="BR52" i="50162"/>
  <c r="BS52" i="50162"/>
  <c r="BT52" i="50162"/>
  <c r="BU52" i="50162"/>
  <c r="BV52" i="50162"/>
  <c r="BW52" i="50162"/>
  <c r="BX52" i="50162"/>
  <c r="BY52" i="50162"/>
  <c r="BZ52" i="50162"/>
  <c r="CA52" i="50162"/>
  <c r="CB52" i="50162"/>
  <c r="CC52" i="50162"/>
  <c r="CD52" i="50162"/>
  <c r="A53" i="50162"/>
  <c r="D53" i="50162"/>
  <c r="G53" i="50162"/>
  <c r="J53" i="50162"/>
  <c r="M53" i="50162"/>
  <c r="P53" i="50162"/>
  <c r="S53" i="50162"/>
  <c r="V53" i="50162"/>
  <c r="AG53" i="50162"/>
  <c r="AH53" i="50162"/>
  <c r="BG53" i="50162"/>
  <c r="BH53" i="50162"/>
  <c r="BI53" i="50162"/>
  <c r="BJ53" i="50162"/>
  <c r="BK53" i="50162"/>
  <c r="BL53" i="50162"/>
  <c r="BM53" i="50162"/>
  <c r="BN53" i="50162"/>
  <c r="BO53" i="50162"/>
  <c r="BP53" i="50162"/>
  <c r="BQ53" i="50162"/>
  <c r="BR53" i="50162"/>
  <c r="BS53" i="50162"/>
  <c r="BT53" i="50162"/>
  <c r="BU53" i="50162"/>
  <c r="BV53" i="50162"/>
  <c r="BW53" i="50162"/>
  <c r="BX53" i="50162"/>
  <c r="BY53" i="50162"/>
  <c r="BZ53" i="50162"/>
  <c r="CA53" i="50162"/>
  <c r="CB53" i="50162"/>
  <c r="CC53" i="50162"/>
  <c r="CD53" i="50162"/>
  <c r="A54" i="50162"/>
  <c r="D54" i="50162"/>
  <c r="G54" i="50162"/>
  <c r="J54" i="50162"/>
  <c r="M54" i="50162"/>
  <c r="P54" i="50162"/>
  <c r="S54" i="50162"/>
  <c r="V54" i="50162"/>
  <c r="AG54" i="50162"/>
  <c r="AH54" i="50162"/>
  <c r="BG54" i="50162"/>
  <c r="BH54" i="50162"/>
  <c r="BI54" i="50162"/>
  <c r="BJ54" i="50162"/>
  <c r="BK54" i="50162"/>
  <c r="BL54" i="50162"/>
  <c r="BM54" i="50162"/>
  <c r="BN54" i="50162"/>
  <c r="BO54" i="50162"/>
  <c r="BP54" i="50162"/>
  <c r="BQ54" i="50162"/>
  <c r="BR54" i="50162"/>
  <c r="BS54" i="50162"/>
  <c r="BT54" i="50162"/>
  <c r="BU54" i="50162"/>
  <c r="BV54" i="50162"/>
  <c r="BW54" i="50162"/>
  <c r="BX54" i="50162"/>
  <c r="BY54" i="50162"/>
  <c r="BZ54" i="50162"/>
  <c r="CA54" i="50162"/>
  <c r="CB54" i="50162"/>
  <c r="CC54" i="50162"/>
  <c r="CD54" i="50162"/>
  <c r="A55" i="50162"/>
  <c r="D55" i="50162"/>
  <c r="G55" i="50162"/>
  <c r="J55" i="50162"/>
  <c r="M55" i="50162"/>
  <c r="P55" i="50162"/>
  <c r="S55" i="50162"/>
  <c r="V55" i="50162"/>
  <c r="AG55" i="50162"/>
  <c r="AH55" i="50162"/>
  <c r="BG55" i="50162"/>
  <c r="BH55" i="50162"/>
  <c r="BI55" i="50162"/>
  <c r="BJ55" i="50162"/>
  <c r="BK55" i="50162"/>
  <c r="BL55" i="50162"/>
  <c r="BM55" i="50162"/>
  <c r="BN55" i="50162"/>
  <c r="BO55" i="50162"/>
  <c r="BP55" i="50162"/>
  <c r="BQ55" i="50162"/>
  <c r="BR55" i="50162"/>
  <c r="BS55" i="50162"/>
  <c r="BT55" i="50162"/>
  <c r="BU55" i="50162"/>
  <c r="BV55" i="50162"/>
  <c r="BW55" i="50162"/>
  <c r="BX55" i="50162"/>
  <c r="BY55" i="50162"/>
  <c r="BZ55" i="50162"/>
  <c r="CA55" i="50162"/>
  <c r="CB55" i="50162"/>
  <c r="CC55" i="50162"/>
  <c r="CD55" i="50162"/>
  <c r="A56" i="50162"/>
  <c r="D56" i="50162"/>
  <c r="G56" i="50162"/>
  <c r="J56" i="50162"/>
  <c r="M56" i="50162"/>
  <c r="P56" i="50162"/>
  <c r="S56" i="50162"/>
  <c r="V56" i="50162"/>
  <c r="AG56" i="50162"/>
  <c r="AH56" i="50162"/>
  <c r="BG56" i="50162"/>
  <c r="BH56" i="50162"/>
  <c r="BI56" i="50162"/>
  <c r="BJ56" i="50162"/>
  <c r="BK56" i="50162"/>
  <c r="BL56" i="50162"/>
  <c r="BM56" i="50162"/>
  <c r="BN56" i="50162"/>
  <c r="BO56" i="50162"/>
  <c r="BP56" i="50162"/>
  <c r="BQ56" i="50162"/>
  <c r="BR56" i="50162"/>
  <c r="BS56" i="50162"/>
  <c r="BT56" i="50162"/>
  <c r="BU56" i="50162"/>
  <c r="BV56" i="50162"/>
  <c r="BW56" i="50162"/>
  <c r="BX56" i="50162"/>
  <c r="BY56" i="50162"/>
  <c r="BZ56" i="50162"/>
  <c r="CA56" i="50162"/>
  <c r="CB56" i="50162"/>
  <c r="CC56" i="50162"/>
  <c r="CD56" i="50162"/>
  <c r="A57" i="50162"/>
  <c r="D57" i="50162"/>
  <c r="G57" i="50162"/>
  <c r="J57" i="50162"/>
  <c r="M57" i="50162"/>
  <c r="P57" i="50162"/>
  <c r="S57" i="50162"/>
  <c r="V57" i="50162"/>
  <c r="AG57" i="50162"/>
  <c r="AH57" i="50162"/>
  <c r="BG57" i="50162"/>
  <c r="BH57" i="50162"/>
  <c r="BI57" i="50162"/>
  <c r="BJ57" i="50162"/>
  <c r="BK57" i="50162"/>
  <c r="BL57" i="50162"/>
  <c r="BM57" i="50162"/>
  <c r="BN57" i="50162"/>
  <c r="BO57" i="50162"/>
  <c r="BP57" i="50162"/>
  <c r="BQ57" i="50162"/>
  <c r="BR57" i="50162"/>
  <c r="BS57" i="50162"/>
  <c r="BT57" i="50162"/>
  <c r="BU57" i="50162"/>
  <c r="BV57" i="50162"/>
  <c r="BW57" i="50162"/>
  <c r="BX57" i="50162"/>
  <c r="BY57" i="50162"/>
  <c r="BZ57" i="50162"/>
  <c r="CA57" i="50162"/>
  <c r="CB57" i="50162"/>
  <c r="CC57" i="50162"/>
  <c r="CD57" i="50162"/>
  <c r="A58" i="50162"/>
  <c r="D58" i="50162"/>
  <c r="G58" i="50162"/>
  <c r="J58" i="50162"/>
  <c r="M58" i="50162"/>
  <c r="P58" i="50162"/>
  <c r="S58" i="50162"/>
  <c r="V58" i="50162"/>
  <c r="AG58" i="50162"/>
  <c r="AH58" i="50162"/>
  <c r="BG58" i="50162"/>
  <c r="BH58" i="50162"/>
  <c r="BI58" i="50162"/>
  <c r="BJ58" i="50162"/>
  <c r="BK58" i="50162"/>
  <c r="BL58" i="50162"/>
  <c r="BM58" i="50162"/>
  <c r="BN58" i="50162"/>
  <c r="BO58" i="50162"/>
  <c r="BP58" i="50162"/>
  <c r="BQ58" i="50162"/>
  <c r="BR58" i="50162"/>
  <c r="BS58" i="50162"/>
  <c r="BT58" i="50162"/>
  <c r="BU58" i="50162"/>
  <c r="BV58" i="50162"/>
  <c r="BW58" i="50162"/>
  <c r="BX58" i="50162"/>
  <c r="BY58" i="50162"/>
  <c r="BZ58" i="50162"/>
  <c r="CA58" i="50162"/>
  <c r="CB58" i="50162"/>
  <c r="CC58" i="50162"/>
  <c r="CD58" i="50162"/>
  <c r="A59" i="50162"/>
  <c r="D59" i="50162"/>
  <c r="G59" i="50162"/>
  <c r="J59" i="50162"/>
  <c r="M59" i="50162"/>
  <c r="P59" i="50162"/>
  <c r="S59" i="50162"/>
  <c r="V59" i="50162"/>
  <c r="AG59" i="50162"/>
  <c r="AH59" i="50162"/>
  <c r="BG59" i="50162"/>
  <c r="BH59" i="50162"/>
  <c r="BI59" i="50162"/>
  <c r="BJ59" i="50162"/>
  <c r="BK59" i="50162"/>
  <c r="BL59" i="50162"/>
  <c r="BM59" i="50162"/>
  <c r="BN59" i="50162"/>
  <c r="BO59" i="50162"/>
  <c r="BP59" i="50162"/>
  <c r="BQ59" i="50162"/>
  <c r="BR59" i="50162"/>
  <c r="BS59" i="50162"/>
  <c r="BT59" i="50162"/>
  <c r="BU59" i="50162"/>
  <c r="BV59" i="50162"/>
  <c r="BW59" i="50162"/>
  <c r="BX59" i="50162"/>
  <c r="BY59" i="50162"/>
  <c r="BZ59" i="50162"/>
  <c r="CA59" i="50162"/>
  <c r="CB59" i="50162"/>
  <c r="CC59" i="50162"/>
  <c r="CD59" i="50162"/>
  <c r="A60" i="50162"/>
  <c r="D60" i="50162"/>
  <c r="G60" i="50162"/>
  <c r="J60" i="50162"/>
  <c r="M60" i="50162"/>
  <c r="P60" i="50162"/>
  <c r="S60" i="50162"/>
  <c r="V60" i="50162"/>
  <c r="AG60" i="50162"/>
  <c r="AH60" i="50162"/>
  <c r="BG60" i="50162"/>
  <c r="BH60" i="50162"/>
  <c r="BI60" i="50162"/>
  <c r="BJ60" i="50162"/>
  <c r="BK60" i="50162"/>
  <c r="BL60" i="50162"/>
  <c r="BM60" i="50162"/>
  <c r="BN60" i="50162"/>
  <c r="BO60" i="50162"/>
  <c r="BP60" i="50162"/>
  <c r="BQ60" i="50162"/>
  <c r="BR60" i="50162"/>
  <c r="BS60" i="50162"/>
  <c r="BT60" i="50162"/>
  <c r="BU60" i="50162"/>
  <c r="BV60" i="50162"/>
  <c r="BW60" i="50162"/>
  <c r="BX60" i="50162"/>
  <c r="BY60" i="50162"/>
  <c r="BZ60" i="50162"/>
  <c r="CA60" i="50162"/>
  <c r="CB60" i="50162"/>
  <c r="CC60" i="50162"/>
  <c r="CD60" i="50162"/>
  <c r="A61" i="50162"/>
  <c r="D61" i="50162"/>
  <c r="G61" i="50162"/>
  <c r="J61" i="50162"/>
  <c r="M61" i="50162"/>
  <c r="P61" i="50162"/>
  <c r="S61" i="50162"/>
  <c r="V61" i="50162"/>
  <c r="AG61" i="50162"/>
  <c r="AH61" i="50162"/>
  <c r="BG61" i="50162"/>
  <c r="BH61" i="50162"/>
  <c r="BI61" i="50162"/>
  <c r="BJ61" i="50162"/>
  <c r="BK61" i="50162"/>
  <c r="BL61" i="50162"/>
  <c r="BM61" i="50162"/>
  <c r="BN61" i="50162"/>
  <c r="BO61" i="50162"/>
  <c r="BP61" i="50162"/>
  <c r="BQ61" i="50162"/>
  <c r="BR61" i="50162"/>
  <c r="BS61" i="50162"/>
  <c r="BT61" i="50162"/>
  <c r="BU61" i="50162"/>
  <c r="BV61" i="50162"/>
  <c r="BW61" i="50162"/>
  <c r="BX61" i="50162"/>
  <c r="BY61" i="50162"/>
  <c r="BZ61" i="50162"/>
  <c r="CA61" i="50162"/>
  <c r="CB61" i="50162"/>
  <c r="CC61" i="50162"/>
  <c r="CD61" i="50162"/>
  <c r="A62" i="50162"/>
  <c r="D62" i="50162"/>
  <c r="G62" i="50162"/>
  <c r="J62" i="50162"/>
  <c r="M62" i="50162"/>
  <c r="P62" i="50162"/>
  <c r="S62" i="50162"/>
  <c r="V62" i="50162"/>
  <c r="AG62" i="50162"/>
  <c r="AH62" i="50162"/>
  <c r="BG62" i="50162"/>
  <c r="BH62" i="50162"/>
  <c r="BI62" i="50162"/>
  <c r="BJ62" i="50162"/>
  <c r="BK62" i="50162"/>
  <c r="BL62" i="50162"/>
  <c r="BM62" i="50162"/>
  <c r="BN62" i="50162"/>
  <c r="BO62" i="50162"/>
  <c r="BP62" i="50162"/>
  <c r="BQ62" i="50162"/>
  <c r="BR62" i="50162"/>
  <c r="BS62" i="50162"/>
  <c r="BT62" i="50162"/>
  <c r="BU62" i="50162"/>
  <c r="BV62" i="50162"/>
  <c r="BW62" i="50162"/>
  <c r="BX62" i="50162"/>
  <c r="BY62" i="50162"/>
  <c r="BZ62" i="50162"/>
  <c r="CA62" i="50162"/>
  <c r="CB62" i="50162"/>
  <c r="CC62" i="50162"/>
  <c r="CD62" i="50162"/>
  <c r="AG63" i="50162"/>
  <c r="AH63" i="50162"/>
  <c r="AG64" i="50162"/>
  <c r="AH64" i="50162"/>
  <c r="AG65" i="50162"/>
  <c r="AH65" i="50162"/>
  <c r="B66" i="50162"/>
  <c r="C66" i="50162"/>
  <c r="D66" i="50162"/>
  <c r="E66" i="50162"/>
  <c r="F66" i="50162"/>
  <c r="G66" i="50162"/>
  <c r="H66" i="50162"/>
  <c r="I66" i="50162"/>
  <c r="J66" i="50162"/>
  <c r="K66" i="50162"/>
  <c r="L66" i="50162"/>
  <c r="M66" i="50162"/>
  <c r="N66" i="50162"/>
  <c r="O66" i="50162"/>
  <c r="P66" i="50162"/>
  <c r="AG66" i="50162"/>
  <c r="AH66" i="50162"/>
  <c r="BH66" i="50162"/>
  <c r="BI66" i="50162"/>
  <c r="BJ66" i="50162"/>
  <c r="BK66" i="50162"/>
  <c r="BL66" i="50162"/>
  <c r="BM66" i="50162"/>
  <c r="BN66" i="50162"/>
  <c r="BO66" i="50162"/>
  <c r="BP66" i="50162"/>
  <c r="BQ66" i="50162"/>
  <c r="BR66" i="50162"/>
  <c r="BS66" i="50162"/>
  <c r="BT66" i="50162"/>
  <c r="BU66" i="50162"/>
  <c r="BV66" i="50162"/>
  <c r="AG67" i="50162"/>
  <c r="AH67" i="50162"/>
  <c r="BH67" i="50162"/>
  <c r="BI67" i="50162"/>
  <c r="BJ67" i="50162"/>
  <c r="BK67" i="50162"/>
  <c r="BL67" i="50162"/>
  <c r="BM67" i="50162"/>
  <c r="BN67" i="50162"/>
  <c r="BO67" i="50162"/>
  <c r="BP67" i="50162"/>
  <c r="BQ67" i="50162"/>
  <c r="BR67" i="50162"/>
  <c r="BS67" i="50162"/>
  <c r="BT67" i="50162"/>
  <c r="BU67" i="50162"/>
  <c r="BV67" i="50162"/>
  <c r="BW67" i="50162"/>
  <c r="AG68" i="50162"/>
  <c r="AH68" i="50162"/>
  <c r="BH68" i="50162"/>
  <c r="BI68" i="50162"/>
  <c r="BJ68" i="50162"/>
  <c r="BK68" i="50162"/>
  <c r="BL68" i="50162"/>
  <c r="BM68" i="50162"/>
  <c r="BN68" i="50162"/>
  <c r="BO68" i="50162"/>
  <c r="BP68" i="50162"/>
  <c r="BQ68" i="50162"/>
  <c r="BR68" i="50162"/>
  <c r="BS68" i="50162"/>
  <c r="BT68" i="50162"/>
  <c r="BU68" i="50162"/>
  <c r="BV68" i="50162"/>
  <c r="BW68" i="50162"/>
  <c r="AG69" i="50162"/>
  <c r="AH69" i="50162"/>
  <c r="BH69" i="50162"/>
  <c r="BI69" i="50162"/>
  <c r="BJ69" i="50162"/>
  <c r="BK69" i="50162"/>
  <c r="BL69" i="50162"/>
  <c r="BM69" i="50162"/>
  <c r="BN69" i="50162"/>
  <c r="BO69" i="50162"/>
  <c r="BP69" i="50162"/>
  <c r="BQ69" i="50162"/>
  <c r="BR69" i="50162"/>
  <c r="BS69" i="50162"/>
  <c r="BT69" i="50162"/>
  <c r="BU69" i="50162"/>
  <c r="BV69" i="50162"/>
  <c r="BW69" i="50162"/>
  <c r="AG70" i="50162"/>
  <c r="AH70" i="50162"/>
  <c r="BH70" i="50162"/>
  <c r="BI70" i="50162"/>
  <c r="BJ70" i="50162"/>
  <c r="BK70" i="50162"/>
  <c r="BL70" i="50162"/>
  <c r="BM70" i="50162"/>
  <c r="BN70" i="50162"/>
  <c r="BO70" i="50162"/>
  <c r="BP70" i="50162"/>
  <c r="BQ70" i="50162"/>
  <c r="BR70" i="50162"/>
  <c r="BS70" i="50162"/>
  <c r="BT70" i="50162"/>
  <c r="BU70" i="50162"/>
  <c r="BV70" i="50162"/>
  <c r="BW70" i="50162"/>
  <c r="AG71" i="50162"/>
  <c r="AH71" i="50162"/>
  <c r="BH71" i="50162"/>
  <c r="BI71" i="50162"/>
  <c r="BJ71" i="50162"/>
  <c r="BK71" i="50162"/>
  <c r="BL71" i="50162"/>
  <c r="BM71" i="50162"/>
  <c r="BN71" i="50162"/>
  <c r="BO71" i="50162"/>
  <c r="BP71" i="50162"/>
  <c r="BQ71" i="50162"/>
  <c r="BR71" i="50162"/>
  <c r="BS71" i="50162"/>
  <c r="BT71" i="50162"/>
  <c r="BU71" i="50162"/>
  <c r="BV71" i="50162"/>
  <c r="BW71" i="50162"/>
  <c r="AG72" i="50162"/>
  <c r="AH72" i="50162"/>
  <c r="BH72" i="50162"/>
  <c r="BI72" i="50162"/>
  <c r="BJ72" i="50162"/>
  <c r="BK72" i="50162"/>
  <c r="BL72" i="50162"/>
  <c r="BM72" i="50162"/>
  <c r="BN72" i="50162"/>
  <c r="BO72" i="50162"/>
  <c r="BP72" i="50162"/>
  <c r="BQ72" i="50162"/>
  <c r="BR72" i="50162"/>
  <c r="BS72" i="50162"/>
  <c r="BT72" i="50162"/>
  <c r="BU72" i="50162"/>
  <c r="BV72" i="50162"/>
  <c r="BW72" i="50162"/>
  <c r="AG73" i="50162"/>
  <c r="AH73" i="50162"/>
  <c r="BH73" i="50162"/>
  <c r="BI73" i="50162"/>
  <c r="BJ73" i="50162"/>
  <c r="BK73" i="50162"/>
  <c r="BL73" i="50162"/>
  <c r="BM73" i="50162"/>
  <c r="BN73" i="50162"/>
  <c r="BO73" i="50162"/>
  <c r="BP73" i="50162"/>
  <c r="BQ73" i="50162"/>
  <c r="BR73" i="50162"/>
  <c r="BS73" i="50162"/>
  <c r="BT73" i="50162"/>
  <c r="BU73" i="50162"/>
  <c r="BV73" i="50162"/>
  <c r="BW73" i="50162"/>
  <c r="AG74" i="50162"/>
  <c r="AH74" i="50162"/>
  <c r="BH74" i="50162"/>
  <c r="BI74" i="50162"/>
  <c r="BJ74" i="50162"/>
  <c r="BK74" i="50162"/>
  <c r="BL74" i="50162"/>
  <c r="BM74" i="50162"/>
  <c r="BN74" i="50162"/>
  <c r="BO74" i="50162"/>
  <c r="BP74" i="50162"/>
  <c r="BQ74" i="50162"/>
  <c r="BR74" i="50162"/>
  <c r="BS74" i="50162"/>
  <c r="BT74" i="50162"/>
  <c r="BU74" i="50162"/>
  <c r="BV74" i="50162"/>
  <c r="BW74" i="50162"/>
  <c r="AG75" i="50162"/>
  <c r="AH75" i="50162"/>
  <c r="BH75" i="50162"/>
  <c r="BI75" i="50162"/>
  <c r="BJ75" i="50162"/>
  <c r="BK75" i="50162"/>
  <c r="BL75" i="50162"/>
  <c r="BM75" i="50162"/>
  <c r="BN75" i="50162"/>
  <c r="BO75" i="50162"/>
  <c r="BP75" i="50162"/>
  <c r="BQ75" i="50162"/>
  <c r="BR75" i="50162"/>
  <c r="BS75" i="50162"/>
  <c r="BT75" i="50162"/>
  <c r="BU75" i="50162"/>
  <c r="BV75" i="50162"/>
  <c r="BW75" i="50162"/>
  <c r="AG76" i="50162"/>
  <c r="AH76" i="50162"/>
  <c r="AG77" i="50162"/>
  <c r="AH77" i="50162"/>
  <c r="AG78" i="50162"/>
  <c r="AH78" i="50162"/>
  <c r="AG79" i="50162"/>
  <c r="AH79" i="50162"/>
  <c r="AG80" i="50162"/>
  <c r="AH80" i="50162"/>
  <c r="AG81" i="50162"/>
  <c r="AH81" i="50162"/>
  <c r="AG82" i="50162"/>
  <c r="AH82" i="50162"/>
  <c r="AG83" i="50162"/>
  <c r="AH83" i="50162"/>
  <c r="AG84" i="50162"/>
  <c r="AH84" i="50162"/>
  <c r="AG85" i="50162"/>
  <c r="AH85" i="50162"/>
  <c r="AG86" i="50162"/>
  <c r="AH86" i="50162"/>
  <c r="AG87" i="50162"/>
  <c r="AH87" i="50162"/>
  <c r="AG88" i="50162"/>
  <c r="AH88" i="50162"/>
  <c r="AG89" i="50162"/>
  <c r="AH89" i="50162"/>
  <c r="AG90" i="50162"/>
  <c r="AH90" i="50162"/>
  <c r="AG91" i="50162"/>
  <c r="AH91" i="50162"/>
  <c r="AG92" i="50162"/>
  <c r="AH92" i="50162"/>
  <c r="BG92" i="50162"/>
  <c r="BH92" i="50162"/>
  <c r="BI92" i="50162"/>
  <c r="BJ92" i="50162"/>
  <c r="BM92" i="50162"/>
  <c r="BN92" i="50162" s="1"/>
  <c r="BP92" i="50162"/>
  <c r="BQ92" i="50162" s="1"/>
  <c r="BS92" i="50162"/>
  <c r="BT92" i="50162"/>
  <c r="BU92" i="50162"/>
  <c r="BV92" i="50162"/>
  <c r="BX92" i="50162" s="1"/>
  <c r="BW92" i="50162"/>
  <c r="BY92" i="50162"/>
  <c r="CA92" i="50162" s="1"/>
  <c r="BZ92" i="50162"/>
  <c r="CB92" i="50162"/>
  <c r="AG93" i="50162"/>
  <c r="AH93" i="50162"/>
  <c r="BG93" i="50162"/>
  <c r="BJ93" i="50162"/>
  <c r="BM93" i="50162"/>
  <c r="BN93" i="50162"/>
  <c r="BO93" i="50162"/>
  <c r="BP93" i="50162"/>
  <c r="BQ93" i="50162" s="1"/>
  <c r="BR93" i="50162"/>
  <c r="BS93" i="50162"/>
  <c r="BT93" i="50162" s="1"/>
  <c r="BV93" i="50162"/>
  <c r="BW93" i="50162"/>
  <c r="BX93" i="50162"/>
  <c r="BY93" i="50162"/>
  <c r="BZ93" i="50162"/>
  <c r="CA93" i="50162"/>
  <c r="CB93" i="50162"/>
  <c r="CD93" i="50162" s="1"/>
  <c r="CC93" i="50162"/>
  <c r="AG94" i="50162"/>
  <c r="AH94" i="50162"/>
  <c r="BG94" i="50162"/>
  <c r="BH94" i="50162"/>
  <c r="BI94" i="50162"/>
  <c r="BJ94" i="50162"/>
  <c r="BL94" i="50162" s="1"/>
  <c r="BK94" i="50162"/>
  <c r="BM94" i="50162"/>
  <c r="BO94" i="50162" s="1"/>
  <c r="BP94" i="50162"/>
  <c r="BR94" i="50162" s="1"/>
  <c r="BS94" i="50162"/>
  <c r="BV94" i="50162"/>
  <c r="BW94" i="50162" s="1"/>
  <c r="BY94" i="50162"/>
  <c r="CB94" i="50162"/>
  <c r="CC94" i="50162" s="1"/>
  <c r="CD94" i="50162"/>
  <c r="AG95" i="50162"/>
  <c r="AH95" i="50162"/>
  <c r="BG95" i="50162"/>
  <c r="BJ95" i="50162"/>
  <c r="BL95" i="50162" s="1"/>
  <c r="BM95" i="50162"/>
  <c r="BO95" i="50162" s="1"/>
  <c r="BN95" i="50162"/>
  <c r="BP95" i="50162"/>
  <c r="BS95" i="50162"/>
  <c r="BV95" i="50162"/>
  <c r="BX95" i="50162" s="1"/>
  <c r="BW95" i="50162"/>
  <c r="BY95" i="50162"/>
  <c r="BZ95" i="50162" s="1"/>
  <c r="CA95" i="50162"/>
  <c r="CB95" i="50162"/>
  <c r="CC95" i="50162" s="1"/>
  <c r="AG96" i="50162"/>
  <c r="AH96" i="50162"/>
  <c r="BG96" i="50162"/>
  <c r="BH96" i="50162"/>
  <c r="BI96" i="50162"/>
  <c r="BJ96" i="50162"/>
  <c r="BK96" i="50162" s="1"/>
  <c r="BL96" i="50162"/>
  <c r="BM96" i="50162"/>
  <c r="BP96" i="50162"/>
  <c r="BR96" i="50162" s="1"/>
  <c r="BQ96" i="50162"/>
  <c r="BS96" i="50162"/>
  <c r="BU96" i="50162" s="1"/>
  <c r="BT96" i="50162"/>
  <c r="BV96" i="50162"/>
  <c r="BY96" i="50162"/>
  <c r="CA96" i="50162" s="1"/>
  <c r="CB96" i="50162"/>
  <c r="CD96" i="50162" s="1"/>
  <c r="CC96" i="50162"/>
  <c r="AG97" i="50162"/>
  <c r="AH97" i="50162"/>
  <c r="BG97" i="50162"/>
  <c r="BJ97" i="50162"/>
  <c r="BL97" i="50162" s="1"/>
  <c r="BM97" i="50162"/>
  <c r="BN97" i="50162" s="1"/>
  <c r="BP97" i="50162"/>
  <c r="BS97" i="50162"/>
  <c r="BV97" i="50162"/>
  <c r="BX97" i="50162" s="1"/>
  <c r="BY97" i="50162"/>
  <c r="BZ97" i="50162" s="1"/>
  <c r="CB97" i="50162"/>
  <c r="CC97" i="50162"/>
  <c r="CD97" i="50162"/>
  <c r="AG98" i="50162"/>
  <c r="AH98" i="50162"/>
  <c r="BG98" i="50162"/>
  <c r="BH98" i="50162" s="1"/>
  <c r="BJ98" i="50162"/>
  <c r="BK98" i="50162"/>
  <c r="BL98" i="50162"/>
  <c r="BM98" i="50162"/>
  <c r="BP98" i="50162"/>
  <c r="BS98" i="50162"/>
  <c r="BT98" i="50162" s="1"/>
  <c r="BV98" i="50162"/>
  <c r="BY98" i="50162"/>
  <c r="CB98" i="50162"/>
  <c r="CC98" i="50162" s="1"/>
  <c r="AG99" i="50162"/>
  <c r="AH99" i="50162"/>
  <c r="BG99" i="50162"/>
  <c r="BJ99" i="50162"/>
  <c r="BM99" i="50162"/>
  <c r="BN99" i="50162" s="1"/>
  <c r="BP99" i="50162"/>
  <c r="BQ99" i="50162" s="1"/>
  <c r="BR99" i="50162"/>
  <c r="BS99" i="50162"/>
  <c r="BU99" i="50162" s="1"/>
  <c r="BV99" i="50162"/>
  <c r="BX99" i="50162" s="1"/>
  <c r="BY99" i="50162"/>
  <c r="CA99" i="50162" s="1"/>
  <c r="BZ99" i="50162"/>
  <c r="CB99" i="50162"/>
  <c r="AG100" i="50162"/>
  <c r="AH100" i="50162"/>
  <c r="BG100" i="50162"/>
  <c r="BH100" i="50162" s="1"/>
  <c r="BJ100" i="50162"/>
  <c r="BK100" i="50162" s="1"/>
  <c r="BM100" i="50162"/>
  <c r="BP100" i="50162"/>
  <c r="BS100" i="50162"/>
  <c r="BU100" i="50162" s="1"/>
  <c r="BT100" i="50162"/>
  <c r="BV100" i="50162"/>
  <c r="BX100" i="50162" s="1"/>
  <c r="BW100" i="50162"/>
  <c r="BY100" i="50162"/>
  <c r="CB100" i="50162"/>
  <c r="AG101" i="50162"/>
  <c r="AH101" i="50162"/>
  <c r="BG101" i="50162"/>
  <c r="BI101" i="50162" s="1"/>
  <c r="BH101" i="50162"/>
  <c r="BJ101" i="50162"/>
  <c r="BL101" i="50162" s="1"/>
  <c r="BK101" i="50162"/>
  <c r="BM101" i="50162"/>
  <c r="BN101" i="50162" s="1"/>
  <c r="BP101" i="50162"/>
  <c r="BS101" i="50162"/>
  <c r="BV101" i="50162"/>
  <c r="BX101" i="50162" s="1"/>
  <c r="BW101" i="50162"/>
  <c r="BY101" i="50162"/>
  <c r="BZ101" i="50162" s="1"/>
  <c r="CA101" i="50162"/>
  <c r="CB101" i="50162"/>
  <c r="CC101" i="50162" s="1"/>
  <c r="AG102" i="50162"/>
  <c r="AH102" i="50162"/>
  <c r="BG102" i="50162"/>
  <c r="BH102" i="50162" s="1"/>
  <c r="BI102" i="50162"/>
  <c r="BJ102" i="50162"/>
  <c r="BK102" i="50162" s="1"/>
  <c r="BM102" i="50162"/>
  <c r="BP102" i="50162"/>
  <c r="BS102" i="50162"/>
  <c r="BU102" i="50162" s="1"/>
  <c r="BV102" i="50162"/>
  <c r="BY102" i="50162"/>
  <c r="BZ102" i="50162" s="1"/>
  <c r="CA102" i="50162"/>
  <c r="CB102" i="50162"/>
  <c r="AG103" i="50162"/>
  <c r="AH103" i="50162"/>
  <c r="BG103" i="50162"/>
  <c r="BJ103" i="50162"/>
  <c r="BL103" i="50162" s="1"/>
  <c r="BM103" i="50162"/>
  <c r="BN103" i="50162" s="1"/>
  <c r="BP103" i="50162"/>
  <c r="BS103" i="50162"/>
  <c r="BV103" i="50162"/>
  <c r="BW103" i="50162" s="1"/>
  <c r="BY103" i="50162"/>
  <c r="BZ103" i="50162" s="1"/>
  <c r="CA103" i="50162"/>
  <c r="CB103" i="50162"/>
  <c r="AG104" i="50162"/>
  <c r="AH104" i="50162"/>
  <c r="BG104" i="50162"/>
  <c r="BI104" i="50162" s="1"/>
  <c r="BH104" i="50162"/>
  <c r="BJ104" i="50162"/>
  <c r="BK104" i="50162" s="1"/>
  <c r="BM104" i="50162"/>
  <c r="BP104" i="50162"/>
  <c r="BS104" i="50162"/>
  <c r="BT104" i="50162" s="1"/>
  <c r="BV104" i="50162"/>
  <c r="BW104" i="50162" s="1"/>
  <c r="BY104" i="50162"/>
  <c r="CB104" i="50162"/>
  <c r="AG105" i="50162"/>
  <c r="AH105" i="50162"/>
  <c r="BG105" i="50162"/>
  <c r="BI105" i="50162" s="1"/>
  <c r="BH105" i="50162"/>
  <c r="BJ105" i="50162"/>
  <c r="BK105" i="50162" s="1"/>
  <c r="BL105" i="50162"/>
  <c r="BM105" i="50162"/>
  <c r="BO105" i="50162" s="1"/>
  <c r="BP105" i="50162"/>
  <c r="BQ105" i="50162" s="1"/>
  <c r="BS105" i="50162"/>
  <c r="BT105" i="50162"/>
  <c r="BU105" i="50162"/>
  <c r="BV105" i="50162"/>
  <c r="BX105" i="50162" s="1"/>
  <c r="BW105" i="50162"/>
  <c r="BY105" i="50162"/>
  <c r="BZ105" i="50162" s="1"/>
  <c r="CB105" i="50162"/>
  <c r="CD105" i="50162" s="1"/>
  <c r="CC105" i="50162"/>
  <c r="AG106" i="50162"/>
  <c r="AH106" i="50162"/>
  <c r="BG106" i="50162"/>
  <c r="BJ106" i="50162"/>
  <c r="BL106" i="50162" s="1"/>
  <c r="BM106" i="50162"/>
  <c r="BP106" i="50162"/>
  <c r="BR106" i="50162" s="1"/>
  <c r="BS106" i="50162"/>
  <c r="BU106" i="50162" s="1"/>
  <c r="BV106" i="50162"/>
  <c r="BY106" i="50162"/>
  <c r="CA106" i="50162" s="1"/>
  <c r="BZ106" i="50162"/>
  <c r="CB106" i="50162"/>
  <c r="AG107" i="50162"/>
  <c r="AH107" i="50162"/>
  <c r="BG107" i="50162"/>
  <c r="BI107" i="50162" s="1"/>
  <c r="BH107" i="50162"/>
  <c r="BJ107" i="50162"/>
  <c r="BL107" i="50162" s="1"/>
  <c r="BM107" i="50162"/>
  <c r="BN107" i="50162" s="1"/>
  <c r="BP107" i="50162"/>
  <c r="BQ107" i="50162" s="1"/>
  <c r="BS107" i="50162"/>
  <c r="BV107" i="50162"/>
  <c r="BY107" i="50162"/>
  <c r="CB107" i="50162"/>
  <c r="AG108" i="50162"/>
  <c r="AH108" i="50162"/>
  <c r="BG108" i="50162"/>
  <c r="BI108" i="50162" s="1"/>
  <c r="BJ108" i="50162"/>
  <c r="BK108" i="50162" s="1"/>
  <c r="BL108" i="50162"/>
  <c r="BM108" i="50162"/>
  <c r="BO108" i="50162" s="1"/>
  <c r="BP108" i="50162"/>
  <c r="BR108" i="50162" s="1"/>
  <c r="BS108" i="50162"/>
  <c r="BT108" i="50162"/>
  <c r="BU108" i="50162"/>
  <c r="BV108" i="50162"/>
  <c r="BY108" i="50162"/>
  <c r="CB108" i="50162"/>
  <c r="CD108" i="50162" s="1"/>
  <c r="AG109" i="50162"/>
  <c r="AH109" i="50162"/>
  <c r="BG109" i="50162"/>
  <c r="BI109" i="50162" s="1"/>
  <c r="BH109" i="50162"/>
  <c r="BJ109" i="50162"/>
  <c r="BK109" i="50162" s="1"/>
  <c r="BL109" i="50162"/>
  <c r="BM109" i="50162"/>
  <c r="BO109" i="50162" s="1"/>
  <c r="BP109" i="50162"/>
  <c r="BQ109" i="50162" s="1"/>
  <c r="BS109" i="50162"/>
  <c r="BU109" i="50162" s="1"/>
  <c r="BT109" i="50162"/>
  <c r="BV109" i="50162"/>
  <c r="BY109" i="50162"/>
  <c r="CA109" i="50162" s="1"/>
  <c r="BZ109" i="50162"/>
  <c r="CB109" i="50162"/>
  <c r="AG110" i="50162"/>
  <c r="AH110" i="50162"/>
  <c r="BG110" i="50162"/>
  <c r="BJ110" i="50162"/>
  <c r="BL110" i="50162" s="1"/>
  <c r="BM110" i="50162"/>
  <c r="BP110" i="50162"/>
  <c r="BS110" i="50162"/>
  <c r="BU110" i="50162" s="1"/>
  <c r="BT110" i="50162"/>
  <c r="BV110" i="50162"/>
  <c r="BY110" i="50162"/>
  <c r="CA110" i="50162" s="1"/>
  <c r="BZ110" i="50162"/>
  <c r="CB110" i="50162"/>
  <c r="CD110" i="50162" s="1"/>
  <c r="CC110" i="50162"/>
  <c r="AG111" i="50162"/>
  <c r="AH111" i="50162"/>
  <c r="BG111" i="50162"/>
  <c r="BI111" i="50162" s="1"/>
  <c r="BJ111" i="50162"/>
  <c r="BL111" i="50162" s="1"/>
  <c r="BM111" i="50162"/>
  <c r="BN111" i="50162" s="1"/>
  <c r="BP111" i="50162"/>
  <c r="BQ111" i="50162" s="1"/>
  <c r="BS111" i="50162"/>
  <c r="BV111" i="50162"/>
  <c r="BW111" i="50162" s="1"/>
  <c r="BY111" i="50162"/>
  <c r="BZ111" i="50162" s="1"/>
  <c r="CB111" i="50162"/>
  <c r="AG112" i="50162"/>
  <c r="AH112" i="50162"/>
  <c r="BG112" i="50162"/>
  <c r="BJ112" i="50162"/>
  <c r="BM112" i="50162"/>
  <c r="BP112" i="50162"/>
  <c r="BQ112" i="50162" s="1"/>
  <c r="BR112" i="50162"/>
  <c r="BS112" i="50162"/>
  <c r="BT112" i="50162" s="1"/>
  <c r="BV112" i="50162"/>
  <c r="BY112" i="50162"/>
  <c r="BZ112" i="50162" s="1"/>
  <c r="CB112" i="50162"/>
  <c r="CD112" i="50162" s="1"/>
  <c r="AG113" i="50162"/>
  <c r="AH113" i="50162"/>
  <c r="BG113" i="50162"/>
  <c r="BI113" i="50162" s="1"/>
  <c r="BH113" i="50162"/>
  <c r="BJ113" i="50162"/>
  <c r="BL113" i="50162" s="1"/>
  <c r="BK113" i="50162"/>
  <c r="BM113" i="50162"/>
  <c r="BO113" i="50162" s="1"/>
  <c r="BN113" i="50162"/>
  <c r="BP113" i="50162"/>
  <c r="BS113" i="50162"/>
  <c r="BT113" i="50162" s="1"/>
  <c r="BU113" i="50162"/>
  <c r="BV113" i="50162"/>
  <c r="BW113" i="50162"/>
  <c r="BX113" i="50162"/>
  <c r="BY113" i="50162"/>
  <c r="BZ113" i="50162" s="1"/>
  <c r="CA113" i="50162"/>
  <c r="CB113" i="50162"/>
  <c r="CC113" i="50162" s="1"/>
  <c r="AG114" i="50162"/>
  <c r="AH114" i="50162"/>
  <c r="BG114" i="50162"/>
  <c r="BJ114" i="50162"/>
  <c r="BK114" i="50162"/>
  <c r="BL114" i="50162"/>
  <c r="BM114" i="50162"/>
  <c r="BN114" i="50162" s="1"/>
  <c r="BO114" i="50162"/>
  <c r="BP114" i="50162"/>
  <c r="BR114" i="50162" s="1"/>
  <c r="BQ114" i="50162"/>
  <c r="BS114" i="50162"/>
  <c r="BV114" i="50162"/>
  <c r="BX114" i="50162" s="1"/>
  <c r="BY114" i="50162"/>
  <c r="CB114" i="50162"/>
  <c r="CD114" i="50162" s="1"/>
  <c r="CC114" i="50162"/>
  <c r="AG115" i="50162"/>
  <c r="AH115" i="50162"/>
  <c r="BG115" i="50162"/>
  <c r="BH115" i="50162" s="1"/>
  <c r="BI115" i="50162"/>
  <c r="BJ115" i="50162"/>
  <c r="BK115" i="50162" s="1"/>
  <c r="BM115" i="50162"/>
  <c r="BN115" i="50162" s="1"/>
  <c r="BP115" i="50162"/>
  <c r="BQ115" i="50162" s="1"/>
  <c r="BS115" i="50162"/>
  <c r="BT115" i="50162" s="1"/>
  <c r="BV115" i="50162"/>
  <c r="BY115" i="50162"/>
  <c r="BZ115" i="50162" s="1"/>
  <c r="CA115" i="50162"/>
  <c r="CB115" i="50162"/>
  <c r="AG116" i="50162"/>
  <c r="AH116" i="50162"/>
  <c r="BG116" i="50162"/>
  <c r="BI116" i="50162" s="1"/>
  <c r="BH116" i="50162"/>
  <c r="BJ116" i="50162"/>
  <c r="BL116" i="50162" s="1"/>
  <c r="BM116" i="50162"/>
  <c r="BN116" i="50162" s="1"/>
  <c r="BP116" i="50162"/>
  <c r="BQ116" i="50162" s="1"/>
  <c r="BS116" i="50162"/>
  <c r="BT116" i="50162" s="1"/>
  <c r="BV116" i="50162"/>
  <c r="BY116" i="50162"/>
  <c r="BZ116" i="50162" s="1"/>
  <c r="CB116" i="50162"/>
  <c r="CD116" i="50162" s="1"/>
  <c r="CC116" i="50162"/>
  <c r="AG117" i="50162"/>
  <c r="AH117" i="50162"/>
  <c r="BG117" i="50162"/>
  <c r="BJ117" i="50162"/>
  <c r="BL117" i="50162" s="1"/>
  <c r="BM117" i="50162"/>
  <c r="BO117" i="50162" s="1"/>
  <c r="BP117" i="50162"/>
  <c r="BS117" i="50162"/>
  <c r="BT117" i="50162" s="1"/>
  <c r="BV117" i="50162"/>
  <c r="BY117" i="50162"/>
  <c r="BZ117" i="50162" s="1"/>
  <c r="CB117" i="50162"/>
  <c r="CD117" i="50162" s="1"/>
  <c r="CC117" i="50162"/>
  <c r="AG118" i="50162"/>
  <c r="AH118" i="50162"/>
  <c r="BG118" i="50162"/>
  <c r="BJ118" i="50162"/>
  <c r="BK118" i="50162" s="1"/>
  <c r="BM118" i="50162"/>
  <c r="BN118" i="50162" s="1"/>
  <c r="BP118" i="50162"/>
  <c r="BS118" i="50162"/>
  <c r="BV118" i="50162"/>
  <c r="BX118" i="50162" s="1"/>
  <c r="BY118" i="50162"/>
  <c r="BZ118" i="50162" s="1"/>
  <c r="CA118" i="50162"/>
  <c r="CB118" i="50162"/>
  <c r="CC118" i="50162" s="1"/>
  <c r="CD118" i="50162"/>
  <c r="AG119" i="50162"/>
  <c r="AH119" i="50162"/>
  <c r="BG119" i="50162"/>
  <c r="BH119" i="50162" s="1"/>
  <c r="BJ119" i="50162"/>
  <c r="BK119" i="50162" s="1"/>
  <c r="BL119" i="50162"/>
  <c r="BM119" i="50162"/>
  <c r="BN119" i="50162" s="1"/>
  <c r="BP119" i="50162"/>
  <c r="BS119" i="50162"/>
  <c r="BV119" i="50162"/>
  <c r="BX119" i="50162" s="1"/>
  <c r="BW119" i="50162"/>
  <c r="BY119" i="50162"/>
  <c r="BZ119" i="50162" s="1"/>
  <c r="CB119" i="50162"/>
  <c r="AG120" i="50162"/>
  <c r="AH120" i="50162"/>
  <c r="BG120" i="50162"/>
  <c r="BI120" i="50162" s="1"/>
  <c r="BJ120" i="50162"/>
  <c r="BL120" i="50162" s="1"/>
  <c r="BK120" i="50162"/>
  <c r="BM120" i="50162"/>
  <c r="BN120" i="50162" s="1"/>
  <c r="BO120" i="50162"/>
  <c r="BP120" i="50162"/>
  <c r="BQ120" i="50162" s="1"/>
  <c r="BS120" i="50162"/>
  <c r="BT120" i="50162" s="1"/>
  <c r="BU120" i="50162"/>
  <c r="BV120" i="50162"/>
  <c r="BW120" i="50162"/>
  <c r="BX120" i="50162"/>
  <c r="BY120" i="50162"/>
  <c r="BZ120" i="50162" s="1"/>
  <c r="CB120" i="50162"/>
  <c r="AG121" i="50162"/>
  <c r="AH121" i="50162"/>
  <c r="BG121" i="50162"/>
  <c r="BJ121" i="50162"/>
  <c r="BL121" i="50162" s="1"/>
  <c r="BK121" i="50162"/>
  <c r="BM121" i="50162"/>
  <c r="BO121" i="50162" s="1"/>
  <c r="BN121" i="50162"/>
  <c r="BP121" i="50162"/>
  <c r="BS121" i="50162"/>
  <c r="BT121" i="50162" s="1"/>
  <c r="BU121" i="50162"/>
  <c r="BV121" i="50162"/>
  <c r="BW121" i="50162"/>
  <c r="BX121" i="50162"/>
  <c r="BY121" i="50162"/>
  <c r="BZ121" i="50162" s="1"/>
  <c r="CA121" i="50162"/>
  <c r="CB121" i="50162"/>
  <c r="CC121" i="50162" s="1"/>
  <c r="AG122" i="50162"/>
  <c r="AH122" i="50162"/>
  <c r="BG122" i="50162"/>
  <c r="BJ122" i="50162"/>
  <c r="BK122" i="50162"/>
  <c r="BL122" i="50162"/>
  <c r="BM122" i="50162"/>
  <c r="BN122" i="50162" s="1"/>
  <c r="BO122" i="50162"/>
  <c r="BP122" i="50162"/>
  <c r="BR122" i="50162" s="1"/>
  <c r="BQ122" i="50162"/>
  <c r="BS122" i="50162"/>
  <c r="BV122" i="50162"/>
  <c r="BX122" i="50162" s="1"/>
  <c r="BY122" i="50162"/>
  <c r="CB122" i="50162"/>
  <c r="CD122" i="50162" s="1"/>
  <c r="CC122" i="50162"/>
  <c r="AG123" i="50162"/>
  <c r="AH123" i="50162"/>
  <c r="BG123" i="50162"/>
  <c r="BH123" i="50162" s="1"/>
  <c r="BI123" i="50162"/>
  <c r="BJ123" i="50162"/>
  <c r="BK123" i="50162" s="1"/>
  <c r="BM123" i="50162"/>
  <c r="BN123" i="50162" s="1"/>
  <c r="BP123" i="50162"/>
  <c r="BQ123" i="50162"/>
  <c r="BR123" i="50162"/>
  <c r="BS123" i="50162"/>
  <c r="BT123" i="50162" s="1"/>
  <c r="BV123" i="50162"/>
  <c r="BY123" i="50162"/>
  <c r="BZ123" i="50162" s="1"/>
  <c r="CA123" i="50162"/>
  <c r="CB123" i="50162"/>
  <c r="AG124" i="50162"/>
  <c r="AH124" i="50162"/>
  <c r="BG124" i="50162"/>
  <c r="BI124" i="50162" s="1"/>
  <c r="BH124" i="50162"/>
  <c r="BJ124" i="50162"/>
  <c r="BL124" i="50162" s="1"/>
  <c r="BM124" i="50162"/>
  <c r="BN124" i="50162" s="1"/>
  <c r="BP124" i="50162"/>
  <c r="BQ124" i="50162" s="1"/>
  <c r="BS124" i="50162"/>
  <c r="BT124" i="50162" s="1"/>
  <c r="BV124" i="50162"/>
  <c r="BY124" i="50162"/>
  <c r="BZ124" i="50162" s="1"/>
  <c r="CB124" i="50162"/>
  <c r="CD124" i="50162" s="1"/>
  <c r="CC124" i="50162"/>
  <c r="AG125" i="50162"/>
  <c r="AH125" i="50162"/>
  <c r="BG125" i="50162"/>
  <c r="BJ125" i="50162"/>
  <c r="BL125" i="50162" s="1"/>
  <c r="BM125" i="50162"/>
  <c r="BO125" i="50162" s="1"/>
  <c r="BP125" i="50162"/>
  <c r="BS125" i="50162"/>
  <c r="BT125" i="50162" s="1"/>
  <c r="BV125" i="50162"/>
  <c r="BY125" i="50162"/>
  <c r="BZ125" i="50162" s="1"/>
  <c r="CB125" i="50162"/>
  <c r="CD125" i="50162" s="1"/>
  <c r="CC125" i="50162"/>
  <c r="AG126" i="50162"/>
  <c r="AH126" i="50162"/>
  <c r="BG126" i="50162"/>
  <c r="BJ126" i="50162"/>
  <c r="BK126" i="50162" s="1"/>
  <c r="BM126" i="50162"/>
  <c r="BN126" i="50162" s="1"/>
  <c r="BP126" i="50162"/>
  <c r="BS126" i="50162"/>
  <c r="BV126" i="50162"/>
  <c r="BX126" i="50162" s="1"/>
  <c r="BY126" i="50162"/>
  <c r="BZ126" i="50162" s="1"/>
  <c r="CA126" i="50162"/>
  <c r="CB126" i="50162"/>
  <c r="CC126" i="50162" s="1"/>
  <c r="CD126" i="50162"/>
  <c r="AG127" i="50162"/>
  <c r="AH127" i="50162"/>
  <c r="BG127" i="50162"/>
  <c r="BH127" i="50162" s="1"/>
  <c r="BJ127" i="50162"/>
  <c r="BK127" i="50162" s="1"/>
  <c r="BM127" i="50162"/>
  <c r="BN127" i="50162" s="1"/>
  <c r="BP127" i="50162"/>
  <c r="BQ127" i="50162"/>
  <c r="BR127" i="50162"/>
  <c r="BS127" i="50162"/>
  <c r="BT127" i="50162" s="1"/>
  <c r="BU127" i="50162"/>
  <c r="BV127" i="50162"/>
  <c r="BX127" i="50162" s="1"/>
  <c r="BW127" i="50162"/>
  <c r="BY127" i="50162"/>
  <c r="BZ127" i="50162" s="1"/>
  <c r="CB127" i="50162"/>
  <c r="AG128" i="50162"/>
  <c r="AH128" i="50162"/>
  <c r="BG128" i="50162"/>
  <c r="BI128" i="50162" s="1"/>
  <c r="BJ128" i="50162"/>
  <c r="BL128" i="50162" s="1"/>
  <c r="BK128" i="50162"/>
  <c r="BM128" i="50162"/>
  <c r="BN128" i="50162" s="1"/>
  <c r="BO128" i="50162"/>
  <c r="BP128" i="50162"/>
  <c r="BQ128" i="50162" s="1"/>
  <c r="BS128" i="50162"/>
  <c r="BT128" i="50162" s="1"/>
  <c r="BU128" i="50162"/>
  <c r="BV128" i="50162"/>
  <c r="BW128" i="50162"/>
  <c r="BX128" i="50162"/>
  <c r="BY128" i="50162"/>
  <c r="BZ128" i="50162" s="1"/>
  <c r="CB128" i="50162"/>
  <c r="AG129" i="50162"/>
  <c r="AH129" i="50162"/>
  <c r="BG129" i="50162"/>
  <c r="BJ129" i="50162"/>
  <c r="BL129" i="50162" s="1"/>
  <c r="BK129" i="50162"/>
  <c r="BM129" i="50162"/>
  <c r="BO129" i="50162" s="1"/>
  <c r="BN129" i="50162"/>
  <c r="BP129" i="50162"/>
  <c r="BS129" i="50162"/>
  <c r="BT129" i="50162" s="1"/>
  <c r="BU129" i="50162"/>
  <c r="BV129" i="50162"/>
  <c r="BW129" i="50162"/>
  <c r="BX129" i="50162"/>
  <c r="BY129" i="50162"/>
  <c r="BZ129" i="50162" s="1"/>
  <c r="CA129" i="50162"/>
  <c r="CB129" i="50162"/>
  <c r="CC129" i="50162" s="1"/>
  <c r="AG130" i="50162"/>
  <c r="AH130" i="50162"/>
  <c r="BG130" i="50162"/>
  <c r="BJ130" i="50162"/>
  <c r="BK130" i="50162"/>
  <c r="BL130" i="50162"/>
  <c r="BM130" i="50162"/>
  <c r="BN130" i="50162" s="1"/>
  <c r="BO130" i="50162"/>
  <c r="BP130" i="50162"/>
  <c r="BR130" i="50162" s="1"/>
  <c r="BQ130" i="50162"/>
  <c r="BS130" i="50162"/>
  <c r="BV130" i="50162"/>
  <c r="BX130" i="50162" s="1"/>
  <c r="BY130" i="50162"/>
  <c r="CB130" i="50162"/>
  <c r="CD130" i="50162" s="1"/>
  <c r="CC130" i="50162"/>
  <c r="AG131" i="50162"/>
  <c r="AH131" i="50162"/>
  <c r="BG131" i="50162"/>
  <c r="BH131" i="50162" s="1"/>
  <c r="BI131" i="50162"/>
  <c r="BJ131" i="50162"/>
  <c r="BK131" i="50162" s="1"/>
  <c r="BM131" i="50162"/>
  <c r="BN131" i="50162" s="1"/>
  <c r="BP131" i="50162"/>
  <c r="BQ131" i="50162" s="1"/>
  <c r="BS131" i="50162"/>
  <c r="BT131" i="50162" s="1"/>
  <c r="BU131" i="50162"/>
  <c r="BV131" i="50162"/>
  <c r="BX131" i="50162" s="1"/>
  <c r="BY131" i="50162"/>
  <c r="BZ131" i="50162" s="1"/>
  <c r="CB131" i="50162"/>
  <c r="CC131" i="50162" s="1"/>
  <c r="CD131" i="50162"/>
  <c r="AG132" i="50162"/>
  <c r="AH132" i="50162"/>
  <c r="BG132" i="50162"/>
  <c r="BH132" i="50162" s="1"/>
  <c r="BJ132" i="50162"/>
  <c r="BK132" i="50162" s="1"/>
  <c r="BL132" i="50162"/>
  <c r="BM132" i="50162"/>
  <c r="BN132" i="50162" s="1"/>
  <c r="BP132" i="50162"/>
  <c r="BQ132" i="50162" s="1"/>
  <c r="BS132" i="50162"/>
  <c r="BT132" i="50162" s="1"/>
  <c r="BU132" i="50162"/>
  <c r="BV132" i="50162"/>
  <c r="BW132" i="50162" s="1"/>
  <c r="BY132" i="50162"/>
  <c r="CA132" i="50162" s="1"/>
  <c r="BZ132" i="50162"/>
  <c r="CB132" i="50162"/>
  <c r="AG133" i="50162"/>
  <c r="AH133" i="50162"/>
  <c r="BG133" i="50162"/>
  <c r="BH133" i="50162" s="1"/>
  <c r="BJ133" i="50162"/>
  <c r="BL133" i="50162" s="1"/>
  <c r="BK133" i="50162"/>
  <c r="BM133" i="50162"/>
  <c r="BN133" i="50162" s="1"/>
  <c r="BP133" i="50162"/>
  <c r="BQ133" i="50162"/>
  <c r="BR133" i="50162"/>
  <c r="BS133" i="50162"/>
  <c r="BT133" i="50162" s="1"/>
  <c r="BU133" i="50162"/>
  <c r="BV133" i="50162"/>
  <c r="BW133" i="50162" s="1"/>
  <c r="BY133" i="50162"/>
  <c r="CA133" i="50162" s="1"/>
  <c r="BZ133" i="50162"/>
  <c r="CB133" i="50162"/>
  <c r="AG134" i="50162"/>
  <c r="AH134" i="50162"/>
  <c r="BG134" i="50162"/>
  <c r="BI134" i="50162" s="1"/>
  <c r="BH134" i="50162"/>
  <c r="BJ134" i="50162"/>
  <c r="BM134" i="50162"/>
  <c r="BO134" i="50162" s="1"/>
  <c r="BP134" i="50162"/>
  <c r="BR134" i="50162" s="1"/>
  <c r="BQ134" i="50162"/>
  <c r="BS134" i="50162"/>
  <c r="BT134" i="50162"/>
  <c r="BU134" i="50162"/>
  <c r="BV134" i="50162"/>
  <c r="BX134" i="50162" s="1"/>
  <c r="BW134" i="50162"/>
  <c r="BY134" i="50162"/>
  <c r="BZ134" i="50162" s="1"/>
  <c r="CA134" i="50162"/>
  <c r="CB134" i="50162"/>
  <c r="CC134" i="50162" s="1"/>
  <c r="CD134" i="50162"/>
  <c r="AG135" i="50162"/>
  <c r="AH135" i="50162"/>
  <c r="BG135" i="50162"/>
  <c r="BH135" i="50162" s="1"/>
  <c r="BJ135" i="50162"/>
  <c r="BK135" i="50162" s="1"/>
  <c r="BM135" i="50162"/>
  <c r="BN135" i="50162" s="1"/>
  <c r="BP135" i="50162"/>
  <c r="BQ135" i="50162"/>
  <c r="BR135" i="50162"/>
  <c r="BS135" i="50162"/>
  <c r="BU135" i="50162" s="1"/>
  <c r="BT135" i="50162"/>
  <c r="BV135" i="50162"/>
  <c r="BX135" i="50162" s="1"/>
  <c r="BW135" i="50162"/>
  <c r="BY135" i="50162"/>
  <c r="BZ135" i="50162"/>
  <c r="CA135" i="50162"/>
  <c r="CB135" i="50162"/>
  <c r="CD135" i="50162" s="1"/>
  <c r="CC135" i="50162"/>
  <c r="AG136" i="50162"/>
  <c r="AH136" i="50162"/>
  <c r="BG136" i="50162"/>
  <c r="BH136" i="50162"/>
  <c r="BI136" i="50162"/>
  <c r="BJ136" i="50162"/>
  <c r="BL136" i="50162" s="1"/>
  <c r="BK136" i="50162"/>
  <c r="BM136" i="50162"/>
  <c r="BN136" i="50162" s="1"/>
  <c r="BO136" i="50162"/>
  <c r="BP136" i="50162"/>
  <c r="BQ136" i="50162"/>
  <c r="BR136" i="50162"/>
  <c r="BS136" i="50162"/>
  <c r="BU136" i="50162" s="1"/>
  <c r="BT136" i="50162"/>
  <c r="BV136" i="50162"/>
  <c r="BX136" i="50162" s="1"/>
  <c r="BW136" i="50162"/>
  <c r="BY136" i="50162"/>
  <c r="CB136" i="50162"/>
  <c r="AG137" i="50162"/>
  <c r="AH137" i="50162"/>
  <c r="BG137" i="50162"/>
  <c r="BI137" i="50162" s="1"/>
  <c r="BH137" i="50162"/>
  <c r="BJ137" i="50162"/>
  <c r="BM137" i="50162"/>
  <c r="BN137" i="50162" s="1"/>
  <c r="BP137" i="50162"/>
  <c r="BQ137" i="50162" s="1"/>
  <c r="BS137" i="50162"/>
  <c r="BT137" i="50162" s="1"/>
  <c r="BV137" i="50162"/>
  <c r="BW137" i="50162" s="1"/>
  <c r="BY137" i="50162"/>
  <c r="BZ137" i="50162" s="1"/>
  <c r="CB137" i="50162"/>
  <c r="CC137" i="50162"/>
  <c r="CD137" i="50162"/>
  <c r="AG138" i="50162"/>
  <c r="AH138" i="50162"/>
  <c r="BG138" i="50162"/>
  <c r="BH138" i="50162" s="1"/>
  <c r="BJ138" i="50162"/>
  <c r="BK138" i="50162"/>
  <c r="BL138" i="50162"/>
  <c r="BM138" i="50162"/>
  <c r="BO138" i="50162" s="1"/>
  <c r="BN138" i="50162"/>
  <c r="BP138" i="50162"/>
  <c r="BR138" i="50162" s="1"/>
  <c r="BS138" i="50162"/>
  <c r="BT138" i="50162" s="1"/>
  <c r="BV138" i="50162"/>
  <c r="BX138" i="50162" s="1"/>
  <c r="BY138" i="50162"/>
  <c r="CB138" i="50162"/>
  <c r="CD138" i="50162" s="1"/>
  <c r="CC138" i="50162"/>
  <c r="AG139" i="50162"/>
  <c r="AH139" i="50162"/>
  <c r="BG139" i="50162"/>
  <c r="BH139" i="50162" s="1"/>
  <c r="BI139" i="50162"/>
  <c r="BJ139" i="50162"/>
  <c r="BK139" i="50162" s="1"/>
  <c r="BM139" i="50162"/>
  <c r="BN139" i="50162" s="1"/>
  <c r="BP139" i="50162"/>
  <c r="BQ139" i="50162"/>
  <c r="BR139" i="50162"/>
  <c r="BS139" i="50162"/>
  <c r="BT139" i="50162"/>
  <c r="BU139" i="50162"/>
  <c r="BV139" i="50162"/>
  <c r="BX139" i="50162" s="1"/>
  <c r="BW139" i="50162"/>
  <c r="BY139" i="50162"/>
  <c r="BZ139" i="50162"/>
  <c r="CA139" i="50162"/>
  <c r="CB139" i="50162"/>
  <c r="CC139" i="50162"/>
  <c r="CD139" i="50162"/>
  <c r="AG140" i="50162"/>
  <c r="AH140" i="50162"/>
  <c r="BG140" i="50162"/>
  <c r="BH140" i="50162"/>
  <c r="BI140" i="50162"/>
  <c r="BJ140" i="50162"/>
  <c r="BK140" i="50162"/>
  <c r="BL140" i="50162"/>
  <c r="BM140" i="50162"/>
  <c r="BO140" i="50162" s="1"/>
  <c r="BN140" i="50162"/>
  <c r="BP140" i="50162"/>
  <c r="BR140" i="50162" s="1"/>
  <c r="BQ140" i="50162"/>
  <c r="BS140" i="50162"/>
  <c r="BV140" i="50162"/>
  <c r="BW140" i="50162" s="1"/>
  <c r="BX140" i="50162"/>
  <c r="BY140" i="50162"/>
  <c r="BZ140" i="50162" s="1"/>
  <c r="CB140" i="50162"/>
  <c r="CC140" i="50162" s="1"/>
  <c r="AG141" i="50162"/>
  <c r="AH141" i="50162"/>
  <c r="BG141" i="50162"/>
  <c r="BH141" i="50162" s="1"/>
  <c r="BJ141" i="50162"/>
  <c r="BM141" i="50162"/>
  <c r="BO141" i="50162" s="1"/>
  <c r="BN141" i="50162"/>
  <c r="BP141" i="50162"/>
  <c r="BR141" i="50162" s="1"/>
  <c r="BQ141" i="50162"/>
  <c r="BS141" i="50162"/>
  <c r="BV141" i="50162"/>
  <c r="BX141" i="50162" s="1"/>
  <c r="BW141" i="50162"/>
  <c r="BY141" i="50162"/>
  <c r="CB141" i="50162"/>
  <c r="CC141" i="50162" s="1"/>
  <c r="CD141" i="50162"/>
  <c r="AG142" i="50162"/>
  <c r="AH142" i="50162"/>
  <c r="AG143" i="50162"/>
  <c r="AH143" i="50162"/>
  <c r="AG144" i="50162"/>
  <c r="AH144" i="50162"/>
  <c r="AG145" i="50162"/>
  <c r="AH145" i="50162"/>
  <c r="AG146" i="50162"/>
  <c r="AH146" i="50162"/>
  <c r="AG147" i="50162"/>
  <c r="AH147" i="50162"/>
  <c r="AG148" i="50162"/>
  <c r="AH148" i="50162"/>
  <c r="AG149" i="50162"/>
  <c r="AH149" i="50162"/>
  <c r="AG150" i="50162"/>
  <c r="AH150" i="50162"/>
  <c r="AG151" i="50162"/>
  <c r="AH151" i="50162"/>
  <c r="AG152" i="50162"/>
  <c r="AH152" i="50162"/>
  <c r="AG153" i="50162"/>
  <c r="AH153" i="50162"/>
  <c r="AG154" i="50162"/>
  <c r="AH154" i="50162"/>
  <c r="AG155" i="50162"/>
  <c r="AH155" i="50162"/>
  <c r="AG156" i="50162"/>
  <c r="AH156" i="50162"/>
  <c r="AG157" i="50162"/>
  <c r="AH157" i="50162"/>
  <c r="AG158" i="50162"/>
  <c r="AH158" i="50162"/>
  <c r="AG159" i="50162"/>
  <c r="AH159" i="50162"/>
  <c r="B160" i="50162"/>
  <c r="E160" i="50162"/>
  <c r="AG160" i="50162"/>
  <c r="AH160" i="50162"/>
  <c r="B161" i="50162"/>
  <c r="E161" i="50162"/>
  <c r="AG161" i="50162"/>
  <c r="AH161" i="50162"/>
  <c r="E162" i="50162"/>
  <c r="AG162" i="50162"/>
  <c r="AH162" i="50162"/>
  <c r="AG163" i="50162"/>
  <c r="AH163" i="50162"/>
  <c r="AG164" i="50162"/>
  <c r="AH164" i="50162"/>
  <c r="AG165" i="50162"/>
  <c r="AH165" i="50162"/>
  <c r="AG166" i="50162"/>
  <c r="AH166" i="50162"/>
  <c r="AG167" i="50162"/>
  <c r="AH167" i="50162"/>
  <c r="AG168" i="50162"/>
  <c r="AH168" i="50162"/>
  <c r="AG169" i="50162"/>
  <c r="AH169" i="50162"/>
  <c r="AG170" i="50162"/>
  <c r="AH170" i="50162"/>
  <c r="AG171" i="50162"/>
  <c r="AH171" i="50162"/>
  <c r="AG172" i="50162"/>
  <c r="AH172" i="50162"/>
  <c r="AG173" i="50162"/>
  <c r="AH173" i="50162"/>
  <c r="AG174" i="50162"/>
  <c r="AH174" i="50162"/>
  <c r="AG175" i="50162"/>
  <c r="AH175" i="50162"/>
  <c r="AG176" i="50162"/>
  <c r="AH176" i="50162"/>
  <c r="AG177" i="50162"/>
  <c r="AH177" i="50162"/>
  <c r="AG178" i="50162"/>
  <c r="AH178" i="50162"/>
  <c r="AG179" i="50162"/>
  <c r="AH179" i="50162"/>
  <c r="AG180" i="50162"/>
  <c r="AH180" i="50162"/>
  <c r="AG181" i="50162"/>
  <c r="AH181" i="50162"/>
  <c r="AG182" i="50162"/>
  <c r="AH182" i="50162"/>
  <c r="AG183" i="50162"/>
  <c r="AH183" i="50162"/>
  <c r="AG184" i="50162"/>
  <c r="AH184" i="50162"/>
  <c r="AG185" i="50162"/>
  <c r="AH185" i="50162"/>
  <c r="AG186" i="50162"/>
  <c r="AH186" i="50162"/>
  <c r="AG187" i="50162"/>
  <c r="AH187" i="50162"/>
  <c r="AG188" i="50162"/>
  <c r="AH188" i="50162"/>
  <c r="AG189" i="50162"/>
  <c r="AH189" i="50162"/>
  <c r="AG190" i="50162"/>
  <c r="AH190" i="50162"/>
  <c r="AG191" i="50162"/>
  <c r="AH191" i="50162"/>
  <c r="AG192" i="50162"/>
  <c r="AH192" i="50162"/>
  <c r="AG193" i="50162"/>
  <c r="AH193" i="50162"/>
  <c r="AG194" i="50162"/>
  <c r="AH194" i="50162"/>
  <c r="AG195" i="50162"/>
  <c r="AH195" i="50162"/>
  <c r="AG196" i="50162"/>
  <c r="AH196" i="50162"/>
  <c r="AG197" i="50162"/>
  <c r="AH197" i="50162"/>
  <c r="AG198" i="50162"/>
  <c r="AH198" i="50162"/>
  <c r="AG199" i="50162"/>
  <c r="AH199" i="50162"/>
  <c r="AG200" i="50162"/>
  <c r="AH200" i="50162"/>
  <c r="AG201" i="50162"/>
  <c r="AH201" i="50162"/>
  <c r="AG202" i="50162"/>
  <c r="AH202" i="50162"/>
  <c r="AG203" i="50162"/>
  <c r="AH203" i="50162"/>
  <c r="AG204" i="50162"/>
  <c r="AH204" i="50162"/>
  <c r="AG205" i="50162"/>
  <c r="AH205" i="50162"/>
  <c r="AG206" i="50162"/>
  <c r="AH206" i="50162"/>
  <c r="AG207" i="50162"/>
  <c r="AH207" i="50162"/>
  <c r="AG208" i="50162"/>
  <c r="AH208" i="50162"/>
  <c r="AG209" i="50162"/>
  <c r="AH209" i="50162"/>
  <c r="AG210" i="50162"/>
  <c r="AH210" i="50162"/>
  <c r="AG211" i="50162"/>
  <c r="AH211" i="50162"/>
  <c r="AG212" i="50162"/>
  <c r="AH212" i="50162"/>
  <c r="AG213" i="50162"/>
  <c r="AH213" i="50162"/>
  <c r="AG214" i="50162"/>
  <c r="AH214" i="50162"/>
  <c r="AG215" i="50162"/>
  <c r="AH215" i="50162"/>
  <c r="AG216" i="50162"/>
  <c r="AH216" i="50162"/>
  <c r="AG217" i="50162"/>
  <c r="AH217" i="50162"/>
  <c r="AG218" i="50162"/>
  <c r="AH218" i="50162"/>
  <c r="AG219" i="50162"/>
  <c r="AH219" i="50162"/>
  <c r="AG220" i="50162"/>
  <c r="AH220" i="50162"/>
  <c r="AG221" i="50162"/>
  <c r="AH221" i="50162"/>
  <c r="AG222" i="50162"/>
  <c r="AH222" i="50162"/>
  <c r="AG223" i="50162"/>
  <c r="AH223" i="50162"/>
  <c r="AG224" i="50162"/>
  <c r="AH224" i="50162"/>
  <c r="AG225" i="50162"/>
  <c r="AH225" i="50162"/>
  <c r="AG226" i="50162"/>
  <c r="AH226" i="50162"/>
  <c r="AG227" i="50162"/>
  <c r="AH227" i="50162"/>
  <c r="AG228" i="50162"/>
  <c r="AH228" i="50162"/>
  <c r="AG229" i="50162"/>
  <c r="AH229" i="50162"/>
  <c r="AG230" i="50162"/>
  <c r="AH230" i="50162"/>
  <c r="AG231" i="50162"/>
  <c r="AH231" i="50162"/>
  <c r="AG232" i="50162"/>
  <c r="AH232" i="50162"/>
  <c r="AG233" i="50162"/>
  <c r="AH233" i="50162"/>
  <c r="AG234" i="50162"/>
  <c r="AH234" i="50162"/>
  <c r="AG235" i="50162"/>
  <c r="AH235" i="50162"/>
  <c r="AG236" i="50162"/>
  <c r="AH236" i="50162"/>
  <c r="AG237" i="50162"/>
  <c r="AH237" i="50162"/>
  <c r="AG238" i="50162"/>
  <c r="AH238" i="50162"/>
  <c r="AG239" i="50162"/>
  <c r="AH239" i="50162"/>
  <c r="AG240" i="50162"/>
  <c r="AH240" i="50162"/>
  <c r="AG241" i="50162"/>
  <c r="AH241" i="50162"/>
  <c r="AG242" i="50162"/>
  <c r="AH242" i="50162"/>
  <c r="AG243" i="50162"/>
  <c r="AH243" i="50162"/>
  <c r="AG244" i="50162"/>
  <c r="AH244" i="50162"/>
  <c r="AG245" i="50162"/>
  <c r="AH245" i="50162"/>
  <c r="AG246" i="50162"/>
  <c r="AH246" i="50162"/>
  <c r="AG247" i="50162"/>
  <c r="AH247" i="50162"/>
  <c r="AG248" i="50162"/>
  <c r="AH248" i="50162"/>
  <c r="AG249" i="50162"/>
  <c r="AH249" i="50162"/>
  <c r="AG250" i="50162"/>
  <c r="AH250" i="50162"/>
  <c r="AG251" i="50162"/>
  <c r="AH251" i="50162"/>
  <c r="AG252" i="50162"/>
  <c r="AH252" i="50162"/>
  <c r="AG253" i="50162"/>
  <c r="AH253" i="50162"/>
  <c r="AG254" i="50162"/>
  <c r="AH254" i="50162"/>
  <c r="AG255" i="50162"/>
  <c r="AH255" i="50162"/>
  <c r="AG256" i="50162"/>
  <c r="AH256" i="50162"/>
  <c r="AG257" i="50162"/>
  <c r="AH257" i="50162"/>
  <c r="AG258" i="50162"/>
  <c r="AH258" i="50162"/>
  <c r="AG259" i="50162"/>
  <c r="AH259" i="50162"/>
  <c r="AG260" i="50162"/>
  <c r="AH260" i="50162"/>
  <c r="AG261" i="50162"/>
  <c r="AH261" i="50162"/>
  <c r="AG262" i="50162"/>
  <c r="AH262" i="50162"/>
  <c r="AG263" i="50162"/>
  <c r="AH263" i="50162"/>
  <c r="AG264" i="50162"/>
  <c r="AH264" i="50162"/>
  <c r="AG265" i="50162"/>
  <c r="AH265" i="50162"/>
  <c r="AG266" i="50162"/>
  <c r="AH266" i="50162"/>
  <c r="AG267" i="50162"/>
  <c r="AH267" i="50162"/>
  <c r="AG268" i="50162"/>
  <c r="AH268" i="50162"/>
  <c r="AG269" i="50162"/>
  <c r="AH269" i="50162"/>
  <c r="AG270" i="50162"/>
  <c r="AH270" i="50162"/>
  <c r="AG271" i="50162"/>
  <c r="AH271" i="50162"/>
  <c r="AG272" i="50162"/>
  <c r="AH272" i="50162"/>
  <c r="AG273" i="50162"/>
  <c r="AH273" i="50162"/>
  <c r="AG274" i="50162"/>
  <c r="AH274" i="50162"/>
  <c r="AG275" i="50162"/>
  <c r="AH275" i="50162"/>
  <c r="AG276" i="50162"/>
  <c r="AH276" i="50162"/>
  <c r="AG277" i="50162"/>
  <c r="AH277" i="50162"/>
  <c r="AG278" i="50162"/>
  <c r="AH278" i="50162"/>
  <c r="AG279" i="50162"/>
  <c r="AH279" i="50162"/>
  <c r="AG280" i="50162"/>
  <c r="AH280" i="50162"/>
  <c r="AG281" i="50162"/>
  <c r="AH281" i="50162"/>
  <c r="AG282" i="50162"/>
  <c r="AH282" i="50162"/>
  <c r="AG283" i="50162"/>
  <c r="AH283" i="50162"/>
  <c r="AG284" i="50162"/>
  <c r="AH284" i="50162"/>
  <c r="AG285" i="50162"/>
  <c r="AH285" i="50162"/>
  <c r="AG286" i="50162"/>
  <c r="AH286" i="50162"/>
  <c r="AG287" i="50162"/>
  <c r="AH287" i="50162"/>
  <c r="AG288" i="50162"/>
  <c r="AH288" i="50162"/>
  <c r="AG289" i="50162"/>
  <c r="AH289" i="50162"/>
  <c r="AG290" i="50162"/>
  <c r="AH290" i="50162"/>
  <c r="AG291" i="50162"/>
  <c r="AH291" i="50162"/>
  <c r="AG292" i="50162"/>
  <c r="AH292" i="50162"/>
  <c r="AG293" i="50162"/>
  <c r="AH293" i="50162"/>
  <c r="AG294" i="50162"/>
  <c r="AH294" i="50162"/>
  <c r="AG295" i="50162"/>
  <c r="AH295" i="50162"/>
  <c r="AG296" i="50162"/>
  <c r="AH296" i="50162"/>
  <c r="AG297" i="50162"/>
  <c r="AH297" i="50162"/>
  <c r="AG298" i="50162"/>
  <c r="AH298" i="50162"/>
  <c r="AG299" i="50162"/>
  <c r="AH299" i="50162"/>
  <c r="AG300" i="50162"/>
  <c r="AH300" i="50162"/>
  <c r="AG301" i="50162"/>
  <c r="AH301" i="50162"/>
  <c r="AG302" i="50162"/>
  <c r="AH302" i="50162"/>
  <c r="AG303" i="50162"/>
  <c r="AH303" i="50162"/>
  <c r="AG304" i="50162"/>
  <c r="AH304" i="50162"/>
  <c r="A180" i="50162"/>
  <c r="D180" i="50162"/>
  <c r="E180" i="50162"/>
  <c r="G180" i="50162"/>
  <c r="H180" i="50162"/>
  <c r="I180" i="50162"/>
  <c r="J180" i="50162"/>
  <c r="K180" i="50162"/>
  <c r="L180" i="50162"/>
  <c r="M180" i="50162"/>
  <c r="N180" i="50162"/>
  <c r="O180" i="50162"/>
  <c r="P180" i="50162"/>
  <c r="Q180" i="50162"/>
  <c r="A181" i="50162"/>
  <c r="D181" i="50162"/>
  <c r="E181" i="50162"/>
  <c r="F181" i="50162"/>
  <c r="G181" i="50162"/>
  <c r="H181" i="50162"/>
  <c r="I181" i="50162"/>
  <c r="J181" i="50162"/>
  <c r="K181" i="50162"/>
  <c r="L181" i="50162"/>
  <c r="M181" i="50162"/>
  <c r="O181" i="50162"/>
  <c r="P181" i="50162"/>
  <c r="Q181" i="50162"/>
  <c r="R181" i="50162"/>
  <c r="A182" i="50162"/>
  <c r="D182" i="50162"/>
  <c r="E182" i="50162"/>
  <c r="F182" i="50162"/>
  <c r="G182" i="50162"/>
  <c r="H182" i="50162"/>
  <c r="I182" i="50162"/>
  <c r="J182" i="50162"/>
  <c r="K182" i="50162"/>
  <c r="L182" i="50162"/>
  <c r="M182" i="50162"/>
  <c r="N182" i="50162"/>
  <c r="P182" i="50162"/>
  <c r="Q182" i="50162"/>
  <c r="R182" i="50162"/>
  <c r="A183" i="50162"/>
  <c r="D183" i="50162"/>
  <c r="E183" i="50162"/>
  <c r="F183" i="50162"/>
  <c r="G183" i="50162"/>
  <c r="H183" i="50162"/>
  <c r="I183" i="50162"/>
  <c r="J183" i="50162"/>
  <c r="L183" i="50162"/>
  <c r="M183" i="50162"/>
  <c r="N183" i="50162"/>
  <c r="O183" i="50162"/>
  <c r="P183" i="50162"/>
  <c r="Q183" i="50162"/>
  <c r="R183" i="50162"/>
  <c r="A184" i="50162"/>
  <c r="D184" i="50162"/>
  <c r="E184" i="50162"/>
  <c r="F184" i="50162"/>
  <c r="G184" i="50162"/>
  <c r="H184" i="50162"/>
  <c r="I184" i="50162"/>
  <c r="J184" i="50162"/>
  <c r="K184" i="50162"/>
  <c r="M184" i="50162"/>
  <c r="N184" i="50162"/>
  <c r="O184" i="50162"/>
  <c r="P184" i="50162"/>
  <c r="Q184" i="50162"/>
  <c r="R184" i="50162"/>
  <c r="A185" i="50162"/>
  <c r="D185" i="50162"/>
  <c r="E185" i="50162"/>
  <c r="F185" i="50162"/>
  <c r="G185" i="50162"/>
  <c r="I185" i="50162"/>
  <c r="J185" i="50162"/>
  <c r="K185" i="50162"/>
  <c r="L185" i="50162"/>
  <c r="M185" i="50162"/>
  <c r="N185" i="50162"/>
  <c r="O185" i="50162"/>
  <c r="P185" i="50162"/>
  <c r="Q185" i="50162"/>
  <c r="R185" i="50162"/>
  <c r="A186" i="50162"/>
  <c r="D186" i="50162"/>
  <c r="E186" i="50162"/>
  <c r="F186" i="50162"/>
  <c r="G186" i="50162"/>
  <c r="H186" i="50162"/>
  <c r="J186" i="50162"/>
  <c r="K186" i="50162"/>
  <c r="L186" i="50162"/>
  <c r="M186" i="50162"/>
  <c r="N186" i="50162"/>
  <c r="O186" i="50162"/>
  <c r="P186" i="50162"/>
  <c r="Q186" i="50162"/>
  <c r="R186" i="50162"/>
  <c r="A187" i="50162"/>
  <c r="D187" i="50162"/>
  <c r="F187" i="50162"/>
  <c r="G187" i="50162"/>
  <c r="H187" i="50162"/>
  <c r="I187" i="50162"/>
  <c r="J187" i="50162"/>
  <c r="K187" i="50162"/>
  <c r="L187" i="50162"/>
  <c r="M187" i="50162"/>
  <c r="N187" i="50162"/>
  <c r="O187" i="50162"/>
  <c r="P187" i="50162"/>
  <c r="R187" i="50162"/>
  <c r="A188" i="50162"/>
  <c r="D188" i="50162"/>
  <c r="E188" i="50162"/>
  <c r="G188" i="50162"/>
  <c r="H188" i="50162"/>
  <c r="I188" i="50162"/>
  <c r="J188" i="50162"/>
  <c r="K188" i="50162"/>
  <c r="L188" i="50162"/>
  <c r="M188" i="50162"/>
  <c r="N188" i="50162"/>
  <c r="O188" i="50162"/>
  <c r="P188" i="50162"/>
  <c r="Q188" i="50162"/>
  <c r="A189" i="50162"/>
  <c r="D189" i="50162"/>
  <c r="E189" i="50162"/>
  <c r="F189" i="50162"/>
  <c r="G189" i="50162"/>
  <c r="H189" i="50162"/>
  <c r="I189" i="50162"/>
  <c r="J189" i="50162"/>
  <c r="K189" i="50162"/>
  <c r="L189" i="50162"/>
  <c r="M189" i="50162"/>
  <c r="O189" i="50162"/>
  <c r="P189" i="50162"/>
  <c r="Q189" i="50162"/>
  <c r="R189" i="50162"/>
  <c r="A190" i="50162"/>
  <c r="D190" i="50162"/>
  <c r="E190" i="50162"/>
  <c r="F190" i="50162"/>
  <c r="G190" i="50162"/>
  <c r="H190" i="50162"/>
  <c r="I190" i="50162"/>
  <c r="J190" i="50162"/>
  <c r="K190" i="50162"/>
  <c r="L190" i="50162"/>
  <c r="M190" i="50162"/>
  <c r="N190" i="50162"/>
  <c r="P190" i="50162"/>
  <c r="Q190" i="50162"/>
  <c r="R190" i="50162"/>
  <c r="A191" i="50162"/>
  <c r="D191" i="50162"/>
  <c r="E191" i="50162"/>
  <c r="F191" i="50162"/>
  <c r="G191" i="50162"/>
  <c r="H191" i="50162"/>
  <c r="I191" i="50162"/>
  <c r="J191" i="50162"/>
  <c r="L191" i="50162"/>
  <c r="M191" i="50162"/>
  <c r="N191" i="50162"/>
  <c r="O191" i="50162"/>
  <c r="P191" i="50162"/>
  <c r="Q191" i="50162"/>
  <c r="R191" i="50162"/>
  <c r="A192" i="50162"/>
  <c r="D192" i="50162"/>
  <c r="E192" i="50162"/>
  <c r="F192" i="50162"/>
  <c r="G192" i="50162"/>
  <c r="H192" i="50162"/>
  <c r="I192" i="50162"/>
  <c r="J192" i="50162"/>
  <c r="K192" i="50162"/>
  <c r="M192" i="50162"/>
  <c r="N192" i="50162"/>
  <c r="O192" i="50162"/>
  <c r="P192" i="50162"/>
  <c r="Q192" i="50162"/>
  <c r="R192" i="50162"/>
  <c r="A193" i="50162"/>
  <c r="D193" i="50162"/>
  <c r="E193" i="50162"/>
  <c r="F193" i="50162"/>
  <c r="G193" i="50162"/>
  <c r="I193" i="50162"/>
  <c r="J193" i="50162"/>
  <c r="K193" i="50162"/>
  <c r="L193" i="50162"/>
  <c r="M193" i="50162"/>
  <c r="N193" i="50162"/>
  <c r="O193" i="50162"/>
  <c r="P193" i="50162"/>
  <c r="Q193" i="50162"/>
  <c r="R193" i="50162"/>
  <c r="A194" i="50162"/>
  <c r="D194" i="50162"/>
  <c r="E194" i="50162"/>
  <c r="F194" i="50162"/>
  <c r="G194" i="50162"/>
  <c r="H194" i="50162"/>
  <c r="J194" i="50162"/>
  <c r="K194" i="50162"/>
  <c r="L194" i="50162"/>
  <c r="M194" i="50162"/>
  <c r="N194" i="50162"/>
  <c r="O194" i="50162"/>
  <c r="P194" i="50162"/>
  <c r="Q194" i="50162"/>
  <c r="R194" i="50162"/>
  <c r="A195" i="50162"/>
  <c r="D195" i="50162"/>
  <c r="F195" i="50162"/>
  <c r="G195" i="50162"/>
  <c r="H195" i="50162"/>
  <c r="I195" i="50162"/>
  <c r="J195" i="50162"/>
  <c r="K195" i="50162"/>
  <c r="L195" i="50162"/>
  <c r="M195" i="50162"/>
  <c r="N195" i="50162"/>
  <c r="O195" i="50162"/>
  <c r="P195" i="50162"/>
  <c r="R195" i="50162"/>
  <c r="A196" i="50162"/>
  <c r="D196" i="50162"/>
  <c r="E196" i="50162"/>
  <c r="G196" i="50162"/>
  <c r="H196" i="50162"/>
  <c r="I196" i="50162"/>
  <c r="J196" i="50162"/>
  <c r="K196" i="50162"/>
  <c r="L196" i="50162"/>
  <c r="M196" i="50162"/>
  <c r="N196" i="50162"/>
  <c r="O196" i="50162"/>
  <c r="P196" i="50162"/>
  <c r="Q196" i="50162"/>
  <c r="A197" i="50162"/>
  <c r="D197" i="50162"/>
  <c r="E197" i="50162"/>
  <c r="F197" i="50162"/>
  <c r="G197" i="50162"/>
  <c r="H197" i="50162"/>
  <c r="I197" i="50162"/>
  <c r="J197" i="50162"/>
  <c r="K197" i="50162"/>
  <c r="L197" i="50162"/>
  <c r="M197" i="50162"/>
  <c r="O197" i="50162"/>
  <c r="P197" i="50162"/>
  <c r="Q197" i="50162"/>
  <c r="R197" i="50162"/>
  <c r="A198" i="50162"/>
  <c r="D198" i="50162"/>
  <c r="E198" i="50162"/>
  <c r="F198" i="50162"/>
  <c r="G198" i="50162"/>
  <c r="H198" i="50162"/>
  <c r="I198" i="50162"/>
  <c r="J198" i="50162"/>
  <c r="K198" i="50162"/>
  <c r="L198" i="50162"/>
  <c r="M198" i="50162"/>
  <c r="N198" i="50162"/>
  <c r="P198" i="50162"/>
  <c r="Q198" i="50162"/>
  <c r="R198" i="50162"/>
  <c r="A199" i="50162"/>
  <c r="D199" i="50162"/>
  <c r="E199" i="50162"/>
  <c r="F199" i="50162"/>
  <c r="G199" i="50162"/>
  <c r="H199" i="50162"/>
  <c r="I199" i="50162"/>
  <c r="J199" i="50162"/>
  <c r="L199" i="50162"/>
  <c r="M199" i="50162"/>
  <c r="N199" i="50162"/>
  <c r="O199" i="50162"/>
  <c r="P199" i="50162"/>
  <c r="Q199" i="50162"/>
  <c r="R199" i="50162"/>
  <c r="A200" i="50162"/>
  <c r="D200" i="50162"/>
  <c r="E200" i="50162"/>
  <c r="F200" i="50162"/>
  <c r="G200" i="50162"/>
  <c r="H200" i="50162"/>
  <c r="I200" i="50162"/>
  <c r="J200" i="50162"/>
  <c r="K200" i="50162"/>
  <c r="M200" i="50162"/>
  <c r="N200" i="50162"/>
  <c r="O200" i="50162"/>
  <c r="P200" i="50162"/>
  <c r="Q200" i="50162"/>
  <c r="R200" i="50162"/>
  <c r="A201" i="50162"/>
  <c r="D201" i="50162"/>
  <c r="E201" i="50162"/>
  <c r="F201" i="50162"/>
  <c r="G201" i="50162"/>
  <c r="I201" i="50162"/>
  <c r="J201" i="50162"/>
  <c r="K201" i="50162"/>
  <c r="L201" i="50162"/>
  <c r="M201" i="50162"/>
  <c r="N201" i="50162"/>
  <c r="O201" i="50162"/>
  <c r="P201" i="50162"/>
  <c r="Q201" i="50162"/>
  <c r="R201" i="50162"/>
  <c r="A202" i="50162"/>
  <c r="D202" i="50162"/>
  <c r="E202" i="50162"/>
  <c r="F202" i="50162"/>
  <c r="G202" i="50162"/>
  <c r="H202" i="50162"/>
  <c r="J202" i="50162"/>
  <c r="K202" i="50162"/>
  <c r="L202" i="50162"/>
  <c r="M202" i="50162"/>
  <c r="N202" i="50162"/>
  <c r="O202" i="50162"/>
  <c r="P202" i="50162"/>
  <c r="Q202" i="50162"/>
  <c r="R202" i="50162"/>
  <c r="A203" i="50162"/>
  <c r="D203" i="50162"/>
  <c r="F203" i="50162"/>
  <c r="G203" i="50162"/>
  <c r="H203" i="50162"/>
  <c r="I203" i="50162"/>
  <c r="J203" i="50162"/>
  <c r="K203" i="50162"/>
  <c r="L203" i="50162"/>
  <c r="M203" i="50162"/>
  <c r="N203" i="50162"/>
  <c r="O203" i="50162"/>
  <c r="P203" i="50162"/>
  <c r="R203" i="50162"/>
  <c r="A204" i="50162"/>
  <c r="D204" i="50162"/>
  <c r="E204" i="50162"/>
  <c r="G204" i="50162"/>
  <c r="H204" i="50162"/>
  <c r="I204" i="50162"/>
  <c r="J204" i="50162"/>
  <c r="K204" i="50162"/>
  <c r="L204" i="50162"/>
  <c r="M204" i="50162"/>
  <c r="N204" i="50162"/>
  <c r="O204" i="50162"/>
  <c r="P204" i="50162"/>
  <c r="Q204" i="50162"/>
  <c r="A205" i="50162"/>
  <c r="D205" i="50162"/>
  <c r="E205" i="50162"/>
  <c r="F205" i="50162"/>
  <c r="G205" i="50162"/>
  <c r="H205" i="50162"/>
  <c r="I205" i="50162"/>
  <c r="J205" i="50162"/>
  <c r="K205" i="50162"/>
  <c r="L205" i="50162"/>
  <c r="M205" i="50162"/>
  <c r="O205" i="50162"/>
  <c r="P205" i="50162"/>
  <c r="Q205" i="50162"/>
  <c r="R205" i="50162"/>
  <c r="A206" i="50162"/>
  <c r="D206" i="50162"/>
  <c r="E206" i="50162"/>
  <c r="F206" i="50162"/>
  <c r="G206" i="50162"/>
  <c r="H206" i="50162"/>
  <c r="I206" i="50162"/>
  <c r="J206" i="50162"/>
  <c r="K206" i="50162"/>
  <c r="L206" i="50162"/>
  <c r="M206" i="50162"/>
  <c r="N206" i="50162"/>
  <c r="P206" i="50162"/>
  <c r="Q206" i="50162"/>
  <c r="R206" i="50162"/>
  <c r="A207" i="50162"/>
  <c r="D207" i="50162"/>
  <c r="E207" i="50162"/>
  <c r="F207" i="50162"/>
  <c r="G207" i="50162"/>
  <c r="H207" i="50162"/>
  <c r="I207" i="50162"/>
  <c r="J207" i="50162"/>
  <c r="L207" i="50162"/>
  <c r="M207" i="50162"/>
  <c r="N207" i="50162"/>
  <c r="O207" i="50162"/>
  <c r="P207" i="50162"/>
  <c r="Q207" i="50162"/>
  <c r="R207" i="50162"/>
  <c r="A208" i="50162"/>
  <c r="D208" i="50162"/>
  <c r="E208" i="50162"/>
  <c r="F208" i="50162"/>
  <c r="G208" i="50162"/>
  <c r="H208" i="50162"/>
  <c r="I208" i="50162"/>
  <c r="J208" i="50162"/>
  <c r="K208" i="50162"/>
  <c r="M208" i="50162"/>
  <c r="N208" i="50162"/>
  <c r="O208" i="50162"/>
  <c r="P208" i="50162"/>
  <c r="Q208" i="50162"/>
  <c r="R208" i="50162"/>
  <c r="A209" i="50162"/>
  <c r="D209" i="50162"/>
  <c r="E209" i="50162"/>
  <c r="F209" i="50162"/>
  <c r="G209" i="50162"/>
  <c r="I209" i="50162"/>
  <c r="J209" i="50162"/>
  <c r="K209" i="50162"/>
  <c r="L209" i="50162"/>
  <c r="M209" i="50162"/>
  <c r="N209" i="50162"/>
  <c r="O209" i="50162"/>
  <c r="P209" i="50162"/>
  <c r="Q209" i="50162"/>
  <c r="R209" i="50162"/>
  <c r="A210" i="50162"/>
  <c r="D210" i="50162"/>
  <c r="E210" i="50162"/>
  <c r="F210" i="50162"/>
  <c r="G210" i="50162"/>
  <c r="H210" i="50162"/>
  <c r="J210" i="50162"/>
  <c r="K210" i="50162"/>
  <c r="L210" i="50162"/>
  <c r="M210" i="50162"/>
  <c r="N210" i="50162"/>
  <c r="O210" i="50162"/>
  <c r="P210" i="50162"/>
  <c r="Q210" i="50162"/>
  <c r="R210" i="50162"/>
  <c r="A211" i="50162"/>
  <c r="D211" i="50162"/>
  <c r="F211" i="50162"/>
  <c r="G211" i="50162"/>
  <c r="H211" i="50162"/>
  <c r="I211" i="50162"/>
  <c r="J211" i="50162"/>
  <c r="K211" i="50162"/>
  <c r="L211" i="50162"/>
  <c r="M211" i="50162"/>
  <c r="N211" i="50162"/>
  <c r="O211" i="50162"/>
  <c r="P211" i="50162"/>
  <c r="R211" i="50162"/>
  <c r="A212" i="50162"/>
  <c r="D212" i="50162"/>
  <c r="E212" i="50162"/>
  <c r="G212" i="50162"/>
  <c r="H212" i="50162"/>
  <c r="I212" i="50162"/>
  <c r="J212" i="50162"/>
  <c r="K212" i="50162"/>
  <c r="L212" i="50162"/>
  <c r="M212" i="50162"/>
  <c r="N212" i="50162"/>
  <c r="O212" i="50162"/>
  <c r="P212" i="50162"/>
  <c r="Q212" i="50162"/>
  <c r="A213" i="50162"/>
  <c r="D213" i="50162"/>
  <c r="E213" i="50162"/>
  <c r="F213" i="50162"/>
  <c r="G213" i="50162"/>
  <c r="H213" i="50162"/>
  <c r="I213" i="50162"/>
  <c r="J213" i="50162"/>
  <c r="K213" i="50162"/>
  <c r="L213" i="50162"/>
  <c r="M213" i="50162"/>
  <c r="O213" i="50162"/>
  <c r="P213" i="50162"/>
  <c r="Q213" i="50162"/>
  <c r="R213" i="50162"/>
  <c r="A214" i="50162"/>
  <c r="D214" i="50162"/>
  <c r="E214" i="50162"/>
  <c r="F214" i="50162"/>
  <c r="G214" i="50162"/>
  <c r="H214" i="50162"/>
  <c r="I214" i="50162"/>
  <c r="J214" i="50162"/>
  <c r="K214" i="50162"/>
  <c r="L214" i="50162"/>
  <c r="M214" i="50162"/>
  <c r="N214" i="50162"/>
  <c r="P214" i="50162"/>
  <c r="Q214" i="50162"/>
  <c r="R214" i="50162"/>
  <c r="A215" i="50162"/>
  <c r="D215" i="50162"/>
  <c r="E215" i="50162"/>
  <c r="F215" i="50162"/>
  <c r="G215" i="50162"/>
  <c r="H215" i="50162"/>
  <c r="I215" i="50162"/>
  <c r="J215" i="50162"/>
  <c r="L215" i="50162"/>
  <c r="M215" i="50162"/>
  <c r="N215" i="50162"/>
  <c r="O215" i="50162"/>
  <c r="P215" i="50162"/>
  <c r="Q215" i="50162"/>
  <c r="R215" i="50162"/>
  <c r="A216" i="50162"/>
  <c r="D216" i="50162"/>
  <c r="E216" i="50162"/>
  <c r="F216" i="50162"/>
  <c r="G216" i="50162"/>
  <c r="H216" i="50162"/>
  <c r="I216" i="50162"/>
  <c r="J216" i="50162"/>
  <c r="K216" i="50162"/>
  <c r="M216" i="50162"/>
  <c r="N216" i="50162"/>
  <c r="O216" i="50162"/>
  <c r="P216" i="50162"/>
  <c r="Q216" i="50162"/>
  <c r="R216" i="50162"/>
  <c r="A217" i="50162"/>
  <c r="D217" i="50162"/>
  <c r="E217" i="50162"/>
  <c r="F217" i="50162"/>
  <c r="G217" i="50162"/>
  <c r="I217" i="50162"/>
  <c r="J217" i="50162"/>
  <c r="K217" i="50162"/>
  <c r="L217" i="50162"/>
  <c r="M217" i="50162"/>
  <c r="N217" i="50162"/>
  <c r="O217" i="50162"/>
  <c r="P217" i="50162"/>
  <c r="Q217" i="50162"/>
  <c r="R217" i="50162"/>
  <c r="A218" i="50162"/>
  <c r="D218" i="50162"/>
  <c r="E218" i="50162"/>
  <c r="F218" i="50162"/>
  <c r="G218" i="50162"/>
  <c r="H218" i="50162"/>
  <c r="J218" i="50162"/>
  <c r="K218" i="50162"/>
  <c r="L218" i="50162"/>
  <c r="M218" i="50162"/>
  <c r="N218" i="50162"/>
  <c r="O218" i="50162"/>
  <c r="P218" i="50162"/>
  <c r="Q218" i="50162"/>
  <c r="R218" i="50162"/>
  <c r="A219" i="50162"/>
  <c r="D219" i="50162"/>
  <c r="F219" i="50162"/>
  <c r="G219" i="50162"/>
  <c r="H219" i="50162"/>
  <c r="I219" i="50162"/>
  <c r="J219" i="50162"/>
  <c r="K219" i="50162"/>
  <c r="L219" i="50162"/>
  <c r="M219" i="50162"/>
  <c r="N219" i="50162"/>
  <c r="O219" i="50162"/>
  <c r="P219" i="50162"/>
  <c r="R219" i="50162"/>
  <c r="A220" i="50162"/>
  <c r="B220" i="50162"/>
  <c r="C220" i="50162"/>
  <c r="D220" i="50162"/>
  <c r="E220" i="50162"/>
  <c r="G220" i="50162"/>
  <c r="H220" i="50162"/>
  <c r="I220" i="50162"/>
  <c r="J220" i="50162"/>
  <c r="K220" i="50162"/>
  <c r="L220" i="50162"/>
  <c r="M220" i="50162"/>
  <c r="N220" i="50162"/>
  <c r="O220" i="50162"/>
  <c r="P220" i="50162"/>
  <c r="Q220" i="50162"/>
  <c r="A221" i="50162"/>
  <c r="C221" i="50162"/>
  <c r="D221" i="50162"/>
  <c r="E221" i="50162"/>
  <c r="F221" i="50162"/>
  <c r="G221" i="50162"/>
  <c r="H221" i="50162"/>
  <c r="I221" i="50162"/>
  <c r="J221" i="50162"/>
  <c r="K221" i="50162"/>
  <c r="L221" i="50162"/>
  <c r="M221" i="50162"/>
  <c r="O221" i="50162"/>
  <c r="P221" i="50162"/>
  <c r="Q221" i="50162"/>
  <c r="R221" i="50162"/>
  <c r="A222" i="50162"/>
  <c r="B222" i="50162"/>
  <c r="C222" i="50162"/>
  <c r="D222" i="50162"/>
  <c r="E222" i="50162"/>
  <c r="F222" i="50162"/>
  <c r="G222" i="50162"/>
  <c r="H222" i="50162"/>
  <c r="I222" i="50162"/>
  <c r="J222" i="50162"/>
  <c r="K222" i="50162"/>
  <c r="L222" i="50162"/>
  <c r="M222" i="50162"/>
  <c r="N222" i="50162"/>
  <c r="P222" i="50162"/>
  <c r="Q222" i="50162"/>
  <c r="R222" i="50162"/>
  <c r="A223" i="50162"/>
  <c r="B223" i="50162"/>
  <c r="C223" i="50162"/>
  <c r="D223" i="50162"/>
  <c r="E223" i="50162"/>
  <c r="F223" i="50162"/>
  <c r="G223" i="50162"/>
  <c r="H223" i="50162"/>
  <c r="I223" i="50162"/>
  <c r="J223" i="50162"/>
  <c r="L223" i="50162"/>
  <c r="M223" i="50162"/>
  <c r="N223" i="50162"/>
  <c r="O223" i="50162"/>
  <c r="P223" i="50162"/>
  <c r="Q223" i="50162"/>
  <c r="R223" i="50162"/>
  <c r="A224" i="50162"/>
  <c r="B224" i="50162"/>
  <c r="C224" i="50162"/>
  <c r="D224" i="50162"/>
  <c r="E224" i="50162"/>
  <c r="F224" i="50162"/>
  <c r="G224" i="50162"/>
  <c r="H224" i="50162"/>
  <c r="I224" i="50162"/>
  <c r="J224" i="50162"/>
  <c r="K224" i="50162"/>
  <c r="M224" i="50162"/>
  <c r="N224" i="50162"/>
  <c r="O224" i="50162"/>
  <c r="P224" i="50162"/>
  <c r="Q224" i="50162"/>
  <c r="R224" i="50162"/>
  <c r="A225" i="50162"/>
  <c r="B225" i="50162"/>
  <c r="C225" i="50162"/>
  <c r="D225" i="50162"/>
  <c r="E225" i="50162"/>
  <c r="F225" i="50162"/>
  <c r="G225" i="50162"/>
  <c r="I225" i="50162"/>
  <c r="J225" i="50162"/>
  <c r="K225" i="50162"/>
  <c r="L225" i="50162"/>
  <c r="M225" i="50162"/>
  <c r="N225" i="50162"/>
  <c r="O225" i="50162"/>
  <c r="P225" i="50162"/>
  <c r="Q225" i="50162"/>
  <c r="R225" i="50162"/>
  <c r="A226" i="50162"/>
  <c r="B226" i="50162"/>
  <c r="C226" i="50162"/>
  <c r="D226" i="50162"/>
  <c r="E226" i="50162"/>
  <c r="F226" i="50162"/>
  <c r="G226" i="50162"/>
  <c r="H226" i="50162"/>
  <c r="J226" i="50162"/>
  <c r="K226" i="50162"/>
  <c r="L226" i="50162"/>
  <c r="M226" i="50162"/>
  <c r="N226" i="50162"/>
  <c r="O226" i="50162"/>
  <c r="P226" i="50162"/>
  <c r="Q226" i="50162"/>
  <c r="R226" i="50162"/>
  <c r="A227" i="50162"/>
  <c r="B227" i="50162"/>
  <c r="C227" i="50162"/>
  <c r="D227" i="50162"/>
  <c r="F227" i="50162"/>
  <c r="G227" i="50162"/>
  <c r="H227" i="50162"/>
  <c r="I227" i="50162"/>
  <c r="J227" i="50162"/>
  <c r="K227" i="50162"/>
  <c r="L227" i="50162"/>
  <c r="M227" i="50162"/>
  <c r="N227" i="50162"/>
  <c r="O227" i="50162"/>
  <c r="P227" i="50162"/>
  <c r="R227" i="50162"/>
  <c r="A228" i="50162"/>
  <c r="B228" i="50162"/>
  <c r="C228" i="50162"/>
  <c r="D228" i="50162"/>
  <c r="E228" i="50162"/>
  <c r="G228" i="50162"/>
  <c r="H228" i="50162"/>
  <c r="I228" i="50162"/>
  <c r="J228" i="50162"/>
  <c r="K228" i="50162"/>
  <c r="L228" i="50162"/>
  <c r="M228" i="50162"/>
  <c r="N228" i="50162"/>
  <c r="O228" i="50162"/>
  <c r="P228" i="50162"/>
  <c r="Q228" i="50162"/>
  <c r="A229" i="50162"/>
  <c r="C229" i="50162"/>
  <c r="D229" i="50162"/>
  <c r="E229" i="50162"/>
  <c r="F229" i="50162"/>
  <c r="G229" i="50162"/>
  <c r="H229" i="50162"/>
  <c r="I229" i="50162"/>
  <c r="J229" i="50162"/>
  <c r="K229" i="50162"/>
  <c r="L229" i="50162"/>
  <c r="M229" i="50162"/>
  <c r="O229" i="50162"/>
  <c r="P229" i="50162"/>
  <c r="Q229" i="50162"/>
  <c r="R229" i="50162"/>
  <c r="AC355" i="50162"/>
  <c r="AG355" i="50162"/>
  <c r="AH355" i="50162"/>
  <c r="AB356" i="50162"/>
  <c r="AC356" i="50162"/>
  <c r="AG356" i="50162"/>
  <c r="AH356" i="50162"/>
  <c r="AB357" i="50162"/>
  <c r="AC357" i="50162"/>
  <c r="AG357" i="50162"/>
  <c r="AH357" i="50162"/>
  <c r="AB358" i="50162"/>
  <c r="AC358" i="50162"/>
  <c r="AG358" i="50162"/>
  <c r="AH358" i="50162"/>
  <c r="AB359" i="50162"/>
  <c r="AC359" i="50162"/>
  <c r="AG359" i="50162"/>
  <c r="AH359" i="50162"/>
  <c r="AB360" i="50162"/>
  <c r="AC360" i="50162"/>
  <c r="AG360" i="50162"/>
  <c r="AH360" i="50162"/>
  <c r="AB361" i="50162"/>
  <c r="AC361" i="50162"/>
  <c r="AG361" i="50162"/>
  <c r="AH361" i="50162"/>
  <c r="AB362" i="50162"/>
  <c r="AC362" i="50162"/>
  <c r="AG362" i="50162"/>
  <c r="AH362" i="50162"/>
  <c r="AB363" i="50162"/>
  <c r="AC363" i="50162"/>
  <c r="AG363" i="50162"/>
  <c r="AH363" i="50162"/>
  <c r="AB364" i="50162"/>
  <c r="AC364" i="50162"/>
  <c r="AG364" i="50162"/>
  <c r="AH364" i="50162"/>
  <c r="AB365" i="50162"/>
  <c r="AC365" i="50162"/>
  <c r="AG365" i="50162"/>
  <c r="AH365" i="50162"/>
  <c r="AB366" i="50162"/>
  <c r="AC366" i="50162"/>
  <c r="AG366" i="50162"/>
  <c r="AH366" i="50162"/>
  <c r="AB367" i="50162"/>
  <c r="AC367" i="50162"/>
  <c r="AG367" i="50162"/>
  <c r="AH367" i="50162"/>
  <c r="AB368" i="50162"/>
  <c r="AC368" i="50162"/>
  <c r="AG368" i="50162"/>
  <c r="AH368" i="50162"/>
  <c r="AB369" i="50162"/>
  <c r="AC369" i="50162"/>
  <c r="AG369" i="50162"/>
  <c r="AH369" i="50162"/>
  <c r="AB370" i="50162"/>
  <c r="AC370" i="50162"/>
  <c r="AG370" i="50162"/>
  <c r="AH370" i="50162"/>
  <c r="AB371" i="50162"/>
  <c r="AC371" i="50162"/>
  <c r="AG371" i="50162"/>
  <c r="AH371" i="50162"/>
  <c r="AB372" i="50162"/>
  <c r="AC372" i="50162"/>
  <c r="AG372" i="50162"/>
  <c r="AH372" i="50162"/>
  <c r="AB373" i="50162"/>
  <c r="AC373" i="50162"/>
  <c r="AG373" i="50162"/>
  <c r="AH373" i="50162"/>
  <c r="AB374" i="50162"/>
  <c r="AC374" i="50162"/>
  <c r="AG374" i="50162"/>
  <c r="AH374" i="50162"/>
  <c r="AB375" i="50162"/>
  <c r="AC375" i="50162"/>
  <c r="AG375" i="50162"/>
  <c r="AH375" i="50162"/>
  <c r="AB376" i="50162"/>
  <c r="AC376" i="50162"/>
  <c r="AG376" i="50162"/>
  <c r="AH376" i="50162"/>
  <c r="AB377" i="50162"/>
  <c r="AC377" i="50162"/>
  <c r="AG377" i="50162"/>
  <c r="AH377" i="50162"/>
  <c r="AB378" i="50162"/>
  <c r="AC378" i="50162"/>
  <c r="AG378" i="50162"/>
  <c r="AH378" i="50162"/>
  <c r="AB379" i="50162"/>
  <c r="AC379" i="50162"/>
  <c r="AG379" i="50162"/>
  <c r="AH379" i="50162"/>
  <c r="AB380" i="50162"/>
  <c r="AC380" i="50162"/>
  <c r="AG380" i="50162"/>
  <c r="AH380" i="50162"/>
  <c r="AB381" i="50162"/>
  <c r="AC381" i="50162"/>
  <c r="AG381" i="50162"/>
  <c r="AH381" i="50162"/>
  <c r="AB382" i="50162"/>
  <c r="AC382" i="50162"/>
  <c r="AG382" i="50162"/>
  <c r="AH382" i="50162"/>
  <c r="AB383" i="50162"/>
  <c r="AC383" i="50162"/>
  <c r="AG383" i="50162"/>
  <c r="AH383" i="50162"/>
  <c r="AB384" i="50162"/>
  <c r="AC384" i="50162"/>
  <c r="AG384" i="50162"/>
  <c r="AH384" i="50162"/>
  <c r="AB385" i="50162"/>
  <c r="AC385" i="50162"/>
  <c r="AG385" i="50162"/>
  <c r="AH385" i="50162"/>
  <c r="AB386" i="50162"/>
  <c r="AC386" i="50162"/>
  <c r="AG386" i="50162"/>
  <c r="AH386" i="50162"/>
  <c r="AB387" i="50162"/>
  <c r="AC387" i="50162"/>
  <c r="AG387" i="50162"/>
  <c r="AH387" i="50162"/>
  <c r="AB388" i="50162"/>
  <c r="AC388" i="50162"/>
  <c r="AG388" i="50162"/>
  <c r="AH388" i="50162"/>
  <c r="AB389" i="50162"/>
  <c r="AC389" i="50162"/>
  <c r="AG389" i="50162"/>
  <c r="AH389" i="50162"/>
  <c r="AB390" i="50162"/>
  <c r="AC390" i="50162"/>
  <c r="AG390" i="50162"/>
  <c r="AH390" i="50162"/>
  <c r="AB391" i="50162"/>
  <c r="AC391" i="50162"/>
  <c r="AG391" i="50162"/>
  <c r="AH391" i="50162"/>
  <c r="AB392" i="50162"/>
  <c r="AC392" i="50162"/>
  <c r="AG392" i="50162"/>
  <c r="AH392" i="50162"/>
  <c r="AB393" i="50162"/>
  <c r="AC393" i="50162"/>
  <c r="AG393" i="50162"/>
  <c r="AH393" i="50162"/>
  <c r="AB394" i="50162"/>
  <c r="AC394" i="50162"/>
  <c r="AG394" i="50162"/>
  <c r="AH394" i="50162"/>
  <c r="AB395" i="50162"/>
  <c r="AC395" i="50162"/>
  <c r="AG395" i="50162"/>
  <c r="AH395" i="50162"/>
  <c r="AB396" i="50162"/>
  <c r="AC396" i="50162"/>
  <c r="AG396" i="50162"/>
  <c r="AH396" i="50162"/>
  <c r="AB397" i="50162"/>
  <c r="AC397" i="50162"/>
  <c r="AG397" i="50162"/>
  <c r="AH397" i="50162"/>
  <c r="AB398" i="50162"/>
  <c r="AC398" i="50162"/>
  <c r="AG398" i="50162"/>
  <c r="AH398" i="50162"/>
  <c r="AB399" i="50162"/>
  <c r="AC399" i="50162"/>
  <c r="AG399" i="50162"/>
  <c r="AH399" i="50162"/>
  <c r="AB400" i="50162"/>
  <c r="AC400" i="50162"/>
  <c r="AG400" i="50162"/>
  <c r="AH400" i="50162"/>
  <c r="AB401" i="50162"/>
  <c r="AC401" i="50162"/>
  <c r="AG401" i="50162"/>
  <c r="AH401" i="50162"/>
  <c r="AB402" i="50162"/>
  <c r="AC402" i="50162"/>
  <c r="AG402" i="50162"/>
  <c r="AH402" i="50162"/>
  <c r="AB403" i="50162"/>
  <c r="AC403" i="50162"/>
  <c r="AG403" i="50162"/>
  <c r="AH403" i="50162"/>
  <c r="AB404" i="50162"/>
  <c r="AC404" i="50162"/>
  <c r="AG404" i="50162"/>
  <c r="AH404" i="50162"/>
  <c r="AH304" i="50161"/>
  <c r="AG304" i="50161"/>
  <c r="AH303" i="50161"/>
  <c r="AG303" i="50161"/>
  <c r="AH302" i="50161"/>
  <c r="AG302" i="50161"/>
  <c r="AH301" i="50161"/>
  <c r="AG301" i="50161"/>
  <c r="AH300" i="50161"/>
  <c r="AG300" i="50161"/>
  <c r="AH299" i="50161"/>
  <c r="AG299" i="50161"/>
  <c r="AH298" i="50161"/>
  <c r="AG298" i="50161"/>
  <c r="AH297" i="50161"/>
  <c r="AG297" i="50161"/>
  <c r="AH296" i="50161"/>
  <c r="AG296" i="50161"/>
  <c r="AH295" i="50161"/>
  <c r="AG295" i="50161"/>
  <c r="AH294" i="50161"/>
  <c r="AG294" i="50161"/>
  <c r="AH293" i="50161"/>
  <c r="AG293" i="50161"/>
  <c r="AH292" i="50161"/>
  <c r="AG292" i="50161"/>
  <c r="AH291" i="50161"/>
  <c r="AG291" i="50161"/>
  <c r="AH290" i="50161"/>
  <c r="AG290" i="50161"/>
  <c r="AH289" i="50161"/>
  <c r="AG289" i="50161"/>
  <c r="AH288" i="50161"/>
  <c r="AG288" i="50161"/>
  <c r="AH287" i="50161"/>
  <c r="AG287" i="50161"/>
  <c r="AH286" i="50161"/>
  <c r="AG286" i="50161"/>
  <c r="AH285" i="50161"/>
  <c r="AG285" i="50161"/>
  <c r="AH284" i="50161"/>
  <c r="AG284" i="50161"/>
  <c r="AH283" i="50161"/>
  <c r="AG283" i="50161"/>
  <c r="AH282" i="50161"/>
  <c r="AG282" i="50161"/>
  <c r="AH281" i="50161"/>
  <c r="AG281" i="50161"/>
  <c r="AH280" i="50161"/>
  <c r="AG280" i="50161"/>
  <c r="AH279" i="50161"/>
  <c r="AG279" i="50161"/>
  <c r="AH278" i="50161"/>
  <c r="AG278" i="50161"/>
  <c r="AH277" i="50161"/>
  <c r="AG277" i="50161"/>
  <c r="AH276" i="50161"/>
  <c r="AG276" i="50161"/>
  <c r="AH275" i="50161"/>
  <c r="AG275" i="50161"/>
  <c r="AH274" i="50161"/>
  <c r="AG274" i="50161"/>
  <c r="AH273" i="50161"/>
  <c r="AG273" i="50161"/>
  <c r="AH272" i="50161"/>
  <c r="AG272" i="50161"/>
  <c r="AH271" i="50161"/>
  <c r="AG271" i="50161"/>
  <c r="AH270" i="50161"/>
  <c r="AG270" i="50161"/>
  <c r="AH269" i="50161"/>
  <c r="AG269" i="50161"/>
  <c r="AH268" i="50161"/>
  <c r="AG268" i="50161"/>
  <c r="AH267" i="50161"/>
  <c r="AG267" i="50161"/>
  <c r="AH266" i="50161"/>
  <c r="AG266" i="50161"/>
  <c r="AH265" i="50161"/>
  <c r="AG265" i="50161"/>
  <c r="AH264" i="50161"/>
  <c r="AG264" i="50161"/>
  <c r="AH263" i="50161"/>
  <c r="AG263" i="50161"/>
  <c r="AH262" i="50161"/>
  <c r="AG262" i="50161"/>
  <c r="AH261" i="50161"/>
  <c r="AG261" i="50161"/>
  <c r="AH260" i="50161"/>
  <c r="AG260" i="50161"/>
  <c r="AH259" i="50161"/>
  <c r="AG259" i="50161"/>
  <c r="AH258" i="50161"/>
  <c r="AG258" i="50161"/>
  <c r="AH257" i="50161"/>
  <c r="AG257" i="50161"/>
  <c r="AH256" i="50161"/>
  <c r="AG256" i="50161"/>
  <c r="AH255" i="50161"/>
  <c r="AG255" i="50161"/>
  <c r="AH254" i="50161"/>
  <c r="AG254" i="50161"/>
  <c r="AH253" i="50161"/>
  <c r="AG253" i="50161"/>
  <c r="AH252" i="50161"/>
  <c r="AG252" i="50161"/>
  <c r="AH251" i="50161"/>
  <c r="AG251" i="50161"/>
  <c r="AH250" i="50161"/>
  <c r="AG250" i="50161"/>
  <c r="AH249" i="50161"/>
  <c r="AG249" i="50161"/>
  <c r="AH248" i="50161"/>
  <c r="AG248" i="50161"/>
  <c r="AH247" i="50161"/>
  <c r="AG247" i="50161"/>
  <c r="AH246" i="50161"/>
  <c r="AG246" i="50161"/>
  <c r="AH245" i="50161"/>
  <c r="AG245" i="50161"/>
  <c r="AH244" i="50161"/>
  <c r="AG244" i="50161"/>
  <c r="AH243" i="50161"/>
  <c r="AG243" i="50161"/>
  <c r="AH242" i="50161"/>
  <c r="AG242" i="50161"/>
  <c r="AH241" i="50161"/>
  <c r="AG241" i="50161"/>
  <c r="AH240" i="50161"/>
  <c r="AG240" i="50161"/>
  <c r="AH239" i="50161"/>
  <c r="AG239" i="50161"/>
  <c r="AH238" i="50161"/>
  <c r="AG238" i="50161"/>
  <c r="AH237" i="50161"/>
  <c r="AG237" i="50161"/>
  <c r="AH236" i="50161"/>
  <c r="AG236" i="50161"/>
  <c r="AH235" i="50161"/>
  <c r="AG235" i="50161"/>
  <c r="AH234" i="50161"/>
  <c r="AG234" i="50161"/>
  <c r="AH233" i="50161"/>
  <c r="AG233" i="50161"/>
  <c r="AH232" i="50161"/>
  <c r="AG232" i="50161"/>
  <c r="AH231" i="50161"/>
  <c r="AG231" i="50161"/>
  <c r="AH230" i="50161"/>
  <c r="AG230" i="50161"/>
  <c r="AH229" i="50161"/>
  <c r="AG229" i="50161"/>
  <c r="AH228" i="50161"/>
  <c r="AG228" i="50161"/>
  <c r="AH227" i="50161"/>
  <c r="AG227" i="50161"/>
  <c r="AH226" i="50161"/>
  <c r="AG226" i="50161"/>
  <c r="AH225" i="50161"/>
  <c r="AG225" i="50161"/>
  <c r="AH224" i="50161"/>
  <c r="AG224" i="50161"/>
  <c r="AH223" i="50161"/>
  <c r="AG223" i="50161"/>
  <c r="AH222" i="50161"/>
  <c r="AG222" i="50161"/>
  <c r="AH221" i="50161"/>
  <c r="AG221" i="50161"/>
  <c r="AH220" i="50161"/>
  <c r="AG220" i="50161"/>
  <c r="AH219" i="50161"/>
  <c r="AG219" i="50161"/>
  <c r="AH218" i="50161"/>
  <c r="AG218" i="50161"/>
  <c r="AH217" i="50161"/>
  <c r="AG217" i="50161"/>
  <c r="AH216" i="50161"/>
  <c r="AG216" i="50161"/>
  <c r="AH215" i="50161"/>
  <c r="AG215" i="50161"/>
  <c r="AH214" i="50161"/>
  <c r="AG214" i="50161"/>
  <c r="AH213" i="50161"/>
  <c r="AG213" i="50161"/>
  <c r="AH212" i="50161"/>
  <c r="AG212" i="50161"/>
  <c r="AH211" i="50161"/>
  <c r="AG211" i="50161"/>
  <c r="AH210" i="50161"/>
  <c r="AG210" i="50161"/>
  <c r="AH209" i="50161"/>
  <c r="AG209" i="50161"/>
  <c r="AH208" i="50161"/>
  <c r="AG208" i="50161"/>
  <c r="AH207" i="50161"/>
  <c r="AG207" i="50161"/>
  <c r="AH206" i="50161"/>
  <c r="AG206" i="50161"/>
  <c r="AH205" i="50161"/>
  <c r="AG205" i="50161"/>
  <c r="AH204" i="50161"/>
  <c r="AG204" i="50161"/>
  <c r="AH203" i="50161"/>
  <c r="AG203" i="50161"/>
  <c r="AH202" i="50161"/>
  <c r="AG202" i="50161"/>
  <c r="AH201" i="50161"/>
  <c r="AG201" i="50161"/>
  <c r="AH200" i="50161"/>
  <c r="AG200" i="50161"/>
  <c r="AH199" i="50161"/>
  <c r="AG199" i="50161"/>
  <c r="AH198" i="50161"/>
  <c r="AG198" i="50161"/>
  <c r="AH197" i="50161"/>
  <c r="AG197" i="50161"/>
  <c r="AH196" i="50161"/>
  <c r="AG196" i="50161"/>
  <c r="AH195" i="50161"/>
  <c r="AG195" i="50161"/>
  <c r="AH194" i="50161"/>
  <c r="AG194" i="50161"/>
  <c r="AH193" i="50161"/>
  <c r="AG193" i="50161"/>
  <c r="AH192" i="50161"/>
  <c r="AG192" i="50161"/>
  <c r="AH191" i="50161"/>
  <c r="AG191" i="50161"/>
  <c r="AH190" i="50161"/>
  <c r="AG190" i="50161"/>
  <c r="AH189" i="50161"/>
  <c r="AG189" i="50161"/>
  <c r="AH188" i="50161"/>
  <c r="AG188" i="50161"/>
  <c r="AH187" i="50161"/>
  <c r="AG187" i="50161"/>
  <c r="AH186" i="50161"/>
  <c r="AG186" i="50161"/>
  <c r="AH185" i="50161"/>
  <c r="AG185" i="50161"/>
  <c r="AH184" i="50161"/>
  <c r="AG184" i="50161"/>
  <c r="AH183" i="50161"/>
  <c r="AG183" i="50161"/>
  <c r="AH182" i="50161"/>
  <c r="AG182" i="50161"/>
  <c r="AH181" i="50161"/>
  <c r="AG181" i="50161"/>
  <c r="AH180" i="50161"/>
  <c r="AG180" i="50161"/>
  <c r="AH179" i="50161"/>
  <c r="AG179" i="50161"/>
  <c r="AH178" i="50161"/>
  <c r="AG178" i="50161"/>
  <c r="AH177" i="50161"/>
  <c r="AG177" i="50161"/>
  <c r="AH176" i="50161"/>
  <c r="AG176" i="50161"/>
  <c r="AH175" i="50161"/>
  <c r="AG175" i="50161"/>
  <c r="AH174" i="50161"/>
  <c r="AG174" i="50161"/>
  <c r="AH173" i="50161"/>
  <c r="AG173" i="50161"/>
  <c r="AH172" i="50161"/>
  <c r="AG172" i="50161"/>
  <c r="AH171" i="50161"/>
  <c r="AG171" i="50161"/>
  <c r="AH170" i="50161"/>
  <c r="AG170" i="50161"/>
  <c r="AH169" i="50161"/>
  <c r="AG169" i="50161"/>
  <c r="AH168" i="50161"/>
  <c r="AG168" i="50161"/>
  <c r="AH167" i="50161"/>
  <c r="AG167" i="50161"/>
  <c r="AH166" i="50161"/>
  <c r="AG166" i="50161"/>
  <c r="AH165" i="50161"/>
  <c r="AG165" i="50161"/>
  <c r="AH164" i="50161"/>
  <c r="AG164" i="50161"/>
  <c r="AH163" i="50161"/>
  <c r="AG163" i="50161"/>
  <c r="AH162" i="50161"/>
  <c r="AG162" i="50161"/>
  <c r="AH161" i="50161"/>
  <c r="AG161" i="50161"/>
  <c r="AH160" i="50161"/>
  <c r="AG160" i="50161"/>
  <c r="AH159" i="50161"/>
  <c r="AG159" i="50161"/>
  <c r="AH158" i="50161"/>
  <c r="AG158" i="50161"/>
  <c r="AH157" i="50161"/>
  <c r="AG157" i="50161"/>
  <c r="AH156" i="50161"/>
  <c r="AG156" i="50161"/>
  <c r="AH155" i="50161"/>
  <c r="AG155" i="50161"/>
  <c r="AH154" i="50161"/>
  <c r="AG154" i="50161"/>
  <c r="AH153" i="50161"/>
  <c r="AG153" i="50161"/>
  <c r="AH152" i="50161"/>
  <c r="AG152" i="50161"/>
  <c r="AH151" i="50161"/>
  <c r="AG151" i="50161"/>
  <c r="AH150" i="50161"/>
  <c r="AG150" i="50161"/>
  <c r="AH149" i="50161"/>
  <c r="AG149" i="50161"/>
  <c r="AH148" i="50161"/>
  <c r="AG148" i="50161"/>
  <c r="AH147" i="50161"/>
  <c r="AG147" i="50161"/>
  <c r="AH146" i="50161"/>
  <c r="AG146" i="50161"/>
  <c r="AH145" i="50161"/>
  <c r="AG145" i="50161"/>
  <c r="AH144" i="50161"/>
  <c r="AG144" i="50161"/>
  <c r="AH143" i="50161"/>
  <c r="AG143" i="50161"/>
  <c r="AH142" i="50161"/>
  <c r="AG142" i="50161"/>
  <c r="AH141" i="50161"/>
  <c r="AG141" i="50161"/>
  <c r="AH140" i="50161"/>
  <c r="AG140" i="50161"/>
  <c r="AH139" i="50161"/>
  <c r="AG139" i="50161"/>
  <c r="AH138" i="50161"/>
  <c r="AG138" i="50161"/>
  <c r="AH137" i="50161"/>
  <c r="AG137" i="50161"/>
  <c r="AH136" i="50161"/>
  <c r="AG136" i="50161"/>
  <c r="AH135" i="50161"/>
  <c r="AG135" i="50161"/>
  <c r="AH134" i="50161"/>
  <c r="AG134" i="50161"/>
  <c r="AH133" i="50161"/>
  <c r="AG133" i="50161"/>
  <c r="AH132" i="50161"/>
  <c r="AG132" i="50161"/>
  <c r="AH131" i="50161"/>
  <c r="AG131" i="50161"/>
  <c r="AH130" i="50161"/>
  <c r="AG130" i="50161"/>
  <c r="AH129" i="50161"/>
  <c r="AG129" i="50161"/>
  <c r="AH128" i="50161"/>
  <c r="AG128" i="50161"/>
  <c r="AH127" i="50161"/>
  <c r="AG127" i="50161"/>
  <c r="AH126" i="50161"/>
  <c r="AG126" i="50161"/>
  <c r="AH125" i="50161"/>
  <c r="AG125" i="50161"/>
  <c r="AH124" i="50161"/>
  <c r="AG124" i="50161"/>
  <c r="AH123" i="50161"/>
  <c r="AG123" i="50161"/>
  <c r="AH122" i="50161"/>
  <c r="AG122" i="50161"/>
  <c r="AH121" i="50161"/>
  <c r="AG121" i="50161"/>
  <c r="AH120" i="50161"/>
  <c r="AG120" i="50161"/>
  <c r="AH119" i="50161"/>
  <c r="AG119" i="50161"/>
  <c r="AH118" i="50161"/>
  <c r="AG118" i="50161"/>
  <c r="AH117" i="50161"/>
  <c r="AG117" i="50161"/>
  <c r="AH116" i="50161"/>
  <c r="AG116" i="50161"/>
  <c r="AH115" i="50161"/>
  <c r="AG115" i="50161"/>
  <c r="AH114" i="50161"/>
  <c r="AG114" i="50161"/>
  <c r="AH113" i="50161"/>
  <c r="AG113" i="50161"/>
  <c r="AH112" i="50161"/>
  <c r="AG112" i="50161"/>
  <c r="AH111" i="50161"/>
  <c r="AG111" i="50161"/>
  <c r="AH110" i="50161"/>
  <c r="AG110" i="50161"/>
  <c r="AH109" i="50161"/>
  <c r="AG109" i="50161"/>
  <c r="AH108" i="50161"/>
  <c r="AG108" i="50161"/>
  <c r="AH107" i="50161"/>
  <c r="AG107" i="50161"/>
  <c r="AH106" i="50161"/>
  <c r="AG106" i="50161"/>
  <c r="AH105" i="50161"/>
  <c r="AG105" i="50161"/>
  <c r="AH104" i="50161"/>
  <c r="AG104" i="50161"/>
  <c r="AH103" i="50161"/>
  <c r="AG103" i="50161"/>
  <c r="AH102" i="50161"/>
  <c r="AG102" i="50161"/>
  <c r="AH101" i="50161"/>
  <c r="AG101" i="50161"/>
  <c r="AH100" i="50161"/>
  <c r="AG100" i="50161"/>
  <c r="AH99" i="50161"/>
  <c r="AG99" i="50161"/>
  <c r="AH98" i="50161"/>
  <c r="AG98" i="50161"/>
  <c r="AH97" i="50161"/>
  <c r="AG97" i="50161"/>
  <c r="AH96" i="50161"/>
  <c r="AG96" i="50161"/>
  <c r="AH95" i="50161"/>
  <c r="AG95" i="50161"/>
  <c r="AH94" i="50161"/>
  <c r="AG94" i="50161"/>
  <c r="AH93" i="50161"/>
  <c r="AG93" i="50161"/>
  <c r="AH92" i="50161"/>
  <c r="AG92" i="50161"/>
  <c r="AH91" i="50161"/>
  <c r="AG91" i="50161"/>
  <c r="AH90" i="50161"/>
  <c r="AG90" i="50161"/>
  <c r="AH89" i="50161"/>
  <c r="AG89" i="50161"/>
  <c r="AH88" i="50161"/>
  <c r="AG88" i="50161"/>
  <c r="AH87" i="50161"/>
  <c r="AG87" i="50161"/>
  <c r="AH86" i="50161"/>
  <c r="AG86" i="50161"/>
  <c r="AH85" i="50161"/>
  <c r="AG85" i="50161"/>
  <c r="AH84" i="50161"/>
  <c r="AG84" i="50161"/>
  <c r="AH83" i="50161"/>
  <c r="AG83" i="50161"/>
  <c r="AH82" i="50161"/>
  <c r="AG82" i="50161"/>
  <c r="AH81" i="50161"/>
  <c r="AG81" i="50161"/>
  <c r="AH80" i="50161"/>
  <c r="AG80" i="50161"/>
  <c r="AH79" i="50161"/>
  <c r="AG79" i="50161"/>
  <c r="AH78" i="50161"/>
  <c r="AG78" i="50161"/>
  <c r="AH77" i="50161"/>
  <c r="AG77" i="50161"/>
  <c r="AH76" i="50161"/>
  <c r="AG76" i="50161"/>
  <c r="AH75" i="50161"/>
  <c r="AG75" i="50161"/>
  <c r="AH74" i="50161"/>
  <c r="AG74" i="50161"/>
  <c r="AH73" i="50161"/>
  <c r="AG73" i="50161"/>
  <c r="AH72" i="50161"/>
  <c r="AG72" i="50161"/>
  <c r="AH71" i="50161"/>
  <c r="AG71" i="50161"/>
  <c r="AH70" i="50161"/>
  <c r="AG70" i="50161"/>
  <c r="AH69" i="50161"/>
  <c r="AG69" i="50161"/>
  <c r="AH68" i="50161"/>
  <c r="AG68" i="50161"/>
  <c r="AH67" i="50161"/>
  <c r="AG67" i="50161"/>
  <c r="AH66" i="50161"/>
  <c r="AG66" i="50161"/>
  <c r="AH65" i="50161"/>
  <c r="AG65" i="50161"/>
  <c r="AH64" i="50161"/>
  <c r="AG64" i="50161"/>
  <c r="AH63" i="50161"/>
  <c r="AG63" i="50161"/>
  <c r="AH62" i="50161"/>
  <c r="AG62" i="50161"/>
  <c r="AH61" i="50161"/>
  <c r="AG61" i="50161"/>
  <c r="AH60" i="50161"/>
  <c r="AG60" i="50161"/>
  <c r="AH59" i="50161"/>
  <c r="AG59" i="50161"/>
  <c r="AH58" i="50161"/>
  <c r="AG58" i="50161"/>
  <c r="AH57" i="50161"/>
  <c r="AG57" i="50161"/>
  <c r="AH56" i="50161"/>
  <c r="AG56" i="50161"/>
  <c r="AH55" i="50161"/>
  <c r="AG55" i="50161"/>
  <c r="AH54" i="50161"/>
  <c r="AG54" i="50161"/>
  <c r="AH53" i="50161"/>
  <c r="AG53" i="50161"/>
  <c r="AH52" i="50161"/>
  <c r="AG52" i="50161"/>
  <c r="AH51" i="50161"/>
  <c r="AG51" i="50161"/>
  <c r="AH50" i="50161"/>
  <c r="AG50" i="50161"/>
  <c r="AH49" i="50161"/>
  <c r="AG49" i="50161"/>
  <c r="AH48" i="50161"/>
  <c r="AG48" i="50161"/>
  <c r="AH47" i="50161"/>
  <c r="AG47" i="50161"/>
  <c r="AH46" i="50161"/>
  <c r="AG46" i="50161"/>
  <c r="AH45" i="50161"/>
  <c r="AG45" i="50161"/>
  <c r="BW75" i="50161"/>
  <c r="BV75" i="50161"/>
  <c r="BU75" i="50161"/>
  <c r="BT75" i="50161"/>
  <c r="BS75" i="50161"/>
  <c r="BR75" i="50161"/>
  <c r="BQ75" i="50161"/>
  <c r="BP75" i="50161"/>
  <c r="BO75" i="50161"/>
  <c r="BN75" i="50161"/>
  <c r="BM75" i="50161"/>
  <c r="BL75" i="50161"/>
  <c r="BK75" i="50161"/>
  <c r="BJ75" i="50161"/>
  <c r="BI75" i="50161"/>
  <c r="BH75" i="50161"/>
  <c r="BW74" i="50161"/>
  <c r="BV74" i="50161"/>
  <c r="BU74" i="50161"/>
  <c r="BT74" i="50161"/>
  <c r="BS74" i="50161"/>
  <c r="BR74" i="50161"/>
  <c r="BQ74" i="50161"/>
  <c r="BP74" i="50161"/>
  <c r="BO74" i="50161"/>
  <c r="BN74" i="50161"/>
  <c r="BM74" i="50161"/>
  <c r="BL74" i="50161"/>
  <c r="BK74" i="50161"/>
  <c r="BJ74" i="50161"/>
  <c r="BI74" i="50161"/>
  <c r="BH74" i="50161"/>
  <c r="BW73" i="50161"/>
  <c r="BV73" i="50161"/>
  <c r="BU73" i="50161"/>
  <c r="BT73" i="50161"/>
  <c r="BS73" i="50161"/>
  <c r="BR73" i="50161"/>
  <c r="BQ73" i="50161"/>
  <c r="BP73" i="50161"/>
  <c r="BO73" i="50161"/>
  <c r="BN73" i="50161"/>
  <c r="BM73" i="50161"/>
  <c r="BL73" i="50161"/>
  <c r="BK73" i="50161"/>
  <c r="BJ73" i="50161"/>
  <c r="BI73" i="50161"/>
  <c r="BH73" i="50161"/>
  <c r="BW72" i="50161"/>
  <c r="BV72" i="50161"/>
  <c r="BU72" i="50161"/>
  <c r="BT72" i="50161"/>
  <c r="BS72" i="50161"/>
  <c r="BR72" i="50161"/>
  <c r="BQ72" i="50161"/>
  <c r="BP72" i="50161"/>
  <c r="BO72" i="50161"/>
  <c r="BN72" i="50161"/>
  <c r="BM72" i="50161"/>
  <c r="BL72" i="50161"/>
  <c r="BK72" i="50161"/>
  <c r="BJ72" i="50161"/>
  <c r="BI72" i="50161"/>
  <c r="BH72" i="50161"/>
  <c r="BW71" i="50161"/>
  <c r="BV71" i="50161"/>
  <c r="BU71" i="50161"/>
  <c r="BT71" i="50161"/>
  <c r="BS71" i="50161"/>
  <c r="BR71" i="50161"/>
  <c r="BQ71" i="50161"/>
  <c r="BP71" i="50161"/>
  <c r="BO71" i="50161"/>
  <c r="BN71" i="50161"/>
  <c r="BM71" i="50161"/>
  <c r="BL71" i="50161"/>
  <c r="BK71" i="50161"/>
  <c r="BJ71" i="50161"/>
  <c r="BI71" i="50161"/>
  <c r="BH71" i="50161"/>
  <c r="BW70" i="50161"/>
  <c r="BV70" i="50161"/>
  <c r="BU70" i="50161"/>
  <c r="BT70" i="50161"/>
  <c r="BS70" i="50161"/>
  <c r="BR70" i="50161"/>
  <c r="BQ70" i="50161"/>
  <c r="BP70" i="50161"/>
  <c r="BO70" i="50161"/>
  <c r="BN70" i="50161"/>
  <c r="BM70" i="50161"/>
  <c r="BL70" i="50161"/>
  <c r="BK70" i="50161"/>
  <c r="BJ70" i="50161"/>
  <c r="BI70" i="50161"/>
  <c r="BH70" i="50161"/>
  <c r="BW69" i="50161"/>
  <c r="BV69" i="50161"/>
  <c r="BU69" i="50161"/>
  <c r="BT69" i="50161"/>
  <c r="BS69" i="50161"/>
  <c r="BR69" i="50161"/>
  <c r="BQ69" i="50161"/>
  <c r="BP69" i="50161"/>
  <c r="BO69" i="50161"/>
  <c r="BN69" i="50161"/>
  <c r="BM69" i="50161"/>
  <c r="BL69" i="50161"/>
  <c r="BK69" i="50161"/>
  <c r="BJ69" i="50161"/>
  <c r="BI69" i="50161"/>
  <c r="BH69" i="50161"/>
  <c r="BW68" i="50161"/>
  <c r="BV68" i="50161"/>
  <c r="BU68" i="50161"/>
  <c r="BT68" i="50161"/>
  <c r="BS68" i="50161"/>
  <c r="BR68" i="50161"/>
  <c r="BQ68" i="50161"/>
  <c r="BP68" i="50161"/>
  <c r="BO68" i="50161"/>
  <c r="BN68" i="50161"/>
  <c r="BM68" i="50161"/>
  <c r="BL68" i="50161"/>
  <c r="BK68" i="50161"/>
  <c r="BJ68" i="50161"/>
  <c r="BI68" i="50161"/>
  <c r="BH68" i="50161"/>
  <c r="BW67" i="50161"/>
  <c r="BV67" i="50161"/>
  <c r="BU67" i="50161"/>
  <c r="BT67" i="50161"/>
  <c r="BS67" i="50161"/>
  <c r="BR67" i="50161"/>
  <c r="BQ67" i="50161"/>
  <c r="BP67" i="50161"/>
  <c r="BO67" i="50161"/>
  <c r="BN67" i="50161"/>
  <c r="BM67" i="50161"/>
  <c r="BL67" i="50161"/>
  <c r="BK67" i="50161"/>
  <c r="BJ67" i="50161"/>
  <c r="BI67" i="50161"/>
  <c r="BH67" i="50161"/>
  <c r="CD62" i="50161"/>
  <c r="CC62" i="50161"/>
  <c r="CD61" i="50161"/>
  <c r="CC61" i="50161"/>
  <c r="CD60" i="50161"/>
  <c r="CC60" i="50161"/>
  <c r="CD59" i="50161"/>
  <c r="CC59" i="50161"/>
  <c r="CD58" i="50161"/>
  <c r="CC58" i="50161"/>
  <c r="CD57" i="50161"/>
  <c r="CC57" i="50161"/>
  <c r="CD56" i="50161"/>
  <c r="CC56" i="50161"/>
  <c r="CD55" i="50161"/>
  <c r="CC55" i="50161"/>
  <c r="CD54" i="50161"/>
  <c r="CC54" i="50161"/>
  <c r="CD53" i="50161"/>
  <c r="CC53" i="50161"/>
  <c r="CD52" i="50161"/>
  <c r="CC52" i="50161"/>
  <c r="CD51" i="50161"/>
  <c r="CC51" i="50161"/>
  <c r="CD50" i="50161"/>
  <c r="CC50" i="50161"/>
  <c r="CD49" i="50161"/>
  <c r="CC49" i="50161"/>
  <c r="CD48" i="50161"/>
  <c r="CC48" i="50161"/>
  <c r="CD47" i="50161"/>
  <c r="CC47" i="50161"/>
  <c r="CD46" i="50161"/>
  <c r="CC46" i="50161"/>
  <c r="CD45" i="50161"/>
  <c r="CC45" i="50161"/>
  <c r="CD44" i="50161"/>
  <c r="CC44" i="50161"/>
  <c r="CD43" i="50161"/>
  <c r="CC43" i="50161"/>
  <c r="CD42" i="50161"/>
  <c r="CC42" i="50161"/>
  <c r="CD41" i="50161"/>
  <c r="CC41" i="50161"/>
  <c r="CD40" i="50161"/>
  <c r="CC40" i="50161"/>
  <c r="CD39" i="50161"/>
  <c r="CC39" i="50161"/>
  <c r="CD38" i="50161"/>
  <c r="CC38" i="50161"/>
  <c r="CD37" i="50161"/>
  <c r="CC37" i="50161"/>
  <c r="CD36" i="50161"/>
  <c r="CC36" i="50161"/>
  <c r="CD35" i="50161"/>
  <c r="CC35" i="50161"/>
  <c r="CD34" i="50161"/>
  <c r="CC34" i="50161"/>
  <c r="CD33" i="50161"/>
  <c r="CC33" i="50161"/>
  <c r="CD32" i="50161"/>
  <c r="CC32" i="50161"/>
  <c r="CD31" i="50161"/>
  <c r="CC31" i="50161"/>
  <c r="CD30" i="50161"/>
  <c r="CC30" i="50161"/>
  <c r="CD29" i="50161"/>
  <c r="CC29" i="50161"/>
  <c r="CD28" i="50161"/>
  <c r="CC28" i="50161"/>
  <c r="CD27" i="50161"/>
  <c r="CC27" i="50161"/>
  <c r="CD26" i="50161"/>
  <c r="CC26" i="50161"/>
  <c r="CD25" i="50161"/>
  <c r="CC25" i="50161"/>
  <c r="CD24" i="50161"/>
  <c r="CC24" i="50161"/>
  <c r="CD23" i="50161"/>
  <c r="CC23" i="50161"/>
  <c r="CD22" i="50161"/>
  <c r="CC22" i="50161"/>
  <c r="CD21" i="50161"/>
  <c r="CC21" i="50161"/>
  <c r="CD20" i="50161"/>
  <c r="CC20" i="50161"/>
  <c r="CD19" i="50161"/>
  <c r="CC19" i="50161"/>
  <c r="CD18" i="50161"/>
  <c r="CC18" i="50161"/>
  <c r="CD17" i="50161"/>
  <c r="CC17" i="50161"/>
  <c r="CD16" i="50161"/>
  <c r="CC16" i="50161"/>
  <c r="CD15" i="50161"/>
  <c r="CC15" i="50161"/>
  <c r="CD14" i="50161"/>
  <c r="CC14" i="50161"/>
  <c r="CD13" i="50161"/>
  <c r="CC13" i="50161"/>
  <c r="CA62" i="50161"/>
  <c r="BZ62" i="50161"/>
  <c r="CA61" i="50161"/>
  <c r="BZ61" i="50161"/>
  <c r="CA60" i="50161"/>
  <c r="BZ60" i="50161"/>
  <c r="CA59" i="50161"/>
  <c r="BZ59" i="50161"/>
  <c r="CA58" i="50161"/>
  <c r="BZ58" i="50161"/>
  <c r="CA57" i="50161"/>
  <c r="BZ57" i="50161"/>
  <c r="CA56" i="50161"/>
  <c r="BZ56" i="50161"/>
  <c r="CA55" i="50161"/>
  <c r="BZ55" i="50161"/>
  <c r="CA54" i="50161"/>
  <c r="BZ54" i="50161"/>
  <c r="CA53" i="50161"/>
  <c r="BZ53" i="50161"/>
  <c r="CA52" i="50161"/>
  <c r="BZ52" i="50161"/>
  <c r="CA51" i="50161"/>
  <c r="BZ51" i="50161"/>
  <c r="CA50" i="50161"/>
  <c r="BZ50" i="50161"/>
  <c r="CA49" i="50161"/>
  <c r="BZ49" i="50161"/>
  <c r="CA48" i="50161"/>
  <c r="BZ48" i="50161"/>
  <c r="CA47" i="50161"/>
  <c r="BZ47" i="50161"/>
  <c r="CA46" i="50161"/>
  <c r="BZ46" i="50161"/>
  <c r="CA45" i="50161"/>
  <c r="BZ45" i="50161"/>
  <c r="CA44" i="50161"/>
  <c r="BZ44" i="50161"/>
  <c r="CA43" i="50161"/>
  <c r="BZ43" i="50161"/>
  <c r="CA42" i="50161"/>
  <c r="BZ42" i="50161"/>
  <c r="CA41" i="50161"/>
  <c r="BZ41" i="50161"/>
  <c r="CA40" i="50161"/>
  <c r="BZ40" i="50161"/>
  <c r="CA39" i="50161"/>
  <c r="BZ39" i="50161"/>
  <c r="CA38" i="50161"/>
  <c r="BZ38" i="50161"/>
  <c r="CA37" i="50161"/>
  <c r="BZ37" i="50161"/>
  <c r="CA36" i="50161"/>
  <c r="BZ36" i="50161"/>
  <c r="CA35" i="50161"/>
  <c r="BZ35" i="50161"/>
  <c r="CA34" i="50161"/>
  <c r="BZ34" i="50161"/>
  <c r="CA33" i="50161"/>
  <c r="BZ33" i="50161"/>
  <c r="CA32" i="50161"/>
  <c r="BZ32" i="50161"/>
  <c r="CA31" i="50161"/>
  <c r="BZ31" i="50161"/>
  <c r="CA30" i="50161"/>
  <c r="BZ30" i="50161"/>
  <c r="CA29" i="50161"/>
  <c r="BZ29" i="50161"/>
  <c r="CA28" i="50161"/>
  <c r="BZ28" i="50161"/>
  <c r="CA27" i="50161"/>
  <c r="BZ27" i="50161"/>
  <c r="CA26" i="50161"/>
  <c r="BZ26" i="50161"/>
  <c r="CA25" i="50161"/>
  <c r="BZ25" i="50161"/>
  <c r="CA24" i="50161"/>
  <c r="BZ24" i="50161"/>
  <c r="CA23" i="50161"/>
  <c r="BZ23" i="50161"/>
  <c r="CA22" i="50161"/>
  <c r="BZ22" i="50161"/>
  <c r="CA21" i="50161"/>
  <c r="BZ21" i="50161"/>
  <c r="CA20" i="50161"/>
  <c r="BZ20" i="50161"/>
  <c r="CA19" i="50161"/>
  <c r="BZ19" i="50161"/>
  <c r="CA18" i="50161"/>
  <c r="BZ18" i="50161"/>
  <c r="CA17" i="50161"/>
  <c r="BZ17" i="50161"/>
  <c r="CA16" i="50161"/>
  <c r="BZ16" i="50161"/>
  <c r="CA15" i="50161"/>
  <c r="BZ15" i="50161"/>
  <c r="CA14" i="50161"/>
  <c r="BZ14" i="50161"/>
  <c r="CA13" i="50161"/>
  <c r="BZ13" i="50161"/>
  <c r="BX62" i="50161"/>
  <c r="BW62" i="50161"/>
  <c r="BX61" i="50161"/>
  <c r="BW61" i="50161"/>
  <c r="BX60" i="50161"/>
  <c r="BW60" i="50161"/>
  <c r="BX59" i="50161"/>
  <c r="BW59" i="50161"/>
  <c r="BX58" i="50161"/>
  <c r="BW58" i="50161"/>
  <c r="BX57" i="50161"/>
  <c r="BW57" i="50161"/>
  <c r="BX56" i="50161"/>
  <c r="BW56" i="50161"/>
  <c r="BX55" i="50161"/>
  <c r="BW55" i="50161"/>
  <c r="BX54" i="50161"/>
  <c r="BW54" i="50161"/>
  <c r="BX53" i="50161"/>
  <c r="BW53" i="50161"/>
  <c r="BX52" i="50161"/>
  <c r="BW52" i="50161"/>
  <c r="BX51" i="50161"/>
  <c r="BW51" i="50161"/>
  <c r="BX50" i="50161"/>
  <c r="BW50" i="50161"/>
  <c r="BX49" i="50161"/>
  <c r="BW49" i="50161"/>
  <c r="BX48" i="50161"/>
  <c r="BW48" i="50161"/>
  <c r="BX47" i="50161"/>
  <c r="BW47" i="50161"/>
  <c r="BX46" i="50161"/>
  <c r="BW46" i="50161"/>
  <c r="BX45" i="50161"/>
  <c r="BW45" i="50161"/>
  <c r="BX44" i="50161"/>
  <c r="BW44" i="50161"/>
  <c r="BX43" i="50161"/>
  <c r="BW43" i="50161"/>
  <c r="BX42" i="50161"/>
  <c r="BW42" i="50161"/>
  <c r="BX41" i="50161"/>
  <c r="BW41" i="50161"/>
  <c r="BX40" i="50161"/>
  <c r="BW40" i="50161"/>
  <c r="BX39" i="50161"/>
  <c r="BW39" i="50161"/>
  <c r="BX38" i="50161"/>
  <c r="BW38" i="50161"/>
  <c r="BX37" i="50161"/>
  <c r="BW37" i="50161"/>
  <c r="BX36" i="50161"/>
  <c r="BW36" i="50161"/>
  <c r="BX35" i="50161"/>
  <c r="BW35" i="50161"/>
  <c r="BX34" i="50161"/>
  <c r="BW34" i="50161"/>
  <c r="BX33" i="50161"/>
  <c r="BW33" i="50161"/>
  <c r="BX32" i="50161"/>
  <c r="BW32" i="50161"/>
  <c r="BX31" i="50161"/>
  <c r="BW31" i="50161"/>
  <c r="BX30" i="50161"/>
  <c r="BW30" i="50161"/>
  <c r="BX29" i="50161"/>
  <c r="BW29" i="50161"/>
  <c r="BX28" i="50161"/>
  <c r="BW28" i="50161"/>
  <c r="BX27" i="50161"/>
  <c r="BW27" i="50161"/>
  <c r="BX26" i="50161"/>
  <c r="BW26" i="50161"/>
  <c r="BX25" i="50161"/>
  <c r="BW25" i="50161"/>
  <c r="BX24" i="50161"/>
  <c r="BW24" i="50161"/>
  <c r="BX23" i="50161"/>
  <c r="BW23" i="50161"/>
  <c r="BX22" i="50161"/>
  <c r="BW22" i="50161"/>
  <c r="BX21" i="50161"/>
  <c r="BW21" i="50161"/>
  <c r="BX20" i="50161"/>
  <c r="BW20" i="50161"/>
  <c r="BX19" i="50161"/>
  <c r="BW19" i="50161"/>
  <c r="BX18" i="50161"/>
  <c r="BW18" i="50161"/>
  <c r="BX17" i="50161"/>
  <c r="BW17" i="50161"/>
  <c r="BX16" i="50161"/>
  <c r="BW16" i="50161"/>
  <c r="BX15" i="50161"/>
  <c r="BW15" i="50161"/>
  <c r="BX14" i="50161"/>
  <c r="BW14" i="50161"/>
  <c r="BX13" i="50161"/>
  <c r="BW13" i="50161"/>
  <c r="BU62" i="50161"/>
  <c r="BT62" i="50161"/>
  <c r="BU61" i="50161"/>
  <c r="BT61" i="50161"/>
  <c r="BU60" i="50161"/>
  <c r="BT60" i="50161"/>
  <c r="BU59" i="50161"/>
  <c r="BT59" i="50161"/>
  <c r="BU58" i="50161"/>
  <c r="BT58" i="50161"/>
  <c r="BU57" i="50161"/>
  <c r="BT57" i="50161"/>
  <c r="BU56" i="50161"/>
  <c r="BT56" i="50161"/>
  <c r="BU55" i="50161"/>
  <c r="BT55" i="50161"/>
  <c r="BU54" i="50161"/>
  <c r="BT54" i="50161"/>
  <c r="BU53" i="50161"/>
  <c r="BT53" i="50161"/>
  <c r="BU52" i="50161"/>
  <c r="BT52" i="50161"/>
  <c r="BU51" i="50161"/>
  <c r="BT51" i="50161"/>
  <c r="BU50" i="50161"/>
  <c r="BT50" i="50161"/>
  <c r="BU49" i="50161"/>
  <c r="BT49" i="50161"/>
  <c r="BU48" i="50161"/>
  <c r="BT48" i="50161"/>
  <c r="BU47" i="50161"/>
  <c r="BT47" i="50161"/>
  <c r="BU46" i="50161"/>
  <c r="BT46" i="50161"/>
  <c r="BU45" i="50161"/>
  <c r="BT45" i="50161"/>
  <c r="BU44" i="50161"/>
  <c r="BT44" i="50161"/>
  <c r="BU43" i="50161"/>
  <c r="BT43" i="50161"/>
  <c r="BU42" i="50161"/>
  <c r="BT42" i="50161"/>
  <c r="BU41" i="50161"/>
  <c r="BT41" i="50161"/>
  <c r="BU40" i="50161"/>
  <c r="BT40" i="50161"/>
  <c r="BU39" i="50161"/>
  <c r="BT39" i="50161"/>
  <c r="BU38" i="50161"/>
  <c r="BT38" i="50161"/>
  <c r="BU37" i="50161"/>
  <c r="BT37" i="50161"/>
  <c r="BU36" i="50161"/>
  <c r="BT36" i="50161"/>
  <c r="BU35" i="50161"/>
  <c r="BT35" i="50161"/>
  <c r="BU34" i="50161"/>
  <c r="BT34" i="50161"/>
  <c r="BU33" i="50161"/>
  <c r="BT33" i="50161"/>
  <c r="BU32" i="50161"/>
  <c r="BT32" i="50161"/>
  <c r="BU31" i="50161"/>
  <c r="BT31" i="50161"/>
  <c r="BU30" i="50161"/>
  <c r="BT30" i="50161"/>
  <c r="BU29" i="50161"/>
  <c r="BT29" i="50161"/>
  <c r="BU28" i="50161"/>
  <c r="BT28" i="50161"/>
  <c r="BU27" i="50161"/>
  <c r="BT27" i="50161"/>
  <c r="BU26" i="50161"/>
  <c r="BT26" i="50161"/>
  <c r="BU25" i="50161"/>
  <c r="BT25" i="50161"/>
  <c r="BU24" i="50161"/>
  <c r="BT24" i="50161"/>
  <c r="BU23" i="50161"/>
  <c r="BT23" i="50161"/>
  <c r="BU22" i="50161"/>
  <c r="BT22" i="50161"/>
  <c r="BU21" i="50161"/>
  <c r="BT21" i="50161"/>
  <c r="BU20" i="50161"/>
  <c r="BT20" i="50161"/>
  <c r="BU19" i="50161"/>
  <c r="BT19" i="50161"/>
  <c r="BU18" i="50161"/>
  <c r="BT18" i="50161"/>
  <c r="BU17" i="50161"/>
  <c r="BT17" i="50161"/>
  <c r="BU16" i="50161"/>
  <c r="BT16" i="50161"/>
  <c r="BU15" i="50161"/>
  <c r="BT15" i="50161"/>
  <c r="BU14" i="50161"/>
  <c r="BT14" i="50161"/>
  <c r="BU13" i="50161"/>
  <c r="BT13" i="50161"/>
  <c r="BR62" i="50161"/>
  <c r="BQ62" i="50161"/>
  <c r="BR61" i="50161"/>
  <c r="BQ61" i="50161"/>
  <c r="BR60" i="50161"/>
  <c r="BQ60" i="50161"/>
  <c r="BR59" i="50161"/>
  <c r="BQ59" i="50161"/>
  <c r="BR58" i="50161"/>
  <c r="BQ58" i="50161"/>
  <c r="BR57" i="50161"/>
  <c r="BQ57" i="50161"/>
  <c r="BR56" i="50161"/>
  <c r="BQ56" i="50161"/>
  <c r="BR55" i="50161"/>
  <c r="BQ55" i="50161"/>
  <c r="BR54" i="50161"/>
  <c r="BQ54" i="50161"/>
  <c r="BR53" i="50161"/>
  <c r="BQ53" i="50161"/>
  <c r="BR52" i="50161"/>
  <c r="BQ52" i="50161"/>
  <c r="BR51" i="50161"/>
  <c r="BQ51" i="50161"/>
  <c r="BR50" i="50161"/>
  <c r="BQ50" i="50161"/>
  <c r="BR49" i="50161"/>
  <c r="BQ49" i="50161"/>
  <c r="BR48" i="50161"/>
  <c r="BQ48" i="50161"/>
  <c r="BR47" i="50161"/>
  <c r="BQ47" i="50161"/>
  <c r="BR46" i="50161"/>
  <c r="BQ46" i="50161"/>
  <c r="BR45" i="50161"/>
  <c r="BQ45" i="50161"/>
  <c r="BR44" i="50161"/>
  <c r="BQ44" i="50161"/>
  <c r="BR43" i="50161"/>
  <c r="BQ43" i="50161"/>
  <c r="BR42" i="50161"/>
  <c r="BQ42" i="50161"/>
  <c r="BR41" i="50161"/>
  <c r="BQ41" i="50161"/>
  <c r="BR40" i="50161"/>
  <c r="BQ40" i="50161"/>
  <c r="BR39" i="50161"/>
  <c r="BQ39" i="50161"/>
  <c r="BR38" i="50161"/>
  <c r="BQ38" i="50161"/>
  <c r="BR37" i="50161"/>
  <c r="BQ37" i="50161"/>
  <c r="BR36" i="50161"/>
  <c r="BQ36" i="50161"/>
  <c r="BR35" i="50161"/>
  <c r="BQ35" i="50161"/>
  <c r="BR34" i="50161"/>
  <c r="BQ34" i="50161"/>
  <c r="BR33" i="50161"/>
  <c r="BQ33" i="50161"/>
  <c r="BR32" i="50161"/>
  <c r="BQ32" i="50161"/>
  <c r="BR31" i="50161"/>
  <c r="BQ31" i="50161"/>
  <c r="BR30" i="50161"/>
  <c r="BQ30" i="50161"/>
  <c r="BR29" i="50161"/>
  <c r="BQ29" i="50161"/>
  <c r="BR28" i="50161"/>
  <c r="BQ28" i="50161"/>
  <c r="BR27" i="50161"/>
  <c r="BQ27" i="50161"/>
  <c r="BR26" i="50161"/>
  <c r="BQ26" i="50161"/>
  <c r="BR25" i="50161"/>
  <c r="BQ25" i="50161"/>
  <c r="BR24" i="50161"/>
  <c r="BQ24" i="50161"/>
  <c r="BR23" i="50161"/>
  <c r="BQ23" i="50161"/>
  <c r="BR22" i="50161"/>
  <c r="BQ22" i="50161"/>
  <c r="BR21" i="50161"/>
  <c r="BQ21" i="50161"/>
  <c r="BR20" i="50161"/>
  <c r="BQ20" i="50161"/>
  <c r="BR19" i="50161"/>
  <c r="BQ19" i="50161"/>
  <c r="BR18" i="50161"/>
  <c r="BQ18" i="50161"/>
  <c r="BR17" i="50161"/>
  <c r="BQ17" i="50161"/>
  <c r="BR16" i="50161"/>
  <c r="BQ16" i="50161"/>
  <c r="BR15" i="50161"/>
  <c r="BQ15" i="50161"/>
  <c r="BR14" i="50161"/>
  <c r="BQ14" i="50161"/>
  <c r="BR13" i="50161"/>
  <c r="BQ13" i="50161"/>
  <c r="BO62" i="50161"/>
  <c r="BN62" i="50161"/>
  <c r="BO61" i="50161"/>
  <c r="BN61" i="50161"/>
  <c r="BO60" i="50161"/>
  <c r="BN60" i="50161"/>
  <c r="BO59" i="50161"/>
  <c r="BN59" i="50161"/>
  <c r="BO58" i="50161"/>
  <c r="BN58" i="50161"/>
  <c r="BO57" i="50161"/>
  <c r="BN57" i="50161"/>
  <c r="BO56" i="50161"/>
  <c r="BN56" i="50161"/>
  <c r="BO55" i="50161"/>
  <c r="BN55" i="50161"/>
  <c r="BO54" i="50161"/>
  <c r="BN54" i="50161"/>
  <c r="BO53" i="50161"/>
  <c r="BN53" i="50161"/>
  <c r="BO52" i="50161"/>
  <c r="BN52" i="50161"/>
  <c r="BO51" i="50161"/>
  <c r="BN51" i="50161"/>
  <c r="BO50" i="50161"/>
  <c r="BN50" i="50161"/>
  <c r="BO49" i="50161"/>
  <c r="BN49" i="50161"/>
  <c r="BO48" i="50161"/>
  <c r="BN48" i="50161"/>
  <c r="BO47" i="50161"/>
  <c r="BN47" i="50161"/>
  <c r="BO46" i="50161"/>
  <c r="BN46" i="50161"/>
  <c r="BO45" i="50161"/>
  <c r="BN45" i="50161"/>
  <c r="BO44" i="50161"/>
  <c r="BN44" i="50161"/>
  <c r="BO43" i="50161"/>
  <c r="BN43" i="50161"/>
  <c r="BO42" i="50161"/>
  <c r="BN42" i="50161"/>
  <c r="BO41" i="50161"/>
  <c r="BN41" i="50161"/>
  <c r="BO40" i="50161"/>
  <c r="BN40" i="50161"/>
  <c r="BO39" i="50161"/>
  <c r="BN39" i="50161"/>
  <c r="BO38" i="50161"/>
  <c r="BN38" i="50161"/>
  <c r="BO37" i="50161"/>
  <c r="BN37" i="50161"/>
  <c r="BO36" i="50161"/>
  <c r="BN36" i="50161"/>
  <c r="BO35" i="50161"/>
  <c r="BN35" i="50161"/>
  <c r="BO34" i="50161"/>
  <c r="BN34" i="50161"/>
  <c r="BO33" i="50161"/>
  <c r="BN33" i="50161"/>
  <c r="BO32" i="50161"/>
  <c r="BN32" i="50161"/>
  <c r="BO31" i="50161"/>
  <c r="BN31" i="50161"/>
  <c r="BO30" i="50161"/>
  <c r="BN30" i="50161"/>
  <c r="BO29" i="50161"/>
  <c r="BN29" i="50161"/>
  <c r="BO28" i="50161"/>
  <c r="BN28" i="50161"/>
  <c r="BO27" i="50161"/>
  <c r="BN27" i="50161"/>
  <c r="BO26" i="50161"/>
  <c r="BN26" i="50161"/>
  <c r="BO25" i="50161"/>
  <c r="BN25" i="50161"/>
  <c r="BO24" i="50161"/>
  <c r="BN24" i="50161"/>
  <c r="BO23" i="50161"/>
  <c r="BN23" i="50161"/>
  <c r="BO22" i="50161"/>
  <c r="BN22" i="50161"/>
  <c r="BO21" i="50161"/>
  <c r="BN21" i="50161"/>
  <c r="BO20" i="50161"/>
  <c r="BN20" i="50161"/>
  <c r="BO19" i="50161"/>
  <c r="BN19" i="50161"/>
  <c r="BO18" i="50161"/>
  <c r="BN18" i="50161"/>
  <c r="BO17" i="50161"/>
  <c r="BN17" i="50161"/>
  <c r="BO16" i="50161"/>
  <c r="BN16" i="50161"/>
  <c r="BO15" i="50161"/>
  <c r="BN15" i="50161"/>
  <c r="BO14" i="50161"/>
  <c r="BN14" i="50161"/>
  <c r="BO13" i="50161"/>
  <c r="BN13" i="50161"/>
  <c r="BL62" i="50161"/>
  <c r="BK62" i="50161"/>
  <c r="BL61" i="50161"/>
  <c r="BK61" i="50161"/>
  <c r="BL60" i="50161"/>
  <c r="BK60" i="50161"/>
  <c r="BL59" i="50161"/>
  <c r="BK59" i="50161"/>
  <c r="BL58" i="50161"/>
  <c r="BK58" i="50161"/>
  <c r="BL57" i="50161"/>
  <c r="BK57" i="50161"/>
  <c r="BL56" i="50161"/>
  <c r="BK56" i="50161"/>
  <c r="BL55" i="50161"/>
  <c r="BK55" i="50161"/>
  <c r="BL54" i="50161"/>
  <c r="BK54" i="50161"/>
  <c r="BL53" i="50161"/>
  <c r="BK53" i="50161"/>
  <c r="BL52" i="50161"/>
  <c r="BK52" i="50161"/>
  <c r="BL51" i="50161"/>
  <c r="BK51" i="50161"/>
  <c r="BL50" i="50161"/>
  <c r="BK50" i="50161"/>
  <c r="BL49" i="50161"/>
  <c r="BK49" i="50161"/>
  <c r="BL48" i="50161"/>
  <c r="BK48" i="50161"/>
  <c r="BL47" i="50161"/>
  <c r="BK47" i="50161"/>
  <c r="BL46" i="50161"/>
  <c r="BK46" i="50161"/>
  <c r="BL45" i="50161"/>
  <c r="BK45" i="50161"/>
  <c r="BL44" i="50161"/>
  <c r="BK44" i="50161"/>
  <c r="BL43" i="50161"/>
  <c r="BK43" i="50161"/>
  <c r="BL42" i="50161"/>
  <c r="BK42" i="50161"/>
  <c r="BL41" i="50161"/>
  <c r="BK41" i="50161"/>
  <c r="BL40" i="50161"/>
  <c r="BK40" i="50161"/>
  <c r="BL39" i="50161"/>
  <c r="BK39" i="50161"/>
  <c r="BL38" i="50161"/>
  <c r="BK38" i="50161"/>
  <c r="BL37" i="50161"/>
  <c r="BK37" i="50161"/>
  <c r="BL36" i="50161"/>
  <c r="BK36" i="50161"/>
  <c r="BL35" i="50161"/>
  <c r="BK35" i="50161"/>
  <c r="BL34" i="50161"/>
  <c r="BK34" i="50161"/>
  <c r="BL33" i="50161"/>
  <c r="BK33" i="50161"/>
  <c r="BL32" i="50161"/>
  <c r="BK32" i="50161"/>
  <c r="BL31" i="50161"/>
  <c r="BK31" i="50161"/>
  <c r="BL30" i="50161"/>
  <c r="BK30" i="50161"/>
  <c r="BL29" i="50161"/>
  <c r="BK29" i="50161"/>
  <c r="BL28" i="50161"/>
  <c r="BK28" i="50161"/>
  <c r="BL27" i="50161"/>
  <c r="BK27" i="50161"/>
  <c r="BL26" i="50161"/>
  <c r="BK26" i="50161"/>
  <c r="BL25" i="50161"/>
  <c r="BK25" i="50161"/>
  <c r="BL24" i="50161"/>
  <c r="BK24" i="50161"/>
  <c r="BL23" i="50161"/>
  <c r="BK23" i="50161"/>
  <c r="BL22" i="50161"/>
  <c r="BK22" i="50161"/>
  <c r="BL21" i="50161"/>
  <c r="BK21" i="50161"/>
  <c r="BL20" i="50161"/>
  <c r="BK20" i="50161"/>
  <c r="BL19" i="50161"/>
  <c r="BK19" i="50161"/>
  <c r="BL18" i="50161"/>
  <c r="BK18" i="50161"/>
  <c r="BL17" i="50161"/>
  <c r="BK17" i="50161"/>
  <c r="BL16" i="50161"/>
  <c r="BK16" i="50161"/>
  <c r="BL15" i="50161"/>
  <c r="BK15" i="50161"/>
  <c r="BL14" i="50161"/>
  <c r="BK14" i="50161"/>
  <c r="BL13" i="50161"/>
  <c r="BK13" i="50161"/>
  <c r="BI62" i="50161"/>
  <c r="BH62" i="50161"/>
  <c r="BI61" i="50161"/>
  <c r="BH61" i="50161"/>
  <c r="BI60" i="50161"/>
  <c r="BH60" i="50161"/>
  <c r="BI59" i="50161"/>
  <c r="BH59" i="50161"/>
  <c r="BI58" i="50161"/>
  <c r="BH58" i="50161"/>
  <c r="BI57" i="50161"/>
  <c r="BH57" i="50161"/>
  <c r="BI56" i="50161"/>
  <c r="BH56" i="50161"/>
  <c r="BI55" i="50161"/>
  <c r="BH55" i="50161"/>
  <c r="BI54" i="50161"/>
  <c r="BH54" i="50161"/>
  <c r="BI53" i="50161"/>
  <c r="BH53" i="50161"/>
  <c r="BI52" i="50161"/>
  <c r="BH52" i="50161"/>
  <c r="BI51" i="50161"/>
  <c r="BH51" i="50161"/>
  <c r="BI50" i="50161"/>
  <c r="BH50" i="50161"/>
  <c r="BI49" i="50161"/>
  <c r="BH49" i="50161"/>
  <c r="BI48" i="50161"/>
  <c r="BH48" i="50161"/>
  <c r="BI47" i="50161"/>
  <c r="BH47" i="50161"/>
  <c r="BI46" i="50161"/>
  <c r="BH46" i="50161"/>
  <c r="BI45" i="50161"/>
  <c r="BH45" i="50161"/>
  <c r="BI44" i="50161"/>
  <c r="BH44" i="50161"/>
  <c r="BI43" i="50161"/>
  <c r="BH43" i="50161"/>
  <c r="BI42" i="50161"/>
  <c r="BH42" i="50161"/>
  <c r="BI41" i="50161"/>
  <c r="BH41" i="50161"/>
  <c r="BI40" i="50161"/>
  <c r="BH40" i="50161"/>
  <c r="BI39" i="50161"/>
  <c r="BH39" i="50161"/>
  <c r="BI38" i="50161"/>
  <c r="BH38" i="50161"/>
  <c r="BI37" i="50161"/>
  <c r="BH37" i="50161"/>
  <c r="BI36" i="50161"/>
  <c r="BH36" i="50161"/>
  <c r="BI35" i="50161"/>
  <c r="BH35" i="50161"/>
  <c r="BI34" i="50161"/>
  <c r="BH34" i="50161"/>
  <c r="BI33" i="50161"/>
  <c r="BH33" i="50161"/>
  <c r="BI32" i="50161"/>
  <c r="BH32" i="50161"/>
  <c r="BI31" i="50161"/>
  <c r="BH31" i="50161"/>
  <c r="BI30" i="50161"/>
  <c r="BH30" i="50161"/>
  <c r="BI29" i="50161"/>
  <c r="BH29" i="50161"/>
  <c r="BI28" i="50161"/>
  <c r="BH28" i="50161"/>
  <c r="BI27" i="50161"/>
  <c r="BH27" i="50161"/>
  <c r="BI26" i="50161"/>
  <c r="BH26" i="50161"/>
  <c r="BI25" i="50161"/>
  <c r="BH25" i="50161"/>
  <c r="BI24" i="50161"/>
  <c r="BH24" i="50161"/>
  <c r="BI23" i="50161"/>
  <c r="BH23" i="50161"/>
  <c r="BI22" i="50161"/>
  <c r="BH22" i="50161"/>
  <c r="BI21" i="50161"/>
  <c r="BH21" i="50161"/>
  <c r="BI20" i="50161"/>
  <c r="BH20" i="50161"/>
  <c r="BI19" i="50161"/>
  <c r="BH19" i="50161"/>
  <c r="BI18" i="50161"/>
  <c r="BH18" i="50161"/>
  <c r="BI17" i="50161"/>
  <c r="BH17" i="50161"/>
  <c r="BI16" i="50161"/>
  <c r="BH16" i="50161"/>
  <c r="BI15" i="50161"/>
  <c r="BH15" i="50161"/>
  <c r="BI14" i="50161"/>
  <c r="BH14" i="50161"/>
  <c r="BI13" i="50161"/>
  <c r="BH13" i="50161"/>
  <c r="A13" i="50161"/>
  <c r="D13" i="50161"/>
  <c r="G13" i="50161"/>
  <c r="J13" i="50161"/>
  <c r="M13" i="50161"/>
  <c r="P13" i="50161"/>
  <c r="S13" i="50161"/>
  <c r="V13" i="50161"/>
  <c r="BG13" i="50161"/>
  <c r="BJ13" i="50161"/>
  <c r="BM13" i="50161"/>
  <c r="BP13" i="50161"/>
  <c r="BS13" i="50161"/>
  <c r="BV13" i="50161"/>
  <c r="BY13" i="50161"/>
  <c r="CB13" i="50161"/>
  <c r="A14" i="50161"/>
  <c r="D14" i="50161"/>
  <c r="G14" i="50161"/>
  <c r="J14" i="50161"/>
  <c r="M14" i="50161"/>
  <c r="P14" i="50161"/>
  <c r="S14" i="50161"/>
  <c r="V14" i="50161"/>
  <c r="BG14" i="50161"/>
  <c r="BJ14" i="50161"/>
  <c r="BM14" i="50161"/>
  <c r="BP14" i="50161"/>
  <c r="BS14" i="50161"/>
  <c r="BV14" i="50161"/>
  <c r="BY14" i="50161"/>
  <c r="CB14" i="50161"/>
  <c r="A15" i="50161"/>
  <c r="D15" i="50161"/>
  <c r="G15" i="50161"/>
  <c r="J15" i="50161"/>
  <c r="M15" i="50161"/>
  <c r="P15" i="50161"/>
  <c r="S15" i="50161"/>
  <c r="V15" i="50161"/>
  <c r="BG15" i="50161"/>
  <c r="BJ15" i="50161"/>
  <c r="BM15" i="50161"/>
  <c r="BP15" i="50161"/>
  <c r="BS15" i="50161"/>
  <c r="BV15" i="50161"/>
  <c r="BY15" i="50161"/>
  <c r="CB15" i="50161"/>
  <c r="A16" i="50161"/>
  <c r="D16" i="50161"/>
  <c r="G16" i="50161"/>
  <c r="J16" i="50161"/>
  <c r="M16" i="50161"/>
  <c r="P16" i="50161"/>
  <c r="S16" i="50161"/>
  <c r="V16" i="50161"/>
  <c r="BG16" i="50161"/>
  <c r="BJ16" i="50161"/>
  <c r="BM16" i="50161"/>
  <c r="BP16" i="50161"/>
  <c r="BS16" i="50161"/>
  <c r="BV16" i="50161"/>
  <c r="BY16" i="50161"/>
  <c r="CB16" i="50161"/>
  <c r="A17" i="50161"/>
  <c r="D17" i="50161"/>
  <c r="G17" i="50161"/>
  <c r="J17" i="50161"/>
  <c r="M17" i="50161"/>
  <c r="P17" i="50161"/>
  <c r="S17" i="50161"/>
  <c r="V17" i="50161"/>
  <c r="BG17" i="50161"/>
  <c r="BJ17" i="50161"/>
  <c r="BM17" i="50161"/>
  <c r="BP17" i="50161"/>
  <c r="BS17" i="50161"/>
  <c r="BV17" i="50161"/>
  <c r="BY17" i="50161"/>
  <c r="CB17" i="50161"/>
  <c r="A18" i="50161"/>
  <c r="D18" i="50161"/>
  <c r="G18" i="50161"/>
  <c r="J18" i="50161"/>
  <c r="M18" i="50161"/>
  <c r="P18" i="50161"/>
  <c r="S18" i="50161"/>
  <c r="V18" i="50161"/>
  <c r="BG18" i="50161"/>
  <c r="BJ18" i="50161"/>
  <c r="BM18" i="50161"/>
  <c r="BP18" i="50161"/>
  <c r="BS18" i="50161"/>
  <c r="BV18" i="50161"/>
  <c r="BY18" i="50161"/>
  <c r="CB18" i="50161"/>
  <c r="A19" i="50161"/>
  <c r="D19" i="50161"/>
  <c r="G19" i="50161"/>
  <c r="J19" i="50161"/>
  <c r="M19" i="50161"/>
  <c r="P19" i="50161"/>
  <c r="S19" i="50161"/>
  <c r="V19" i="50161"/>
  <c r="BG19" i="50161"/>
  <c r="BJ19" i="50161"/>
  <c r="BM19" i="50161"/>
  <c r="BP19" i="50161"/>
  <c r="BS19" i="50161"/>
  <c r="BV19" i="50161"/>
  <c r="BY19" i="50161"/>
  <c r="CB19" i="50161"/>
  <c r="A20" i="50161"/>
  <c r="D20" i="50161"/>
  <c r="G20" i="50161"/>
  <c r="J20" i="50161"/>
  <c r="M20" i="50161"/>
  <c r="P20" i="50161"/>
  <c r="S20" i="50161"/>
  <c r="V20" i="50161"/>
  <c r="BG20" i="50161"/>
  <c r="BJ20" i="50161"/>
  <c r="BM20" i="50161"/>
  <c r="BP20" i="50161"/>
  <c r="BS20" i="50161"/>
  <c r="BV20" i="50161"/>
  <c r="BY20" i="50161"/>
  <c r="CB20" i="50161"/>
  <c r="A21" i="50161"/>
  <c r="D21" i="50161"/>
  <c r="G21" i="50161"/>
  <c r="J21" i="50161"/>
  <c r="M21" i="50161"/>
  <c r="P21" i="50161"/>
  <c r="S21" i="50161"/>
  <c r="V21" i="50161"/>
  <c r="BG21" i="50161"/>
  <c r="BJ21" i="50161"/>
  <c r="BM21" i="50161"/>
  <c r="BP21" i="50161"/>
  <c r="BS21" i="50161"/>
  <c r="BV21" i="50161"/>
  <c r="BY21" i="50161"/>
  <c r="CB21" i="50161"/>
  <c r="A22" i="50161"/>
  <c r="D22" i="50161"/>
  <c r="G22" i="50161"/>
  <c r="J22" i="50161"/>
  <c r="M22" i="50161"/>
  <c r="P22" i="50161"/>
  <c r="S22" i="50161"/>
  <c r="V22" i="50161"/>
  <c r="BG22" i="50161"/>
  <c r="BJ22" i="50161"/>
  <c r="BM22" i="50161"/>
  <c r="BP22" i="50161"/>
  <c r="BS22" i="50161"/>
  <c r="BV22" i="50161"/>
  <c r="BY22" i="50161"/>
  <c r="CB22" i="50161"/>
  <c r="A23" i="50161"/>
  <c r="D23" i="50161"/>
  <c r="G23" i="50161"/>
  <c r="J23" i="50161"/>
  <c r="M23" i="50161"/>
  <c r="P23" i="50161"/>
  <c r="S23" i="50161"/>
  <c r="V23" i="50161"/>
  <c r="BG23" i="50161"/>
  <c r="BJ23" i="50161"/>
  <c r="BM23" i="50161"/>
  <c r="BP23" i="50161"/>
  <c r="BS23" i="50161"/>
  <c r="BV23" i="50161"/>
  <c r="BY23" i="50161"/>
  <c r="CB23" i="50161"/>
  <c r="A24" i="50161"/>
  <c r="D24" i="50161"/>
  <c r="G24" i="50161"/>
  <c r="J24" i="50161"/>
  <c r="M24" i="50161"/>
  <c r="P24" i="50161"/>
  <c r="S24" i="50161"/>
  <c r="V24" i="50161"/>
  <c r="BG24" i="50161"/>
  <c r="BJ24" i="50161"/>
  <c r="BM24" i="50161"/>
  <c r="BP24" i="50161"/>
  <c r="BS24" i="50161"/>
  <c r="BV24" i="50161"/>
  <c r="BY24" i="50161"/>
  <c r="CB24" i="50161"/>
  <c r="A25" i="50161"/>
  <c r="D25" i="50161"/>
  <c r="G25" i="50161"/>
  <c r="J25" i="50161"/>
  <c r="M25" i="50161"/>
  <c r="P25" i="50161"/>
  <c r="S25" i="50161"/>
  <c r="V25" i="50161"/>
  <c r="BG25" i="50161"/>
  <c r="BJ25" i="50161"/>
  <c r="BM25" i="50161"/>
  <c r="BP25" i="50161"/>
  <c r="BS25" i="50161"/>
  <c r="BV25" i="50161"/>
  <c r="BY25" i="50161"/>
  <c r="CB25" i="50161"/>
  <c r="A26" i="50161"/>
  <c r="D26" i="50161"/>
  <c r="G26" i="50161"/>
  <c r="J26" i="50161"/>
  <c r="M26" i="50161"/>
  <c r="P26" i="50161"/>
  <c r="S26" i="50161"/>
  <c r="V26" i="50161"/>
  <c r="BG26" i="50161"/>
  <c r="BJ26" i="50161"/>
  <c r="BM26" i="50161"/>
  <c r="BP26" i="50161"/>
  <c r="BS26" i="50161"/>
  <c r="BV26" i="50161"/>
  <c r="BY26" i="50161"/>
  <c r="CB26" i="50161"/>
  <c r="A27" i="50161"/>
  <c r="D27" i="50161"/>
  <c r="G27" i="50161"/>
  <c r="J27" i="50161"/>
  <c r="M27" i="50161"/>
  <c r="P27" i="50161"/>
  <c r="S27" i="50161"/>
  <c r="V27" i="50161"/>
  <c r="BG27" i="50161"/>
  <c r="BJ27" i="50161"/>
  <c r="BM27" i="50161"/>
  <c r="BP27" i="50161"/>
  <c r="BS27" i="50161"/>
  <c r="BV27" i="50161"/>
  <c r="BY27" i="50161"/>
  <c r="CB27" i="50161"/>
  <c r="A28" i="50161"/>
  <c r="D28" i="50161"/>
  <c r="G28" i="50161"/>
  <c r="J28" i="50161"/>
  <c r="M28" i="50161"/>
  <c r="P28" i="50161"/>
  <c r="S28" i="50161"/>
  <c r="V28" i="50161"/>
  <c r="BG28" i="50161"/>
  <c r="BJ28" i="50161"/>
  <c r="BM28" i="50161"/>
  <c r="BP28" i="50161"/>
  <c r="BS28" i="50161"/>
  <c r="BV28" i="50161"/>
  <c r="BY28" i="50161"/>
  <c r="CB28" i="50161"/>
  <c r="A29" i="50161"/>
  <c r="D29" i="50161"/>
  <c r="G29" i="50161"/>
  <c r="J29" i="50161"/>
  <c r="M29" i="50161"/>
  <c r="P29" i="50161"/>
  <c r="S29" i="50161"/>
  <c r="V29" i="50161"/>
  <c r="BG29" i="50161"/>
  <c r="BJ29" i="50161"/>
  <c r="BM29" i="50161"/>
  <c r="BP29" i="50161"/>
  <c r="BS29" i="50161"/>
  <c r="BV29" i="50161"/>
  <c r="BY29" i="50161"/>
  <c r="CB29" i="50161"/>
  <c r="A30" i="50161"/>
  <c r="D30" i="50161"/>
  <c r="G30" i="50161"/>
  <c r="J30" i="50161"/>
  <c r="M30" i="50161"/>
  <c r="P30" i="50161"/>
  <c r="S30" i="50161"/>
  <c r="V30" i="50161"/>
  <c r="BG30" i="50161"/>
  <c r="BJ30" i="50161"/>
  <c r="BM30" i="50161"/>
  <c r="BP30" i="50161"/>
  <c r="BS30" i="50161"/>
  <c r="BV30" i="50161"/>
  <c r="BY30" i="50161"/>
  <c r="CB30" i="50161"/>
  <c r="A31" i="50161"/>
  <c r="D31" i="50161"/>
  <c r="G31" i="50161"/>
  <c r="J31" i="50161"/>
  <c r="M31" i="50161"/>
  <c r="P31" i="50161"/>
  <c r="S31" i="50161"/>
  <c r="V31" i="50161"/>
  <c r="BG31" i="50161"/>
  <c r="BJ31" i="50161"/>
  <c r="BM31" i="50161"/>
  <c r="BP31" i="50161"/>
  <c r="BS31" i="50161"/>
  <c r="BV31" i="50161"/>
  <c r="BY31" i="50161"/>
  <c r="CB31" i="50161"/>
  <c r="A32" i="50161"/>
  <c r="D32" i="50161"/>
  <c r="G32" i="50161"/>
  <c r="J32" i="50161"/>
  <c r="M32" i="50161"/>
  <c r="P32" i="50161"/>
  <c r="S32" i="50161"/>
  <c r="V32" i="50161"/>
  <c r="BG32" i="50161"/>
  <c r="BJ32" i="50161"/>
  <c r="BM32" i="50161"/>
  <c r="BP32" i="50161"/>
  <c r="BS32" i="50161"/>
  <c r="BV32" i="50161"/>
  <c r="BY32" i="50161"/>
  <c r="CB32" i="50161"/>
  <c r="A33" i="50161"/>
  <c r="D33" i="50161"/>
  <c r="G33" i="50161"/>
  <c r="J33" i="50161"/>
  <c r="M33" i="50161"/>
  <c r="P33" i="50161"/>
  <c r="S33" i="50161"/>
  <c r="V33" i="50161"/>
  <c r="BG33" i="50161"/>
  <c r="BJ33" i="50161"/>
  <c r="BM33" i="50161"/>
  <c r="BP33" i="50161"/>
  <c r="BS33" i="50161"/>
  <c r="BV33" i="50161"/>
  <c r="BY33" i="50161"/>
  <c r="CB33" i="50161"/>
  <c r="A34" i="50161"/>
  <c r="D34" i="50161"/>
  <c r="G34" i="50161"/>
  <c r="J34" i="50161"/>
  <c r="M34" i="50161"/>
  <c r="P34" i="50161"/>
  <c r="S34" i="50161"/>
  <c r="V34" i="50161"/>
  <c r="BG34" i="50161"/>
  <c r="BJ34" i="50161"/>
  <c r="BM34" i="50161"/>
  <c r="BP34" i="50161"/>
  <c r="BS34" i="50161"/>
  <c r="BV34" i="50161"/>
  <c r="BY34" i="50161"/>
  <c r="CB34" i="50161"/>
  <c r="A35" i="50161"/>
  <c r="D35" i="50161"/>
  <c r="G35" i="50161"/>
  <c r="J35" i="50161"/>
  <c r="M35" i="50161"/>
  <c r="P35" i="50161"/>
  <c r="S35" i="50161"/>
  <c r="V35" i="50161"/>
  <c r="BG35" i="50161"/>
  <c r="BJ35" i="50161"/>
  <c r="BM35" i="50161"/>
  <c r="BP35" i="50161"/>
  <c r="BS35" i="50161"/>
  <c r="BV35" i="50161"/>
  <c r="BY35" i="50161"/>
  <c r="CB35" i="50161"/>
  <c r="A36" i="50161"/>
  <c r="D36" i="50161"/>
  <c r="G36" i="50161"/>
  <c r="J36" i="50161"/>
  <c r="M36" i="50161"/>
  <c r="P36" i="50161"/>
  <c r="S36" i="50161"/>
  <c r="V36" i="50161"/>
  <c r="BG36" i="50161"/>
  <c r="BJ36" i="50161"/>
  <c r="BM36" i="50161"/>
  <c r="BP36" i="50161"/>
  <c r="BS36" i="50161"/>
  <c r="BV36" i="50161"/>
  <c r="BY36" i="50161"/>
  <c r="CB36" i="50161"/>
  <c r="A37" i="50161"/>
  <c r="D37" i="50161"/>
  <c r="G37" i="50161"/>
  <c r="J37" i="50161"/>
  <c r="M37" i="50161"/>
  <c r="P37" i="50161"/>
  <c r="S37" i="50161"/>
  <c r="V37" i="50161"/>
  <c r="BG37" i="50161"/>
  <c r="BJ37" i="50161"/>
  <c r="BM37" i="50161"/>
  <c r="BP37" i="50161"/>
  <c r="BS37" i="50161"/>
  <c r="BV37" i="50161"/>
  <c r="BY37" i="50161"/>
  <c r="CB37" i="50161"/>
  <c r="A38" i="50161"/>
  <c r="D38" i="50161"/>
  <c r="G38" i="50161"/>
  <c r="J38" i="50161"/>
  <c r="M38" i="50161"/>
  <c r="P38" i="50161"/>
  <c r="S38" i="50161"/>
  <c r="V38" i="50161"/>
  <c r="BG38" i="50161"/>
  <c r="BJ38" i="50161"/>
  <c r="BM38" i="50161"/>
  <c r="BP38" i="50161"/>
  <c r="BS38" i="50161"/>
  <c r="BV38" i="50161"/>
  <c r="BY38" i="50161"/>
  <c r="CB38" i="50161"/>
  <c r="A39" i="50161"/>
  <c r="D39" i="50161"/>
  <c r="G39" i="50161"/>
  <c r="J39" i="50161"/>
  <c r="M39" i="50161"/>
  <c r="P39" i="50161"/>
  <c r="S39" i="50161"/>
  <c r="V39" i="50161"/>
  <c r="BG39" i="50161"/>
  <c r="BJ39" i="50161"/>
  <c r="BM39" i="50161"/>
  <c r="BP39" i="50161"/>
  <c r="BS39" i="50161"/>
  <c r="BV39" i="50161"/>
  <c r="BY39" i="50161"/>
  <c r="CB39" i="50161"/>
  <c r="A40" i="50161"/>
  <c r="D40" i="50161"/>
  <c r="G40" i="50161"/>
  <c r="J40" i="50161"/>
  <c r="M40" i="50161"/>
  <c r="P40" i="50161"/>
  <c r="S40" i="50161"/>
  <c r="V40" i="50161"/>
  <c r="BG40" i="50161"/>
  <c r="BJ40" i="50161"/>
  <c r="BM40" i="50161"/>
  <c r="BP40" i="50161"/>
  <c r="BS40" i="50161"/>
  <c r="BV40" i="50161"/>
  <c r="BY40" i="50161"/>
  <c r="CB40" i="50161"/>
  <c r="A41" i="50161"/>
  <c r="D41" i="50161"/>
  <c r="G41" i="50161"/>
  <c r="J41" i="50161"/>
  <c r="M41" i="50161"/>
  <c r="P41" i="50161"/>
  <c r="S41" i="50161"/>
  <c r="V41" i="50161"/>
  <c r="BG41" i="50161"/>
  <c r="BJ41" i="50161"/>
  <c r="BM41" i="50161"/>
  <c r="BP41" i="50161"/>
  <c r="BS41" i="50161"/>
  <c r="BV41" i="50161"/>
  <c r="BY41" i="50161"/>
  <c r="CB41" i="50161"/>
  <c r="A42" i="50161"/>
  <c r="D42" i="50161"/>
  <c r="G42" i="50161"/>
  <c r="J42" i="50161"/>
  <c r="M42" i="50161"/>
  <c r="P42" i="50161"/>
  <c r="S42" i="50161"/>
  <c r="V42" i="50161"/>
  <c r="BG42" i="50161"/>
  <c r="BJ42" i="50161"/>
  <c r="BM42" i="50161"/>
  <c r="BP42" i="50161"/>
  <c r="BS42" i="50161"/>
  <c r="BV42" i="50161"/>
  <c r="BY42" i="50161"/>
  <c r="CB42" i="50161"/>
  <c r="A43" i="50161"/>
  <c r="D43" i="50161"/>
  <c r="G43" i="50161"/>
  <c r="J43" i="50161"/>
  <c r="M43" i="50161"/>
  <c r="P43" i="50161"/>
  <c r="S43" i="50161"/>
  <c r="V43" i="50161"/>
  <c r="BG43" i="50161"/>
  <c r="BJ43" i="50161"/>
  <c r="BM43" i="50161"/>
  <c r="BP43" i="50161"/>
  <c r="BS43" i="50161"/>
  <c r="BV43" i="50161"/>
  <c r="BY43" i="50161"/>
  <c r="CB43" i="50161"/>
  <c r="A44" i="50161"/>
  <c r="D44" i="50161"/>
  <c r="G44" i="50161"/>
  <c r="J44" i="50161"/>
  <c r="M44" i="50161"/>
  <c r="P44" i="50161"/>
  <c r="S44" i="50161"/>
  <c r="V44" i="50161"/>
  <c r="BG44" i="50161"/>
  <c r="BJ44" i="50161"/>
  <c r="BM44" i="50161"/>
  <c r="BP44" i="50161"/>
  <c r="BS44" i="50161"/>
  <c r="BV44" i="50161"/>
  <c r="BY44" i="50161"/>
  <c r="CB44" i="50161"/>
  <c r="A45" i="50161"/>
  <c r="D45" i="50161"/>
  <c r="G45" i="50161"/>
  <c r="J45" i="50161"/>
  <c r="M45" i="50161"/>
  <c r="P45" i="50161"/>
  <c r="S45" i="50161"/>
  <c r="V45" i="50161"/>
  <c r="BG45" i="50161"/>
  <c r="BJ45" i="50161"/>
  <c r="BM45" i="50161"/>
  <c r="BP45" i="50161"/>
  <c r="BS45" i="50161"/>
  <c r="BV45" i="50161"/>
  <c r="BY45" i="50161"/>
  <c r="CB45" i="50161"/>
  <c r="A46" i="50161"/>
  <c r="D46" i="50161"/>
  <c r="G46" i="50161"/>
  <c r="J46" i="50161"/>
  <c r="M46" i="50161"/>
  <c r="P46" i="50161"/>
  <c r="S46" i="50161"/>
  <c r="V46" i="50161"/>
  <c r="BG46" i="50161"/>
  <c r="BJ46" i="50161"/>
  <c r="BM46" i="50161"/>
  <c r="BP46" i="50161"/>
  <c r="BS46" i="50161"/>
  <c r="BV46" i="50161"/>
  <c r="BY46" i="50161"/>
  <c r="CB46" i="50161"/>
  <c r="A47" i="50161"/>
  <c r="D47" i="50161"/>
  <c r="G47" i="50161"/>
  <c r="J47" i="50161"/>
  <c r="M47" i="50161"/>
  <c r="P47" i="50161"/>
  <c r="S47" i="50161"/>
  <c r="V47" i="50161"/>
  <c r="BG47" i="50161"/>
  <c r="BJ47" i="50161"/>
  <c r="BM47" i="50161"/>
  <c r="BP47" i="50161"/>
  <c r="BS47" i="50161"/>
  <c r="BV47" i="50161"/>
  <c r="BY47" i="50161"/>
  <c r="CB47" i="50161"/>
  <c r="A48" i="50161"/>
  <c r="D48" i="50161"/>
  <c r="G48" i="50161"/>
  <c r="J48" i="50161"/>
  <c r="M48" i="50161"/>
  <c r="P48" i="50161"/>
  <c r="S48" i="50161"/>
  <c r="V48" i="50161"/>
  <c r="BG48" i="50161"/>
  <c r="BJ48" i="50161"/>
  <c r="BM48" i="50161"/>
  <c r="BP48" i="50161"/>
  <c r="BS48" i="50161"/>
  <c r="BV48" i="50161"/>
  <c r="BY48" i="50161"/>
  <c r="CB48" i="50161"/>
  <c r="A49" i="50161"/>
  <c r="D49" i="50161"/>
  <c r="G49" i="50161"/>
  <c r="J49" i="50161"/>
  <c r="M49" i="50161"/>
  <c r="P49" i="50161"/>
  <c r="S49" i="50161"/>
  <c r="V49" i="50161"/>
  <c r="BG49" i="50161"/>
  <c r="BJ49" i="50161"/>
  <c r="BM49" i="50161"/>
  <c r="BP49" i="50161"/>
  <c r="BS49" i="50161"/>
  <c r="BV49" i="50161"/>
  <c r="BY49" i="50161"/>
  <c r="CB49" i="50161"/>
  <c r="A50" i="50161"/>
  <c r="D50" i="50161"/>
  <c r="G50" i="50161"/>
  <c r="J50" i="50161"/>
  <c r="M50" i="50161"/>
  <c r="P50" i="50161"/>
  <c r="S50" i="50161"/>
  <c r="V50" i="50161"/>
  <c r="BG50" i="50161"/>
  <c r="BJ50" i="50161"/>
  <c r="BM50" i="50161"/>
  <c r="BP50" i="50161"/>
  <c r="BS50" i="50161"/>
  <c r="BV50" i="50161"/>
  <c r="BY50" i="50161"/>
  <c r="CB50" i="50161"/>
  <c r="A51" i="50161"/>
  <c r="D51" i="50161"/>
  <c r="G51" i="50161"/>
  <c r="J51" i="50161"/>
  <c r="M51" i="50161"/>
  <c r="P51" i="50161"/>
  <c r="S51" i="50161"/>
  <c r="V51" i="50161"/>
  <c r="BG51" i="50161"/>
  <c r="BJ51" i="50161"/>
  <c r="BM51" i="50161"/>
  <c r="BP51" i="50161"/>
  <c r="BS51" i="50161"/>
  <c r="BV51" i="50161"/>
  <c r="BY51" i="50161"/>
  <c r="CB51" i="50161"/>
  <c r="A52" i="50161"/>
  <c r="D52" i="50161"/>
  <c r="G52" i="50161"/>
  <c r="J52" i="50161"/>
  <c r="M52" i="50161"/>
  <c r="P52" i="50161"/>
  <c r="S52" i="50161"/>
  <c r="V52" i="50161"/>
  <c r="BG52" i="50161"/>
  <c r="BJ52" i="50161"/>
  <c r="BM52" i="50161"/>
  <c r="BP52" i="50161"/>
  <c r="BS52" i="50161"/>
  <c r="BV52" i="50161"/>
  <c r="BY52" i="50161"/>
  <c r="CB52" i="50161"/>
  <c r="A53" i="50161"/>
  <c r="D53" i="50161"/>
  <c r="G53" i="50161"/>
  <c r="J53" i="50161"/>
  <c r="M53" i="50161"/>
  <c r="P53" i="50161"/>
  <c r="S53" i="50161"/>
  <c r="V53" i="50161"/>
  <c r="BG53" i="50161"/>
  <c r="BJ53" i="50161"/>
  <c r="BM53" i="50161"/>
  <c r="BP53" i="50161"/>
  <c r="BS53" i="50161"/>
  <c r="BV53" i="50161"/>
  <c r="BY53" i="50161"/>
  <c r="CB53" i="50161"/>
  <c r="A54" i="50161"/>
  <c r="D54" i="50161"/>
  <c r="G54" i="50161"/>
  <c r="J54" i="50161"/>
  <c r="M54" i="50161"/>
  <c r="P54" i="50161"/>
  <c r="S54" i="50161"/>
  <c r="V54" i="50161"/>
  <c r="BG54" i="50161"/>
  <c r="BJ54" i="50161"/>
  <c r="BM54" i="50161"/>
  <c r="BP54" i="50161"/>
  <c r="BS54" i="50161"/>
  <c r="BV54" i="50161"/>
  <c r="BY54" i="50161"/>
  <c r="CB54" i="50161"/>
  <c r="A55" i="50161"/>
  <c r="D55" i="50161"/>
  <c r="G55" i="50161"/>
  <c r="J55" i="50161"/>
  <c r="M55" i="50161"/>
  <c r="P55" i="50161"/>
  <c r="S55" i="50161"/>
  <c r="V55" i="50161"/>
  <c r="BG55" i="50161"/>
  <c r="BJ55" i="50161"/>
  <c r="BM55" i="50161"/>
  <c r="BP55" i="50161"/>
  <c r="BS55" i="50161"/>
  <c r="BV55" i="50161"/>
  <c r="BY55" i="50161"/>
  <c r="CB55" i="50161"/>
  <c r="A56" i="50161"/>
  <c r="D56" i="50161"/>
  <c r="G56" i="50161"/>
  <c r="J56" i="50161"/>
  <c r="M56" i="50161"/>
  <c r="P56" i="50161"/>
  <c r="S56" i="50161"/>
  <c r="V56" i="50161"/>
  <c r="BG56" i="50161"/>
  <c r="BJ56" i="50161"/>
  <c r="BM56" i="50161"/>
  <c r="BP56" i="50161"/>
  <c r="BS56" i="50161"/>
  <c r="BV56" i="50161"/>
  <c r="BY56" i="50161"/>
  <c r="CB56" i="50161"/>
  <c r="A57" i="50161"/>
  <c r="D57" i="50161"/>
  <c r="G57" i="50161"/>
  <c r="J57" i="50161"/>
  <c r="M57" i="50161"/>
  <c r="P57" i="50161"/>
  <c r="S57" i="50161"/>
  <c r="V57" i="50161"/>
  <c r="BG57" i="50161"/>
  <c r="BJ57" i="50161"/>
  <c r="BM57" i="50161"/>
  <c r="BP57" i="50161"/>
  <c r="BS57" i="50161"/>
  <c r="BV57" i="50161"/>
  <c r="BY57" i="50161"/>
  <c r="CB57" i="50161"/>
  <c r="A58" i="50161"/>
  <c r="D58" i="50161"/>
  <c r="G58" i="50161"/>
  <c r="J58" i="50161"/>
  <c r="M58" i="50161"/>
  <c r="P58" i="50161"/>
  <c r="S58" i="50161"/>
  <c r="V58" i="50161"/>
  <c r="BG58" i="50161"/>
  <c r="BJ58" i="50161"/>
  <c r="BM58" i="50161"/>
  <c r="BP58" i="50161"/>
  <c r="BS58" i="50161"/>
  <c r="BV58" i="50161"/>
  <c r="BY58" i="50161"/>
  <c r="CB58" i="50161"/>
  <c r="A59" i="50161"/>
  <c r="D59" i="50161"/>
  <c r="G59" i="50161"/>
  <c r="J59" i="50161"/>
  <c r="M59" i="50161"/>
  <c r="P59" i="50161"/>
  <c r="S59" i="50161"/>
  <c r="V59" i="50161"/>
  <c r="BG59" i="50161"/>
  <c r="BJ59" i="50161"/>
  <c r="BM59" i="50161"/>
  <c r="BP59" i="50161"/>
  <c r="BS59" i="50161"/>
  <c r="BV59" i="50161"/>
  <c r="BY59" i="50161"/>
  <c r="CB59" i="50161"/>
  <c r="A60" i="50161"/>
  <c r="D60" i="50161"/>
  <c r="G60" i="50161"/>
  <c r="J60" i="50161"/>
  <c r="M60" i="50161"/>
  <c r="P60" i="50161"/>
  <c r="S60" i="50161"/>
  <c r="V60" i="50161"/>
  <c r="BG60" i="50161"/>
  <c r="BJ60" i="50161"/>
  <c r="BM60" i="50161"/>
  <c r="BP60" i="50161"/>
  <c r="BS60" i="50161"/>
  <c r="BV60" i="50161"/>
  <c r="BY60" i="50161"/>
  <c r="CB60" i="50161"/>
  <c r="A61" i="50161"/>
  <c r="D61" i="50161"/>
  <c r="G61" i="50161"/>
  <c r="J61" i="50161"/>
  <c r="M61" i="50161"/>
  <c r="P61" i="50161"/>
  <c r="S61" i="50161"/>
  <c r="V61" i="50161"/>
  <c r="BG61" i="50161"/>
  <c r="BJ61" i="50161"/>
  <c r="BM61" i="50161"/>
  <c r="BP61" i="50161"/>
  <c r="BS61" i="50161"/>
  <c r="BV61" i="50161"/>
  <c r="BY61" i="50161"/>
  <c r="CB61" i="50161"/>
  <c r="A62" i="50161"/>
  <c r="D62" i="50161"/>
  <c r="G62" i="50161"/>
  <c r="J62" i="50161"/>
  <c r="M62" i="50161"/>
  <c r="P62" i="50161"/>
  <c r="S62" i="50161"/>
  <c r="V62" i="50161"/>
  <c r="BG62" i="50161"/>
  <c r="BJ62" i="50161"/>
  <c r="BM62" i="50161"/>
  <c r="BP62" i="50161"/>
  <c r="BS62" i="50161"/>
  <c r="BV62" i="50161"/>
  <c r="BY62" i="50161"/>
  <c r="CB62" i="50161"/>
  <c r="B66" i="50161"/>
  <c r="C66" i="50161"/>
  <c r="D66" i="50161"/>
  <c r="E66" i="50161"/>
  <c r="F66" i="50161"/>
  <c r="G66" i="50161"/>
  <c r="H66" i="50161"/>
  <c r="I66" i="50161"/>
  <c r="J66" i="50161"/>
  <c r="K66" i="50161"/>
  <c r="L66" i="50161"/>
  <c r="M66" i="50161"/>
  <c r="N66" i="50161"/>
  <c r="O66" i="50161"/>
  <c r="P66" i="50161"/>
  <c r="BH66" i="50161"/>
  <c r="BI66" i="50161"/>
  <c r="BJ66" i="50161"/>
  <c r="BK66" i="50161"/>
  <c r="BL66" i="50161"/>
  <c r="BM66" i="50161"/>
  <c r="BN66" i="50161"/>
  <c r="BO66" i="50161"/>
  <c r="BP66" i="50161"/>
  <c r="BQ66" i="50161"/>
  <c r="BR66" i="50161"/>
  <c r="BS66" i="50161"/>
  <c r="BT66" i="50161"/>
  <c r="BU66" i="50161"/>
  <c r="BV66" i="50161"/>
  <c r="BG92" i="50161"/>
  <c r="BH92" i="50161" s="1"/>
  <c r="BJ92" i="50161"/>
  <c r="BK92" i="50161" s="1"/>
  <c r="BL92" i="50161"/>
  <c r="BM92" i="50161"/>
  <c r="BN92" i="50161" s="1"/>
  <c r="BP92" i="50161"/>
  <c r="BR92" i="50161" s="1"/>
  <c r="BQ92" i="50161"/>
  <c r="BS92" i="50161"/>
  <c r="BT92" i="50161" s="1"/>
  <c r="BU92" i="50161"/>
  <c r="BV92" i="50161"/>
  <c r="BW92" i="50161" s="1"/>
  <c r="BY92" i="50161"/>
  <c r="CA92" i="50161" s="1"/>
  <c r="BZ92" i="50161"/>
  <c r="CB92" i="50161"/>
  <c r="BG93" i="50161"/>
  <c r="BH93" i="50161" s="1"/>
  <c r="BI93" i="50161"/>
  <c r="BJ93" i="50161"/>
  <c r="BK93" i="50161" s="1"/>
  <c r="BL93" i="50161"/>
  <c r="BM93" i="50161"/>
  <c r="BN93" i="50161" s="1"/>
  <c r="BP93" i="50161"/>
  <c r="BQ93" i="50161"/>
  <c r="BR93" i="50161"/>
  <c r="BS93" i="50161"/>
  <c r="BU93" i="50161" s="1"/>
  <c r="BT93" i="50161"/>
  <c r="BV93" i="50161"/>
  <c r="BW93" i="50161" s="1"/>
  <c r="BY93" i="50161"/>
  <c r="CA93" i="50161" s="1"/>
  <c r="CB93" i="50161"/>
  <c r="BG94" i="50161"/>
  <c r="BH94" i="50161" s="1"/>
  <c r="BI94" i="50161"/>
  <c r="BJ94" i="50161"/>
  <c r="BK94" i="50161" s="1"/>
  <c r="BL94" i="50161"/>
  <c r="BM94" i="50161"/>
  <c r="BN94" i="50161" s="1"/>
  <c r="BP94" i="50161"/>
  <c r="BR94" i="50161" s="1"/>
  <c r="BQ94" i="50161"/>
  <c r="BS94" i="50161"/>
  <c r="BT94" i="50161"/>
  <c r="BU94" i="50161"/>
  <c r="BV94" i="50161"/>
  <c r="BW94" i="50161" s="1"/>
  <c r="BY94" i="50161"/>
  <c r="CA94" i="50161" s="1"/>
  <c r="BZ94" i="50161"/>
  <c r="CB94" i="50161"/>
  <c r="BG95" i="50161"/>
  <c r="BJ95" i="50161"/>
  <c r="BK95" i="50161" s="1"/>
  <c r="BL95" i="50161"/>
  <c r="BM95" i="50161"/>
  <c r="BP95" i="50161"/>
  <c r="BR95" i="50161" s="1"/>
  <c r="BQ95" i="50161"/>
  <c r="BS95" i="50161"/>
  <c r="BU95" i="50161" s="1"/>
  <c r="BT95" i="50161"/>
  <c r="BV95" i="50161"/>
  <c r="BW95" i="50161" s="1"/>
  <c r="BY95" i="50161"/>
  <c r="CA95" i="50161" s="1"/>
  <c r="BZ95" i="50161"/>
  <c r="CB95" i="50161"/>
  <c r="BG96" i="50161"/>
  <c r="BH96" i="50161" s="1"/>
  <c r="BJ96" i="50161"/>
  <c r="BM96" i="50161"/>
  <c r="BP96" i="50161"/>
  <c r="BR96" i="50161" s="1"/>
  <c r="BS96" i="50161"/>
  <c r="BT96" i="50161"/>
  <c r="BU96" i="50161"/>
  <c r="BV96" i="50161"/>
  <c r="BW96" i="50161" s="1"/>
  <c r="BY96" i="50161"/>
  <c r="CA96" i="50161" s="1"/>
  <c r="BZ96" i="50161"/>
  <c r="CB96" i="50161"/>
  <c r="BG97" i="50161"/>
  <c r="BH97" i="50161" s="1"/>
  <c r="BI97" i="50161"/>
  <c r="BJ97" i="50161"/>
  <c r="BK97" i="50161" s="1"/>
  <c r="BM97" i="50161"/>
  <c r="BP97" i="50161"/>
  <c r="BR97" i="50161" s="1"/>
  <c r="BQ97" i="50161"/>
  <c r="BS97" i="50161"/>
  <c r="BT97" i="50161" s="1"/>
  <c r="BV97" i="50161"/>
  <c r="BW97" i="50161" s="1"/>
  <c r="BY97" i="50161"/>
  <c r="CA97" i="50161" s="1"/>
  <c r="BZ97" i="50161"/>
  <c r="CB97" i="50161"/>
  <c r="BG98" i="50161"/>
  <c r="BI98" i="50161" s="1"/>
  <c r="BH98" i="50161"/>
  <c r="BJ98" i="50161"/>
  <c r="BM98" i="50161"/>
  <c r="BP98" i="50161"/>
  <c r="BQ98" i="50161" s="1"/>
  <c r="BR98" i="50161"/>
  <c r="BS98" i="50161"/>
  <c r="BT98" i="50161"/>
  <c r="BU98" i="50161"/>
  <c r="BV98" i="50161"/>
  <c r="BW98" i="50161" s="1"/>
  <c r="BY98" i="50161"/>
  <c r="CA98" i="50161" s="1"/>
  <c r="CB98" i="50161"/>
  <c r="BG99" i="50161"/>
  <c r="BH99" i="50161"/>
  <c r="BI99" i="50161"/>
  <c r="BJ99" i="50161"/>
  <c r="BK99" i="50161" s="1"/>
  <c r="BL99" i="50161"/>
  <c r="BM99" i="50161"/>
  <c r="BP99" i="50161"/>
  <c r="BR99" i="50161" s="1"/>
  <c r="BQ99" i="50161"/>
  <c r="BS99" i="50161"/>
  <c r="BU99" i="50161" s="1"/>
  <c r="BT99" i="50161"/>
  <c r="BV99" i="50161"/>
  <c r="BW99" i="50161" s="1"/>
  <c r="BY99" i="50161"/>
  <c r="CA99" i="50161" s="1"/>
  <c r="CB99" i="50161"/>
  <c r="CD99" i="50161" s="1"/>
  <c r="CC99" i="50161"/>
  <c r="BG100" i="50161"/>
  <c r="BH100" i="50161"/>
  <c r="BI100" i="50161"/>
  <c r="BJ100" i="50161"/>
  <c r="BK100" i="50161" s="1"/>
  <c r="BL100" i="50161"/>
  <c r="BM100" i="50161"/>
  <c r="BP100" i="50161"/>
  <c r="BR100" i="50161" s="1"/>
  <c r="BQ100" i="50161"/>
  <c r="BS100" i="50161"/>
  <c r="BT100" i="50161" s="1"/>
  <c r="BU100" i="50161"/>
  <c r="BV100" i="50161"/>
  <c r="BW100" i="50161" s="1"/>
  <c r="BY100" i="50161"/>
  <c r="CB100" i="50161"/>
  <c r="CD100" i="50161" s="1"/>
  <c r="BG101" i="50161"/>
  <c r="BH101" i="50161" s="1"/>
  <c r="BI101" i="50161"/>
  <c r="BJ101" i="50161"/>
  <c r="BK101" i="50161" s="1"/>
  <c r="BM101" i="50161"/>
  <c r="BP101" i="50161"/>
  <c r="BQ101" i="50161"/>
  <c r="BR101" i="50161"/>
  <c r="BS101" i="50161"/>
  <c r="BT101" i="50161"/>
  <c r="BU101" i="50161"/>
  <c r="BV101" i="50161"/>
  <c r="BW101" i="50161" s="1"/>
  <c r="BY101" i="50161"/>
  <c r="CB101" i="50161"/>
  <c r="CD101" i="50161" s="1"/>
  <c r="CC101" i="50161"/>
  <c r="BG102" i="50161"/>
  <c r="BH102" i="50161"/>
  <c r="BI102" i="50161"/>
  <c r="BJ102" i="50161"/>
  <c r="BM102" i="50161"/>
  <c r="BP102" i="50161"/>
  <c r="BQ102" i="50161"/>
  <c r="BR102" i="50161"/>
  <c r="BS102" i="50161"/>
  <c r="BT102" i="50161"/>
  <c r="BU102" i="50161"/>
  <c r="BV102" i="50161"/>
  <c r="BW102" i="50161" s="1"/>
  <c r="BY102" i="50161"/>
  <c r="CA102" i="50161" s="1"/>
  <c r="CB102" i="50161"/>
  <c r="CD102" i="50161" s="1"/>
  <c r="CC102" i="50161"/>
  <c r="BG103" i="50161"/>
  <c r="BH103" i="50161" s="1"/>
  <c r="BI103" i="50161"/>
  <c r="BJ103" i="50161"/>
  <c r="BK103" i="50161" s="1"/>
  <c r="BL103" i="50161"/>
  <c r="BM103" i="50161"/>
  <c r="BP103" i="50161"/>
  <c r="BQ103" i="50161"/>
  <c r="BR103" i="50161"/>
  <c r="BS103" i="50161"/>
  <c r="BT103" i="50161"/>
  <c r="BU103" i="50161"/>
  <c r="BV103" i="50161"/>
  <c r="BW103" i="50161" s="1"/>
  <c r="BX103" i="50161"/>
  <c r="BY103" i="50161"/>
  <c r="CA103" i="50161" s="1"/>
  <c r="BZ103" i="50161"/>
  <c r="CB103" i="50161"/>
  <c r="CD103" i="50161" s="1"/>
  <c r="BG104" i="50161"/>
  <c r="BH104" i="50161"/>
  <c r="BI104" i="50161"/>
  <c r="BJ104" i="50161"/>
  <c r="BK104" i="50161" s="1"/>
  <c r="BL104" i="50161"/>
  <c r="BM104" i="50161"/>
  <c r="BP104" i="50161"/>
  <c r="BS104" i="50161"/>
  <c r="BT104" i="50161"/>
  <c r="BU104" i="50161"/>
  <c r="BV104" i="50161"/>
  <c r="BW104" i="50161" s="1"/>
  <c r="BX104" i="50161"/>
  <c r="BY104" i="50161"/>
  <c r="CA104" i="50161" s="1"/>
  <c r="CB104" i="50161"/>
  <c r="BG105" i="50161"/>
  <c r="BH105" i="50161" s="1"/>
  <c r="BI105" i="50161"/>
  <c r="BJ105" i="50161"/>
  <c r="BK105" i="50161" s="1"/>
  <c r="BM105" i="50161"/>
  <c r="BP105" i="50161"/>
  <c r="BS105" i="50161"/>
  <c r="BU105" i="50161" s="1"/>
  <c r="BT105" i="50161"/>
  <c r="BV105" i="50161"/>
  <c r="BW105" i="50161" s="1"/>
  <c r="BX105" i="50161"/>
  <c r="BY105" i="50161"/>
  <c r="CB105" i="50161"/>
  <c r="CD105" i="50161" s="1"/>
  <c r="BG106" i="50161"/>
  <c r="BH106" i="50161"/>
  <c r="BI106" i="50161"/>
  <c r="BJ106" i="50161"/>
  <c r="BK106" i="50161" s="1"/>
  <c r="BL106" i="50161"/>
  <c r="BM106" i="50161"/>
  <c r="BP106" i="50161"/>
  <c r="BQ106" i="50161" s="1"/>
  <c r="BS106" i="50161"/>
  <c r="BT106" i="50161"/>
  <c r="BU106" i="50161"/>
  <c r="BV106" i="50161"/>
  <c r="BW106" i="50161" s="1"/>
  <c r="BX106" i="50161"/>
  <c r="BY106" i="50161"/>
  <c r="CA106" i="50161" s="1"/>
  <c r="CB106" i="50161"/>
  <c r="CD106" i="50161" s="1"/>
  <c r="BG107" i="50161"/>
  <c r="BH107" i="50161"/>
  <c r="BI107" i="50161"/>
  <c r="BJ107" i="50161"/>
  <c r="BK107" i="50161" s="1"/>
  <c r="BL107" i="50161"/>
  <c r="BM107" i="50161"/>
  <c r="BP107" i="50161"/>
  <c r="BR107" i="50161" s="1"/>
  <c r="BS107" i="50161"/>
  <c r="BU107" i="50161" s="1"/>
  <c r="BT107" i="50161"/>
  <c r="BV107" i="50161"/>
  <c r="BW107" i="50161" s="1"/>
  <c r="BY107" i="50161"/>
  <c r="CB107" i="50161"/>
  <c r="BG108" i="50161"/>
  <c r="BI108" i="50161" s="1"/>
  <c r="BJ108" i="50161"/>
  <c r="BK108" i="50161" s="1"/>
  <c r="BL108" i="50161"/>
  <c r="BM108" i="50161"/>
  <c r="BO108" i="50161" s="1"/>
  <c r="BP108" i="50161"/>
  <c r="BS108" i="50161"/>
  <c r="BT108" i="50161"/>
  <c r="BU108" i="50161"/>
  <c r="BV108" i="50161"/>
  <c r="BW108" i="50161" s="1"/>
  <c r="BX108" i="50161"/>
  <c r="BY108" i="50161"/>
  <c r="CB108" i="50161"/>
  <c r="CC108" i="50161" s="1"/>
  <c r="CD108" i="50161"/>
  <c r="BG109" i="50161"/>
  <c r="BH109" i="50161"/>
  <c r="BI109" i="50161"/>
  <c r="BJ109" i="50161"/>
  <c r="BM109" i="50161"/>
  <c r="BO109" i="50161" s="1"/>
  <c r="BP109" i="50161"/>
  <c r="BQ109" i="50161" s="1"/>
  <c r="BR109" i="50161"/>
  <c r="BS109" i="50161"/>
  <c r="BT109" i="50161"/>
  <c r="BU109" i="50161"/>
  <c r="BV109" i="50161"/>
  <c r="BW109" i="50161" s="1"/>
  <c r="BY109" i="50161"/>
  <c r="CA109" i="50161" s="1"/>
  <c r="BZ109" i="50161"/>
  <c r="CB109" i="50161"/>
  <c r="CD109" i="50161" s="1"/>
  <c r="CC109" i="50161"/>
  <c r="BG110" i="50161"/>
  <c r="BI110" i="50161" s="1"/>
  <c r="BH110" i="50161"/>
  <c r="BJ110" i="50161"/>
  <c r="BK110" i="50161" s="1"/>
  <c r="BM110" i="50161"/>
  <c r="BO110" i="50161" s="1"/>
  <c r="BN110" i="50161"/>
  <c r="BP110" i="50161"/>
  <c r="BS110" i="50161"/>
  <c r="BV110" i="50161"/>
  <c r="BW110" i="50161" s="1"/>
  <c r="BY110" i="50161"/>
  <c r="CB110" i="50161"/>
  <c r="CC110" i="50161" s="1"/>
  <c r="CD110" i="50161"/>
  <c r="BG111" i="50161"/>
  <c r="BH111" i="50161"/>
  <c r="BI111" i="50161"/>
  <c r="BJ111" i="50161"/>
  <c r="BM111" i="50161"/>
  <c r="BO111" i="50161" s="1"/>
  <c r="BP111" i="50161"/>
  <c r="BQ111" i="50161" s="1"/>
  <c r="BS111" i="50161"/>
  <c r="BT111" i="50161"/>
  <c r="BU111" i="50161"/>
  <c r="BV111" i="50161"/>
  <c r="BW111" i="50161" s="1"/>
  <c r="BY111" i="50161"/>
  <c r="CA111" i="50161" s="1"/>
  <c r="BZ111" i="50161"/>
  <c r="CB111" i="50161"/>
  <c r="BG112" i="50161"/>
  <c r="BH112" i="50161" s="1"/>
  <c r="BI112" i="50161"/>
  <c r="BJ112" i="50161"/>
  <c r="BM112" i="50161"/>
  <c r="BP112" i="50161"/>
  <c r="BS112" i="50161"/>
  <c r="BU112" i="50161" s="1"/>
  <c r="BT112" i="50161"/>
  <c r="BV112" i="50161"/>
  <c r="BW112" i="50161" s="1"/>
  <c r="BX112" i="50161"/>
  <c r="BY112" i="50161"/>
  <c r="BZ112" i="50161"/>
  <c r="CA112" i="50161"/>
  <c r="CB112" i="50161"/>
  <c r="CD112" i="50161" s="1"/>
  <c r="CC112" i="50161"/>
  <c r="BG113" i="50161"/>
  <c r="BI113" i="50161" s="1"/>
  <c r="BH113" i="50161"/>
  <c r="BJ113" i="50161"/>
  <c r="BM113" i="50161"/>
  <c r="BN113" i="50161" s="1"/>
  <c r="BP113" i="50161"/>
  <c r="BS113" i="50161"/>
  <c r="BT113" i="50161" s="1"/>
  <c r="BU113" i="50161"/>
  <c r="BV113" i="50161"/>
  <c r="BW113" i="50161" s="1"/>
  <c r="BY113" i="50161"/>
  <c r="BZ113" i="50161"/>
  <c r="CA113" i="50161"/>
  <c r="CB113" i="50161"/>
  <c r="BG114" i="50161"/>
  <c r="BI114" i="50161" s="1"/>
  <c r="BJ114" i="50161"/>
  <c r="BK114" i="50161" s="1"/>
  <c r="BM114" i="50161"/>
  <c r="BO114" i="50161" s="1"/>
  <c r="BN114" i="50161"/>
  <c r="BP114" i="50161"/>
  <c r="BQ114" i="50161" s="1"/>
  <c r="BR114" i="50161"/>
  <c r="BS114" i="50161"/>
  <c r="BT114" i="50161" s="1"/>
  <c r="BU114" i="50161"/>
  <c r="BV114" i="50161"/>
  <c r="BY114" i="50161"/>
  <c r="CA114" i="50161" s="1"/>
  <c r="BZ114" i="50161"/>
  <c r="CB114" i="50161"/>
  <c r="CC114" i="50161" s="1"/>
  <c r="BG115" i="50161"/>
  <c r="BJ115" i="50161"/>
  <c r="BK115" i="50161" s="1"/>
  <c r="BL115" i="50161"/>
  <c r="BM115" i="50161"/>
  <c r="BO115" i="50161" s="1"/>
  <c r="BN115" i="50161"/>
  <c r="BP115" i="50161"/>
  <c r="BQ115" i="50161" s="1"/>
  <c r="BS115" i="50161"/>
  <c r="BT115" i="50161" s="1"/>
  <c r="BU115" i="50161"/>
  <c r="BV115" i="50161"/>
  <c r="BX115" i="50161" s="1"/>
  <c r="BW115" i="50161"/>
  <c r="BY115" i="50161"/>
  <c r="BZ115" i="50161"/>
  <c r="CA115" i="50161"/>
  <c r="CB115" i="50161"/>
  <c r="CC115" i="50161"/>
  <c r="CD115" i="50161"/>
  <c r="BG116" i="50161"/>
  <c r="BI116" i="50161" s="1"/>
  <c r="BJ116" i="50161"/>
  <c r="BM116" i="50161"/>
  <c r="BO116" i="50161" s="1"/>
  <c r="BN116" i="50161"/>
  <c r="BP116" i="50161"/>
  <c r="BQ116" i="50161" s="1"/>
  <c r="BR116" i="50161"/>
  <c r="BS116" i="50161"/>
  <c r="BU116" i="50161" s="1"/>
  <c r="BT116" i="50161"/>
  <c r="BV116" i="50161"/>
  <c r="BX116" i="50161" s="1"/>
  <c r="BW116" i="50161"/>
  <c r="BY116" i="50161"/>
  <c r="BZ116" i="50161"/>
  <c r="CA116" i="50161"/>
  <c r="CB116" i="50161"/>
  <c r="BG117" i="50161"/>
  <c r="BI117" i="50161" s="1"/>
  <c r="BH117" i="50161"/>
  <c r="BJ117" i="50161"/>
  <c r="BK117" i="50161" s="1"/>
  <c r="BL117" i="50161"/>
  <c r="BM117" i="50161"/>
  <c r="BN117" i="50161" s="1"/>
  <c r="BO117" i="50161"/>
  <c r="BP117" i="50161"/>
  <c r="BQ117" i="50161" s="1"/>
  <c r="BR117" i="50161"/>
  <c r="BS117" i="50161"/>
  <c r="BT117" i="50161" s="1"/>
  <c r="BV117" i="50161"/>
  <c r="BW117" i="50161" s="1"/>
  <c r="BX117" i="50161"/>
  <c r="BY117" i="50161"/>
  <c r="BZ117" i="50161"/>
  <c r="CA117" i="50161"/>
  <c r="CB117" i="50161"/>
  <c r="CD117" i="50161" s="1"/>
  <c r="CC117" i="50161"/>
  <c r="BG118" i="50161"/>
  <c r="BI118" i="50161" s="1"/>
  <c r="BJ118" i="50161"/>
  <c r="BM118" i="50161"/>
  <c r="BN118" i="50161" s="1"/>
  <c r="BO118" i="50161"/>
  <c r="BP118" i="50161"/>
  <c r="BQ118" i="50161" s="1"/>
  <c r="BR118" i="50161"/>
  <c r="BS118" i="50161"/>
  <c r="BT118" i="50161" s="1"/>
  <c r="BU118" i="50161"/>
  <c r="BV118" i="50161"/>
  <c r="BW118" i="50161" s="1"/>
  <c r="BX118" i="50161"/>
  <c r="BY118" i="50161"/>
  <c r="BZ118" i="50161" s="1"/>
  <c r="CB118" i="50161"/>
  <c r="CC118" i="50161" s="1"/>
  <c r="CD118" i="50161"/>
  <c r="BG119" i="50161"/>
  <c r="BI119" i="50161" s="1"/>
  <c r="BH119" i="50161"/>
  <c r="BJ119" i="50161"/>
  <c r="BK119" i="50161" s="1"/>
  <c r="BM119" i="50161"/>
  <c r="BP119" i="50161"/>
  <c r="BQ119" i="50161" s="1"/>
  <c r="BS119" i="50161"/>
  <c r="BU119" i="50161" s="1"/>
  <c r="BT119" i="50161"/>
  <c r="BV119" i="50161"/>
  <c r="BY119" i="50161"/>
  <c r="BZ119" i="50161" s="1"/>
  <c r="CB119" i="50161"/>
  <c r="CC119" i="50161" s="1"/>
  <c r="CD119" i="50161"/>
  <c r="BG120" i="50161"/>
  <c r="BI120" i="50161" s="1"/>
  <c r="BH120" i="50161"/>
  <c r="BJ120" i="50161"/>
  <c r="BK120" i="50161" s="1"/>
  <c r="BM120" i="50161"/>
  <c r="BN120" i="50161" s="1"/>
  <c r="BP120" i="50161"/>
  <c r="BS120" i="50161"/>
  <c r="BT120" i="50161" s="1"/>
  <c r="BU120" i="50161"/>
  <c r="BV120" i="50161"/>
  <c r="BW120" i="50161" s="1"/>
  <c r="BY120" i="50161"/>
  <c r="CA120" i="50161" s="1"/>
  <c r="BZ120" i="50161"/>
  <c r="CB120" i="50161"/>
  <c r="CC120" i="50161" s="1"/>
  <c r="CD120" i="50161"/>
  <c r="BG121" i="50161"/>
  <c r="BI121" i="50161" s="1"/>
  <c r="BH121" i="50161"/>
  <c r="BJ121" i="50161"/>
  <c r="BM121" i="50161"/>
  <c r="BO121" i="50161" s="1"/>
  <c r="BN121" i="50161"/>
  <c r="BP121" i="50161"/>
  <c r="BQ121" i="50161" s="1"/>
  <c r="BS121" i="50161"/>
  <c r="BT121" i="50161" s="1"/>
  <c r="BU121" i="50161"/>
  <c r="BV121" i="50161"/>
  <c r="BW121" i="50161"/>
  <c r="BX121" i="50161"/>
  <c r="BY121" i="50161"/>
  <c r="BZ121" i="50161"/>
  <c r="CA121" i="50161"/>
  <c r="CB121" i="50161"/>
  <c r="BG122" i="50161"/>
  <c r="BI122" i="50161" s="1"/>
  <c r="BJ122" i="50161"/>
  <c r="BK122" i="50161" s="1"/>
  <c r="BM122" i="50161"/>
  <c r="BO122" i="50161" s="1"/>
  <c r="BN122" i="50161"/>
  <c r="BP122" i="50161"/>
  <c r="BQ122" i="50161" s="1"/>
  <c r="BR122" i="50161"/>
  <c r="BS122" i="50161"/>
  <c r="BT122" i="50161" s="1"/>
  <c r="BU122" i="50161"/>
  <c r="BV122" i="50161"/>
  <c r="BX122" i="50161" s="1"/>
  <c r="BW122" i="50161"/>
  <c r="BY122" i="50161"/>
  <c r="BZ122" i="50161" s="1"/>
  <c r="CB122" i="50161"/>
  <c r="CC122" i="50161" s="1"/>
  <c r="BG123" i="50161"/>
  <c r="BJ123" i="50161"/>
  <c r="BM123" i="50161"/>
  <c r="BO123" i="50161" s="1"/>
  <c r="BN123" i="50161"/>
  <c r="BP123" i="50161"/>
  <c r="BQ123" i="50161" s="1"/>
  <c r="BR123" i="50161"/>
  <c r="BS123" i="50161"/>
  <c r="BT123" i="50161" s="1"/>
  <c r="BU123" i="50161"/>
  <c r="BV123" i="50161"/>
  <c r="BX123" i="50161" s="1"/>
  <c r="BW123" i="50161"/>
  <c r="BY123" i="50161"/>
  <c r="BZ123" i="50161" s="1"/>
  <c r="CB123" i="50161"/>
  <c r="CC123" i="50161" s="1"/>
  <c r="CD123" i="50161"/>
  <c r="BG124" i="50161"/>
  <c r="BI124" i="50161" s="1"/>
  <c r="BJ124" i="50161"/>
  <c r="BK124" i="50161" s="1"/>
  <c r="BL124" i="50161"/>
  <c r="BM124" i="50161"/>
  <c r="BN124" i="50161"/>
  <c r="BO124" i="50161"/>
  <c r="BP124" i="50161"/>
  <c r="BQ124" i="50161" s="1"/>
  <c r="BR124" i="50161"/>
  <c r="BS124" i="50161"/>
  <c r="BT124" i="50161"/>
  <c r="BU124" i="50161"/>
  <c r="BV124" i="50161"/>
  <c r="BW124" i="50161"/>
  <c r="BX124" i="50161"/>
  <c r="BY124" i="50161"/>
  <c r="CA124" i="50161" s="1"/>
  <c r="BZ124" i="50161"/>
  <c r="CB124" i="50161"/>
  <c r="CD124" i="50161" s="1"/>
  <c r="CC124" i="50161"/>
  <c r="BG125" i="50161"/>
  <c r="BI125" i="50161" s="1"/>
  <c r="BH125" i="50161"/>
  <c r="BJ125" i="50161"/>
  <c r="BK125" i="50161" s="1"/>
  <c r="BM125" i="50161"/>
  <c r="BP125" i="50161"/>
  <c r="BQ125" i="50161" s="1"/>
  <c r="BS125" i="50161"/>
  <c r="BT125" i="50161"/>
  <c r="BU125" i="50161"/>
  <c r="BV125" i="50161"/>
  <c r="BY125" i="50161"/>
  <c r="BZ125" i="50161" s="1"/>
  <c r="CB125" i="50161"/>
  <c r="CD125" i="50161" s="1"/>
  <c r="BG126" i="50161"/>
  <c r="BJ126" i="50161"/>
  <c r="BK126" i="50161" s="1"/>
  <c r="BL126" i="50161"/>
  <c r="BM126" i="50161"/>
  <c r="BN126" i="50161" s="1"/>
  <c r="BO126" i="50161"/>
  <c r="BP126" i="50161"/>
  <c r="BQ126" i="50161" s="1"/>
  <c r="BS126" i="50161"/>
  <c r="BV126" i="50161"/>
  <c r="BW126" i="50161" s="1"/>
  <c r="BY126" i="50161"/>
  <c r="BZ126" i="50161"/>
  <c r="CA126" i="50161"/>
  <c r="CB126" i="50161"/>
  <c r="BG127" i="50161"/>
  <c r="BI127" i="50161" s="1"/>
  <c r="BJ127" i="50161"/>
  <c r="BK127" i="50161" s="1"/>
  <c r="BL127" i="50161"/>
  <c r="BM127" i="50161"/>
  <c r="BP127" i="50161"/>
  <c r="BQ127" i="50161" s="1"/>
  <c r="BS127" i="50161"/>
  <c r="BT127" i="50161"/>
  <c r="BU127" i="50161"/>
  <c r="BV127" i="50161"/>
  <c r="BY127" i="50161"/>
  <c r="BZ127" i="50161"/>
  <c r="CA127" i="50161"/>
  <c r="CB127" i="50161"/>
  <c r="BG128" i="50161"/>
  <c r="BI128" i="50161" s="1"/>
  <c r="BJ128" i="50161"/>
  <c r="BK128" i="50161" s="1"/>
  <c r="BM128" i="50161"/>
  <c r="BN128" i="50161" s="1"/>
  <c r="BP128" i="50161"/>
  <c r="BS128" i="50161"/>
  <c r="BV128" i="50161"/>
  <c r="BW128" i="50161" s="1"/>
  <c r="BY128" i="50161"/>
  <c r="BZ128" i="50161"/>
  <c r="CA128" i="50161"/>
  <c r="CB128" i="50161"/>
  <c r="CC128" i="50161" s="1"/>
  <c r="CD128" i="50161"/>
  <c r="BG129" i="50161"/>
  <c r="BI129" i="50161" s="1"/>
  <c r="BH129" i="50161"/>
  <c r="BJ129" i="50161"/>
  <c r="BM129" i="50161"/>
  <c r="BN129" i="50161"/>
  <c r="BO129" i="50161"/>
  <c r="BP129" i="50161"/>
  <c r="BQ129" i="50161" s="1"/>
  <c r="BS129" i="50161"/>
  <c r="BV129" i="50161"/>
  <c r="BW129" i="50161" s="1"/>
  <c r="BY129" i="50161"/>
  <c r="BZ129" i="50161" s="1"/>
  <c r="CA129" i="50161"/>
  <c r="CB129" i="50161"/>
  <c r="BG130" i="50161"/>
  <c r="BI130" i="50161" s="1"/>
  <c r="BJ130" i="50161"/>
  <c r="BK130" i="50161" s="1"/>
  <c r="BM130" i="50161"/>
  <c r="BO130" i="50161" s="1"/>
  <c r="BN130" i="50161"/>
  <c r="BP130" i="50161"/>
  <c r="BQ130" i="50161" s="1"/>
  <c r="BS130" i="50161"/>
  <c r="BV130" i="50161"/>
  <c r="BX130" i="50161" s="1"/>
  <c r="BW130" i="50161"/>
  <c r="BY130" i="50161"/>
  <c r="BZ130" i="50161"/>
  <c r="CA130" i="50161"/>
  <c r="CB130" i="50161"/>
  <c r="CC130" i="50161" s="1"/>
  <c r="BG131" i="50161"/>
  <c r="BJ131" i="50161"/>
  <c r="BK131" i="50161"/>
  <c r="BL131" i="50161"/>
  <c r="BM131" i="50161"/>
  <c r="BN131" i="50161" s="1"/>
  <c r="BP131" i="50161"/>
  <c r="BS131" i="50161"/>
  <c r="BT131" i="50161" s="1"/>
  <c r="BU131" i="50161"/>
  <c r="BV131" i="50161"/>
  <c r="BW131" i="50161" s="1"/>
  <c r="BY131" i="50161"/>
  <c r="CA131" i="50161" s="1"/>
  <c r="BZ131" i="50161"/>
  <c r="CB131" i="50161"/>
  <c r="CC131" i="50161" s="1"/>
  <c r="CD131" i="50161"/>
  <c r="BG132" i="50161"/>
  <c r="BI132" i="50161" s="1"/>
  <c r="BH132" i="50161"/>
  <c r="BJ132" i="50161"/>
  <c r="BM132" i="50161"/>
  <c r="BN132" i="50161" s="1"/>
  <c r="BO132" i="50161"/>
  <c r="BP132" i="50161"/>
  <c r="BQ132" i="50161" s="1"/>
  <c r="BR132" i="50161"/>
  <c r="BS132" i="50161"/>
  <c r="BV132" i="50161"/>
  <c r="BW132" i="50161" s="1"/>
  <c r="BX132" i="50161"/>
  <c r="BY132" i="50161"/>
  <c r="BZ132" i="50161"/>
  <c r="CA132" i="50161"/>
  <c r="CB132" i="50161"/>
  <c r="CC132" i="50161"/>
  <c r="CD132" i="50161"/>
  <c r="BG133" i="50161"/>
  <c r="BI133" i="50161" s="1"/>
  <c r="BH133" i="50161"/>
  <c r="BJ133" i="50161"/>
  <c r="BK133" i="50161"/>
  <c r="BL133" i="50161"/>
  <c r="BM133" i="50161"/>
  <c r="BN133" i="50161"/>
  <c r="BO133" i="50161"/>
  <c r="BP133" i="50161"/>
  <c r="BQ133" i="50161" s="1"/>
  <c r="BR133" i="50161"/>
  <c r="BS133" i="50161"/>
  <c r="BT133" i="50161"/>
  <c r="BU133" i="50161"/>
  <c r="BV133" i="50161"/>
  <c r="BW133" i="50161"/>
  <c r="BX133" i="50161"/>
  <c r="BY133" i="50161"/>
  <c r="CA133" i="50161" s="1"/>
  <c r="BZ133" i="50161"/>
  <c r="CB133" i="50161"/>
  <c r="CD133" i="50161" s="1"/>
  <c r="CC133" i="50161"/>
  <c r="BG134" i="50161"/>
  <c r="BI134" i="50161" s="1"/>
  <c r="BH134" i="50161"/>
  <c r="BJ134" i="50161"/>
  <c r="BL134" i="50161" s="1"/>
  <c r="BM134" i="50161"/>
  <c r="BP134" i="50161"/>
  <c r="BQ134" i="50161" s="1"/>
  <c r="BR134" i="50161"/>
  <c r="BS134" i="50161"/>
  <c r="BU134" i="50161" s="1"/>
  <c r="BT134" i="50161"/>
  <c r="BV134" i="50161"/>
  <c r="BX134" i="50161" s="1"/>
  <c r="BY134" i="50161"/>
  <c r="CB134" i="50161"/>
  <c r="CC134" i="50161" s="1"/>
  <c r="BG135" i="50161"/>
  <c r="BJ135" i="50161"/>
  <c r="BK135" i="50161"/>
  <c r="BL135" i="50161"/>
  <c r="BM135" i="50161"/>
  <c r="BN135" i="50161" s="1"/>
  <c r="BP135" i="50161"/>
  <c r="BS135" i="50161"/>
  <c r="BU135" i="50161" s="1"/>
  <c r="BT135" i="50161"/>
  <c r="BV135" i="50161"/>
  <c r="BW135" i="50161" s="1"/>
  <c r="BY135" i="50161"/>
  <c r="BZ135" i="50161" s="1"/>
  <c r="CA135" i="50161"/>
  <c r="CB135" i="50161"/>
  <c r="CC135" i="50161" s="1"/>
  <c r="CD135" i="50161"/>
  <c r="BG136" i="50161"/>
  <c r="BI136" i="50161" s="1"/>
  <c r="BJ136" i="50161"/>
  <c r="BM136" i="50161"/>
  <c r="BN136" i="50161" s="1"/>
  <c r="BP136" i="50161"/>
  <c r="BS136" i="50161"/>
  <c r="BV136" i="50161"/>
  <c r="BW136" i="50161" s="1"/>
  <c r="BY136" i="50161"/>
  <c r="BZ136" i="50161"/>
  <c r="CA136" i="50161"/>
  <c r="CB136" i="50161"/>
  <c r="BG137" i="50161"/>
  <c r="BI137" i="50161" s="1"/>
  <c r="BJ137" i="50161"/>
  <c r="BK137" i="50161"/>
  <c r="BL137" i="50161"/>
  <c r="BM137" i="50161"/>
  <c r="BP137" i="50161"/>
  <c r="BQ137" i="50161" s="1"/>
  <c r="BS137" i="50161"/>
  <c r="BT137" i="50161"/>
  <c r="BU137" i="50161"/>
  <c r="BV137" i="50161"/>
  <c r="BY137" i="50161"/>
  <c r="BZ137" i="50161" s="1"/>
  <c r="CB137" i="50161"/>
  <c r="CD137" i="50161" s="1"/>
  <c r="BG138" i="50161"/>
  <c r="BJ138" i="50161"/>
  <c r="BL138" i="50161" s="1"/>
  <c r="BK138" i="50161"/>
  <c r="BM138" i="50161"/>
  <c r="BO138" i="50161" s="1"/>
  <c r="BN138" i="50161"/>
  <c r="BP138" i="50161"/>
  <c r="BQ138" i="50161" s="1"/>
  <c r="BS138" i="50161"/>
  <c r="BV138" i="50161"/>
  <c r="BX138" i="50161" s="1"/>
  <c r="BW138" i="50161"/>
  <c r="BY138" i="50161"/>
  <c r="BZ138" i="50161"/>
  <c r="CA138" i="50161"/>
  <c r="CB138" i="50161"/>
  <c r="CC138" i="50161" s="1"/>
  <c r="BG139" i="50161"/>
  <c r="BJ139" i="50161"/>
  <c r="BK139" i="50161"/>
  <c r="BL139" i="50161"/>
  <c r="BM139" i="50161"/>
  <c r="BN139" i="50161" s="1"/>
  <c r="BP139" i="50161"/>
  <c r="BS139" i="50161"/>
  <c r="BT139" i="50161" s="1"/>
  <c r="BU139" i="50161"/>
  <c r="BV139" i="50161"/>
  <c r="BW139" i="50161" s="1"/>
  <c r="BY139" i="50161"/>
  <c r="CA139" i="50161" s="1"/>
  <c r="BZ139" i="50161"/>
  <c r="CB139" i="50161"/>
  <c r="CC139" i="50161" s="1"/>
  <c r="CD139" i="50161"/>
  <c r="BG140" i="50161"/>
  <c r="BI140" i="50161" s="1"/>
  <c r="BH140" i="50161"/>
  <c r="BJ140" i="50161"/>
  <c r="BM140" i="50161"/>
  <c r="BN140" i="50161" s="1"/>
  <c r="BO140" i="50161"/>
  <c r="BP140" i="50161"/>
  <c r="BQ140" i="50161" s="1"/>
  <c r="BR140" i="50161"/>
  <c r="BS140" i="50161"/>
  <c r="BV140" i="50161"/>
  <c r="BW140" i="50161" s="1"/>
  <c r="BX140" i="50161"/>
  <c r="BY140" i="50161"/>
  <c r="BZ140" i="50161"/>
  <c r="CA140" i="50161"/>
  <c r="CB140" i="50161"/>
  <c r="CC140" i="50161"/>
  <c r="CD140" i="50161"/>
  <c r="BG141" i="50161"/>
  <c r="BI141" i="50161" s="1"/>
  <c r="BH141" i="50161"/>
  <c r="BJ141" i="50161"/>
  <c r="BK141" i="50161"/>
  <c r="BL141" i="50161"/>
  <c r="BM141" i="50161"/>
  <c r="BN141" i="50161"/>
  <c r="BO141" i="50161"/>
  <c r="BP141" i="50161"/>
  <c r="BQ141" i="50161" s="1"/>
  <c r="BR141" i="50161"/>
  <c r="BS141" i="50161"/>
  <c r="BT141" i="50161"/>
  <c r="BU141" i="50161"/>
  <c r="BV141" i="50161"/>
  <c r="BW141" i="50161"/>
  <c r="BX141" i="50161"/>
  <c r="BY141" i="50161"/>
  <c r="CA141" i="50161" s="1"/>
  <c r="BZ141" i="50161"/>
  <c r="CB141" i="50161"/>
  <c r="CD141" i="50161" s="1"/>
  <c r="CC141" i="50161"/>
  <c r="B160" i="50161"/>
  <c r="E160" i="50161"/>
  <c r="B161" i="50161"/>
  <c r="E161" i="50161"/>
  <c r="E162" i="50161"/>
  <c r="A180" i="50161"/>
  <c r="D180" i="50161"/>
  <c r="E180" i="50161"/>
  <c r="F180" i="50161"/>
  <c r="G180" i="50161"/>
  <c r="H180" i="50161"/>
  <c r="I180" i="50161"/>
  <c r="J180" i="50161"/>
  <c r="K180" i="50161"/>
  <c r="L180" i="50161"/>
  <c r="M180" i="50161"/>
  <c r="N180" i="50161"/>
  <c r="O180" i="50161"/>
  <c r="P180" i="50161"/>
  <c r="Q180" i="50161"/>
  <c r="R180" i="50161"/>
  <c r="A181" i="50161"/>
  <c r="D181" i="50161"/>
  <c r="E181" i="50161"/>
  <c r="F181" i="50161"/>
  <c r="G181" i="50161"/>
  <c r="H181" i="50161"/>
  <c r="I181" i="50161"/>
  <c r="J181" i="50161"/>
  <c r="K181" i="50161"/>
  <c r="L181" i="50161"/>
  <c r="M181" i="50161"/>
  <c r="N181" i="50161"/>
  <c r="O181" i="50161"/>
  <c r="P181" i="50161"/>
  <c r="Q181" i="50161"/>
  <c r="R181" i="50161"/>
  <c r="A182" i="50161"/>
  <c r="D182" i="50161"/>
  <c r="E182" i="50161"/>
  <c r="F182" i="50161"/>
  <c r="G182" i="50161"/>
  <c r="H182" i="50161"/>
  <c r="I182" i="50161"/>
  <c r="J182" i="50161"/>
  <c r="K182" i="50161"/>
  <c r="L182" i="50161"/>
  <c r="M182" i="50161"/>
  <c r="N182" i="50161"/>
  <c r="O182" i="50161"/>
  <c r="P182" i="50161"/>
  <c r="R182" i="50161"/>
  <c r="A183" i="50161"/>
  <c r="D183" i="50161"/>
  <c r="E183" i="50161"/>
  <c r="G183" i="50161"/>
  <c r="H183" i="50161"/>
  <c r="I183" i="50161"/>
  <c r="J183" i="50161"/>
  <c r="K183" i="50161"/>
  <c r="L183" i="50161"/>
  <c r="M183" i="50161"/>
  <c r="N183" i="50161"/>
  <c r="O183" i="50161"/>
  <c r="P183" i="50161"/>
  <c r="Q183" i="50161"/>
  <c r="R183" i="50161"/>
  <c r="A184" i="50161"/>
  <c r="D184" i="50161"/>
  <c r="E184" i="50161"/>
  <c r="F184" i="50161"/>
  <c r="G184" i="50161"/>
  <c r="H184" i="50161"/>
  <c r="I184" i="50161"/>
  <c r="J184" i="50161"/>
  <c r="K184" i="50161"/>
  <c r="L184" i="50161"/>
  <c r="M184" i="50161"/>
  <c r="O184" i="50161"/>
  <c r="P184" i="50161"/>
  <c r="Q184" i="50161"/>
  <c r="R184" i="50161"/>
  <c r="A185" i="50161"/>
  <c r="D185" i="50161"/>
  <c r="E185" i="50161"/>
  <c r="F185" i="50161"/>
  <c r="G185" i="50161"/>
  <c r="H185" i="50161"/>
  <c r="I185" i="50161"/>
  <c r="J185" i="50161"/>
  <c r="K185" i="50161"/>
  <c r="L185" i="50161"/>
  <c r="M185" i="50161"/>
  <c r="N185" i="50161"/>
  <c r="P185" i="50161"/>
  <c r="Q185" i="50161"/>
  <c r="R185" i="50161"/>
  <c r="A186" i="50161"/>
  <c r="D186" i="50161"/>
  <c r="E186" i="50161"/>
  <c r="F186" i="50161"/>
  <c r="G186" i="50161"/>
  <c r="H186" i="50161"/>
  <c r="I186" i="50161"/>
  <c r="J186" i="50161"/>
  <c r="L186" i="50161"/>
  <c r="M186" i="50161"/>
  <c r="N186" i="50161"/>
  <c r="O186" i="50161"/>
  <c r="P186" i="50161"/>
  <c r="Q186" i="50161"/>
  <c r="R186" i="50161"/>
  <c r="A187" i="50161"/>
  <c r="D187" i="50161"/>
  <c r="E187" i="50161"/>
  <c r="F187" i="50161"/>
  <c r="G187" i="50161"/>
  <c r="H187" i="50161"/>
  <c r="I187" i="50161"/>
  <c r="J187" i="50161"/>
  <c r="K187" i="50161"/>
  <c r="M187" i="50161"/>
  <c r="N187" i="50161"/>
  <c r="O187" i="50161"/>
  <c r="P187" i="50161"/>
  <c r="Q187" i="50161"/>
  <c r="R187" i="50161"/>
  <c r="A188" i="50161"/>
  <c r="D188" i="50161"/>
  <c r="E188" i="50161"/>
  <c r="F188" i="50161"/>
  <c r="G188" i="50161"/>
  <c r="H188" i="50161"/>
  <c r="I188" i="50161"/>
  <c r="J188" i="50161"/>
  <c r="K188" i="50161"/>
  <c r="L188" i="50161"/>
  <c r="M188" i="50161"/>
  <c r="N188" i="50161"/>
  <c r="O188" i="50161"/>
  <c r="P188" i="50161"/>
  <c r="Q188" i="50161"/>
  <c r="R188" i="50161"/>
  <c r="A189" i="50161"/>
  <c r="D189" i="50161"/>
  <c r="E189" i="50161"/>
  <c r="F189" i="50161"/>
  <c r="G189" i="50161"/>
  <c r="H189" i="50161"/>
  <c r="I189" i="50161"/>
  <c r="J189" i="50161"/>
  <c r="K189" i="50161"/>
  <c r="L189" i="50161"/>
  <c r="M189" i="50161"/>
  <c r="N189" i="50161"/>
  <c r="O189" i="50161"/>
  <c r="P189" i="50161"/>
  <c r="Q189" i="50161"/>
  <c r="R189" i="50161"/>
  <c r="A190" i="50161"/>
  <c r="D190" i="50161"/>
  <c r="E190" i="50161"/>
  <c r="F190" i="50161"/>
  <c r="G190" i="50161"/>
  <c r="H190" i="50161"/>
  <c r="I190" i="50161"/>
  <c r="J190" i="50161"/>
  <c r="K190" i="50161"/>
  <c r="L190" i="50161"/>
  <c r="M190" i="50161"/>
  <c r="N190" i="50161"/>
  <c r="O190" i="50161"/>
  <c r="P190" i="50161"/>
  <c r="R190" i="50161"/>
  <c r="A191" i="50161"/>
  <c r="D191" i="50161"/>
  <c r="E191" i="50161"/>
  <c r="G191" i="50161"/>
  <c r="H191" i="50161"/>
  <c r="I191" i="50161"/>
  <c r="J191" i="50161"/>
  <c r="K191" i="50161"/>
  <c r="L191" i="50161"/>
  <c r="M191" i="50161"/>
  <c r="N191" i="50161"/>
  <c r="O191" i="50161"/>
  <c r="P191" i="50161"/>
  <c r="Q191" i="50161"/>
  <c r="R191" i="50161"/>
  <c r="A192" i="50161"/>
  <c r="D192" i="50161"/>
  <c r="E192" i="50161"/>
  <c r="F192" i="50161"/>
  <c r="G192" i="50161"/>
  <c r="H192" i="50161"/>
  <c r="I192" i="50161"/>
  <c r="J192" i="50161"/>
  <c r="K192" i="50161"/>
  <c r="L192" i="50161"/>
  <c r="M192" i="50161"/>
  <c r="O192" i="50161"/>
  <c r="P192" i="50161"/>
  <c r="Q192" i="50161"/>
  <c r="R192" i="50161"/>
  <c r="A193" i="50161"/>
  <c r="D193" i="50161"/>
  <c r="E193" i="50161"/>
  <c r="F193" i="50161"/>
  <c r="G193" i="50161"/>
  <c r="H193" i="50161"/>
  <c r="I193" i="50161"/>
  <c r="J193" i="50161"/>
  <c r="K193" i="50161"/>
  <c r="L193" i="50161"/>
  <c r="M193" i="50161"/>
  <c r="N193" i="50161"/>
  <c r="P193" i="50161"/>
  <c r="Q193" i="50161"/>
  <c r="R193" i="50161"/>
  <c r="A194" i="50161"/>
  <c r="D194" i="50161"/>
  <c r="E194" i="50161"/>
  <c r="F194" i="50161"/>
  <c r="G194" i="50161"/>
  <c r="H194" i="50161"/>
  <c r="I194" i="50161"/>
  <c r="J194" i="50161"/>
  <c r="L194" i="50161"/>
  <c r="M194" i="50161"/>
  <c r="N194" i="50161"/>
  <c r="O194" i="50161"/>
  <c r="P194" i="50161"/>
  <c r="Q194" i="50161"/>
  <c r="R194" i="50161"/>
  <c r="A195" i="50161"/>
  <c r="D195" i="50161"/>
  <c r="E195" i="50161"/>
  <c r="F195" i="50161"/>
  <c r="G195" i="50161"/>
  <c r="H195" i="50161"/>
  <c r="I195" i="50161"/>
  <c r="J195" i="50161"/>
  <c r="K195" i="50161"/>
  <c r="M195" i="50161"/>
  <c r="N195" i="50161"/>
  <c r="O195" i="50161"/>
  <c r="P195" i="50161"/>
  <c r="Q195" i="50161"/>
  <c r="R195" i="50161"/>
  <c r="A196" i="50161"/>
  <c r="D196" i="50161"/>
  <c r="E196" i="50161"/>
  <c r="F196" i="50161"/>
  <c r="G196" i="50161"/>
  <c r="H196" i="50161"/>
  <c r="I196" i="50161"/>
  <c r="J196" i="50161"/>
  <c r="K196" i="50161"/>
  <c r="L196" i="50161"/>
  <c r="M196" i="50161"/>
  <c r="N196" i="50161"/>
  <c r="O196" i="50161"/>
  <c r="P196" i="50161"/>
  <c r="Q196" i="50161"/>
  <c r="R196" i="50161"/>
  <c r="A197" i="50161"/>
  <c r="D197" i="50161"/>
  <c r="E197" i="50161"/>
  <c r="F197" i="50161"/>
  <c r="G197" i="50161"/>
  <c r="H197" i="50161"/>
  <c r="I197" i="50161"/>
  <c r="J197" i="50161"/>
  <c r="K197" i="50161"/>
  <c r="L197" i="50161"/>
  <c r="M197" i="50161"/>
  <c r="N197" i="50161"/>
  <c r="O197" i="50161"/>
  <c r="P197" i="50161"/>
  <c r="Q197" i="50161"/>
  <c r="R197" i="50161"/>
  <c r="A198" i="50161"/>
  <c r="D198" i="50161"/>
  <c r="E198" i="50161"/>
  <c r="F198" i="50161"/>
  <c r="G198" i="50161"/>
  <c r="H198" i="50161"/>
  <c r="I198" i="50161"/>
  <c r="J198" i="50161"/>
  <c r="K198" i="50161"/>
  <c r="L198" i="50161"/>
  <c r="M198" i="50161"/>
  <c r="N198" i="50161"/>
  <c r="O198" i="50161"/>
  <c r="P198" i="50161"/>
  <c r="R198" i="50161"/>
  <c r="A199" i="50161"/>
  <c r="D199" i="50161"/>
  <c r="E199" i="50161"/>
  <c r="G199" i="50161"/>
  <c r="H199" i="50161"/>
  <c r="I199" i="50161"/>
  <c r="J199" i="50161"/>
  <c r="K199" i="50161"/>
  <c r="L199" i="50161"/>
  <c r="M199" i="50161"/>
  <c r="N199" i="50161"/>
  <c r="O199" i="50161"/>
  <c r="P199" i="50161"/>
  <c r="Q199" i="50161"/>
  <c r="R199" i="50161"/>
  <c r="A200" i="50161"/>
  <c r="D200" i="50161"/>
  <c r="E200" i="50161"/>
  <c r="F200" i="50161"/>
  <c r="G200" i="50161"/>
  <c r="H200" i="50161"/>
  <c r="I200" i="50161"/>
  <c r="J200" i="50161"/>
  <c r="K200" i="50161"/>
  <c r="L200" i="50161"/>
  <c r="M200" i="50161"/>
  <c r="O200" i="50161"/>
  <c r="P200" i="50161"/>
  <c r="Q200" i="50161"/>
  <c r="R200" i="50161"/>
  <c r="A201" i="50161"/>
  <c r="D201" i="50161"/>
  <c r="E201" i="50161"/>
  <c r="F201" i="50161"/>
  <c r="G201" i="50161"/>
  <c r="H201" i="50161"/>
  <c r="I201" i="50161"/>
  <c r="J201" i="50161"/>
  <c r="K201" i="50161"/>
  <c r="L201" i="50161"/>
  <c r="M201" i="50161"/>
  <c r="N201" i="50161"/>
  <c r="P201" i="50161"/>
  <c r="Q201" i="50161"/>
  <c r="R201" i="50161"/>
  <c r="A202" i="50161"/>
  <c r="D202" i="50161"/>
  <c r="E202" i="50161"/>
  <c r="F202" i="50161"/>
  <c r="G202" i="50161"/>
  <c r="H202" i="50161"/>
  <c r="I202" i="50161"/>
  <c r="J202" i="50161"/>
  <c r="L202" i="50161"/>
  <c r="M202" i="50161"/>
  <c r="N202" i="50161"/>
  <c r="O202" i="50161"/>
  <c r="P202" i="50161"/>
  <c r="Q202" i="50161"/>
  <c r="R202" i="50161"/>
  <c r="A203" i="50161"/>
  <c r="D203" i="50161"/>
  <c r="E203" i="50161"/>
  <c r="F203" i="50161"/>
  <c r="G203" i="50161"/>
  <c r="H203" i="50161"/>
  <c r="I203" i="50161"/>
  <c r="J203" i="50161"/>
  <c r="K203" i="50161"/>
  <c r="M203" i="50161"/>
  <c r="N203" i="50161"/>
  <c r="O203" i="50161"/>
  <c r="P203" i="50161"/>
  <c r="Q203" i="50161"/>
  <c r="R203" i="50161"/>
  <c r="A204" i="50161"/>
  <c r="D204" i="50161"/>
  <c r="E204" i="50161"/>
  <c r="F204" i="50161"/>
  <c r="G204" i="50161"/>
  <c r="H204" i="50161"/>
  <c r="I204" i="50161"/>
  <c r="J204" i="50161"/>
  <c r="K204" i="50161"/>
  <c r="L204" i="50161"/>
  <c r="M204" i="50161"/>
  <c r="N204" i="50161"/>
  <c r="O204" i="50161"/>
  <c r="P204" i="50161"/>
  <c r="Q204" i="50161"/>
  <c r="R204" i="50161"/>
  <c r="A205" i="50161"/>
  <c r="D205" i="50161"/>
  <c r="E205" i="50161"/>
  <c r="F205" i="50161"/>
  <c r="G205" i="50161"/>
  <c r="H205" i="50161"/>
  <c r="I205" i="50161"/>
  <c r="J205" i="50161"/>
  <c r="K205" i="50161"/>
  <c r="L205" i="50161"/>
  <c r="M205" i="50161"/>
  <c r="N205" i="50161"/>
  <c r="O205" i="50161"/>
  <c r="P205" i="50161"/>
  <c r="Q205" i="50161"/>
  <c r="R205" i="50161"/>
  <c r="A206" i="50161"/>
  <c r="D206" i="50161"/>
  <c r="E206" i="50161"/>
  <c r="F206" i="50161"/>
  <c r="G206" i="50161"/>
  <c r="H206" i="50161"/>
  <c r="I206" i="50161"/>
  <c r="J206" i="50161"/>
  <c r="K206" i="50161"/>
  <c r="L206" i="50161"/>
  <c r="M206" i="50161"/>
  <c r="N206" i="50161"/>
  <c r="O206" i="50161"/>
  <c r="P206" i="50161"/>
  <c r="R206" i="50161"/>
  <c r="A207" i="50161"/>
  <c r="D207" i="50161"/>
  <c r="E207" i="50161"/>
  <c r="G207" i="50161"/>
  <c r="H207" i="50161"/>
  <c r="I207" i="50161"/>
  <c r="J207" i="50161"/>
  <c r="K207" i="50161"/>
  <c r="L207" i="50161"/>
  <c r="M207" i="50161"/>
  <c r="N207" i="50161"/>
  <c r="O207" i="50161"/>
  <c r="P207" i="50161"/>
  <c r="Q207" i="50161"/>
  <c r="R207" i="50161"/>
  <c r="A208" i="50161"/>
  <c r="D208" i="50161"/>
  <c r="E208" i="50161"/>
  <c r="F208" i="50161"/>
  <c r="G208" i="50161"/>
  <c r="H208" i="50161"/>
  <c r="I208" i="50161"/>
  <c r="J208" i="50161"/>
  <c r="K208" i="50161"/>
  <c r="L208" i="50161"/>
  <c r="M208" i="50161"/>
  <c r="O208" i="50161"/>
  <c r="P208" i="50161"/>
  <c r="Q208" i="50161"/>
  <c r="R208" i="50161"/>
  <c r="A209" i="50161"/>
  <c r="D209" i="50161"/>
  <c r="E209" i="50161"/>
  <c r="F209" i="50161"/>
  <c r="G209" i="50161"/>
  <c r="H209" i="50161"/>
  <c r="I209" i="50161"/>
  <c r="J209" i="50161"/>
  <c r="K209" i="50161"/>
  <c r="L209" i="50161"/>
  <c r="M209" i="50161"/>
  <c r="N209" i="50161"/>
  <c r="O209" i="50161"/>
  <c r="P209" i="50161"/>
  <c r="Q209" i="50161"/>
  <c r="R209" i="50161"/>
  <c r="A210" i="50161"/>
  <c r="D210" i="50161"/>
  <c r="E210" i="50161"/>
  <c r="F210" i="50161"/>
  <c r="G210" i="50161"/>
  <c r="H210" i="50161"/>
  <c r="I210" i="50161"/>
  <c r="J210" i="50161"/>
  <c r="L210" i="50161"/>
  <c r="M210" i="50161"/>
  <c r="N210" i="50161"/>
  <c r="O210" i="50161"/>
  <c r="P210" i="50161"/>
  <c r="Q210" i="50161"/>
  <c r="R210" i="50161"/>
  <c r="A211" i="50161"/>
  <c r="D211" i="50161"/>
  <c r="E211" i="50161"/>
  <c r="F211" i="50161"/>
  <c r="G211" i="50161"/>
  <c r="H211" i="50161"/>
  <c r="I211" i="50161"/>
  <c r="J211" i="50161"/>
  <c r="K211" i="50161"/>
  <c r="M211" i="50161"/>
  <c r="N211" i="50161"/>
  <c r="O211" i="50161"/>
  <c r="P211" i="50161"/>
  <c r="Q211" i="50161"/>
  <c r="R211" i="50161"/>
  <c r="A212" i="50161"/>
  <c r="D212" i="50161"/>
  <c r="E212" i="50161"/>
  <c r="F212" i="50161"/>
  <c r="G212" i="50161"/>
  <c r="H212" i="50161"/>
  <c r="I212" i="50161"/>
  <c r="J212" i="50161"/>
  <c r="K212" i="50161"/>
  <c r="L212" i="50161"/>
  <c r="M212" i="50161"/>
  <c r="N212" i="50161"/>
  <c r="O212" i="50161"/>
  <c r="P212" i="50161"/>
  <c r="Q212" i="50161"/>
  <c r="R212" i="50161"/>
  <c r="A213" i="50161"/>
  <c r="D213" i="50161"/>
  <c r="E213" i="50161"/>
  <c r="F213" i="50161"/>
  <c r="G213" i="50161"/>
  <c r="H213" i="50161"/>
  <c r="I213" i="50161"/>
  <c r="J213" i="50161"/>
  <c r="K213" i="50161"/>
  <c r="L213" i="50161"/>
  <c r="M213" i="50161"/>
  <c r="N213" i="50161"/>
  <c r="O213" i="50161"/>
  <c r="P213" i="50161"/>
  <c r="Q213" i="50161"/>
  <c r="R213" i="50161"/>
  <c r="A214" i="50161"/>
  <c r="D214" i="50161"/>
  <c r="E214" i="50161"/>
  <c r="F214" i="50161"/>
  <c r="G214" i="50161"/>
  <c r="H214" i="50161"/>
  <c r="I214" i="50161"/>
  <c r="J214" i="50161"/>
  <c r="K214" i="50161"/>
  <c r="L214" i="50161"/>
  <c r="M214" i="50161"/>
  <c r="N214" i="50161"/>
  <c r="O214" i="50161"/>
  <c r="P214" i="50161"/>
  <c r="R214" i="50161"/>
  <c r="A215" i="50161"/>
  <c r="D215" i="50161"/>
  <c r="E215" i="50161"/>
  <c r="G215" i="50161"/>
  <c r="H215" i="50161"/>
  <c r="I215" i="50161"/>
  <c r="J215" i="50161"/>
  <c r="K215" i="50161"/>
  <c r="L215" i="50161"/>
  <c r="M215" i="50161"/>
  <c r="N215" i="50161"/>
  <c r="O215" i="50161"/>
  <c r="P215" i="50161"/>
  <c r="Q215" i="50161"/>
  <c r="R215" i="50161"/>
  <c r="A216" i="50161"/>
  <c r="D216" i="50161"/>
  <c r="E216" i="50161"/>
  <c r="F216" i="50161"/>
  <c r="G216" i="50161"/>
  <c r="H216" i="50161"/>
  <c r="I216" i="50161"/>
  <c r="J216" i="50161"/>
  <c r="K216" i="50161"/>
  <c r="L216" i="50161"/>
  <c r="M216" i="50161"/>
  <c r="O216" i="50161"/>
  <c r="P216" i="50161"/>
  <c r="Q216" i="50161"/>
  <c r="R216" i="50161"/>
  <c r="A217" i="50161"/>
  <c r="D217" i="50161"/>
  <c r="E217" i="50161"/>
  <c r="F217" i="50161"/>
  <c r="G217" i="50161"/>
  <c r="H217" i="50161"/>
  <c r="I217" i="50161"/>
  <c r="J217" i="50161"/>
  <c r="K217" i="50161"/>
  <c r="L217" i="50161"/>
  <c r="M217" i="50161"/>
  <c r="N217" i="50161"/>
  <c r="O217" i="50161"/>
  <c r="P217" i="50161"/>
  <c r="Q217" i="50161"/>
  <c r="R217" i="50161"/>
  <c r="A218" i="50161"/>
  <c r="D218" i="50161"/>
  <c r="E218" i="50161"/>
  <c r="F218" i="50161"/>
  <c r="G218" i="50161"/>
  <c r="H218" i="50161"/>
  <c r="I218" i="50161"/>
  <c r="J218" i="50161"/>
  <c r="L218" i="50161"/>
  <c r="M218" i="50161"/>
  <c r="N218" i="50161"/>
  <c r="O218" i="50161"/>
  <c r="P218" i="50161"/>
  <c r="Q218" i="50161"/>
  <c r="R218" i="50161"/>
  <c r="A219" i="50161"/>
  <c r="D219" i="50161"/>
  <c r="E219" i="50161"/>
  <c r="F219" i="50161"/>
  <c r="G219" i="50161"/>
  <c r="H219" i="50161"/>
  <c r="I219" i="50161"/>
  <c r="J219" i="50161"/>
  <c r="K219" i="50161"/>
  <c r="M219" i="50161"/>
  <c r="N219" i="50161"/>
  <c r="O219" i="50161"/>
  <c r="P219" i="50161"/>
  <c r="Q219" i="50161"/>
  <c r="R219" i="50161"/>
  <c r="A220" i="50161"/>
  <c r="B220" i="50161"/>
  <c r="C220" i="50161"/>
  <c r="D220" i="50161"/>
  <c r="E220" i="50161"/>
  <c r="F220" i="50161"/>
  <c r="G220" i="50161"/>
  <c r="H220" i="50161"/>
  <c r="I220" i="50161"/>
  <c r="J220" i="50161"/>
  <c r="K220" i="50161"/>
  <c r="L220" i="50161"/>
  <c r="M220" i="50161"/>
  <c r="N220" i="50161"/>
  <c r="O220" i="50161"/>
  <c r="P220" i="50161"/>
  <c r="Q220" i="50161"/>
  <c r="R220" i="50161"/>
  <c r="A221" i="50161"/>
  <c r="B221" i="50161"/>
  <c r="C221" i="50161"/>
  <c r="D221" i="50161"/>
  <c r="E221" i="50161"/>
  <c r="F221" i="50161"/>
  <c r="G221" i="50161"/>
  <c r="H221" i="50161"/>
  <c r="I221" i="50161"/>
  <c r="J221" i="50161"/>
  <c r="K221" i="50161"/>
  <c r="L221" i="50161"/>
  <c r="M221" i="50161"/>
  <c r="N221" i="50161"/>
  <c r="O221" i="50161"/>
  <c r="P221" i="50161"/>
  <c r="Q221" i="50161"/>
  <c r="R221" i="50161"/>
  <c r="A222" i="50161"/>
  <c r="B222" i="50161"/>
  <c r="C222" i="50161"/>
  <c r="D222" i="50161"/>
  <c r="F222" i="50161"/>
  <c r="G222" i="50161"/>
  <c r="H222" i="50161"/>
  <c r="I222" i="50161"/>
  <c r="J222" i="50161"/>
  <c r="K222" i="50161"/>
  <c r="L222" i="50161"/>
  <c r="M222" i="50161"/>
  <c r="N222" i="50161"/>
  <c r="O222" i="50161"/>
  <c r="P222" i="50161"/>
  <c r="R222" i="50161"/>
  <c r="A223" i="50161"/>
  <c r="B223" i="50161"/>
  <c r="C223" i="50161"/>
  <c r="D223" i="50161"/>
  <c r="E223" i="50161"/>
  <c r="G223" i="50161"/>
  <c r="H223" i="50161"/>
  <c r="I223" i="50161"/>
  <c r="J223" i="50161"/>
  <c r="K223" i="50161"/>
  <c r="L223" i="50161"/>
  <c r="M223" i="50161"/>
  <c r="N223" i="50161"/>
  <c r="O223" i="50161"/>
  <c r="P223" i="50161"/>
  <c r="Q223" i="50161"/>
  <c r="R223" i="50161"/>
  <c r="A224" i="50161"/>
  <c r="C224" i="50161"/>
  <c r="D224" i="50161"/>
  <c r="E224" i="50161"/>
  <c r="F224" i="50161"/>
  <c r="G224" i="50161"/>
  <c r="H224" i="50161"/>
  <c r="I224" i="50161"/>
  <c r="J224" i="50161"/>
  <c r="K224" i="50161"/>
  <c r="L224" i="50161"/>
  <c r="M224" i="50161"/>
  <c r="N224" i="50161"/>
  <c r="O224" i="50161"/>
  <c r="P224" i="50161"/>
  <c r="Q224" i="50161"/>
  <c r="R224" i="50161"/>
  <c r="A225" i="50161"/>
  <c r="B225" i="50161"/>
  <c r="C225" i="50161"/>
  <c r="D225" i="50161"/>
  <c r="E225" i="50161"/>
  <c r="F225" i="50161"/>
  <c r="G225" i="50161"/>
  <c r="H225" i="50161"/>
  <c r="I225" i="50161"/>
  <c r="J225" i="50161"/>
  <c r="K225" i="50161"/>
  <c r="L225" i="50161"/>
  <c r="M225" i="50161"/>
  <c r="N225" i="50161"/>
  <c r="P225" i="50161"/>
  <c r="Q225" i="50161"/>
  <c r="R225" i="50161"/>
  <c r="A226" i="50161"/>
  <c r="B226" i="50161"/>
  <c r="C226" i="50161"/>
  <c r="D226" i="50161"/>
  <c r="E226" i="50161"/>
  <c r="F226" i="50161"/>
  <c r="G226" i="50161"/>
  <c r="H226" i="50161"/>
  <c r="I226" i="50161"/>
  <c r="J226" i="50161"/>
  <c r="L226" i="50161"/>
  <c r="M226" i="50161"/>
  <c r="N226" i="50161"/>
  <c r="O226" i="50161"/>
  <c r="P226" i="50161"/>
  <c r="Q226" i="50161"/>
  <c r="R226" i="50161"/>
  <c r="A227" i="50161"/>
  <c r="B227" i="50161"/>
  <c r="C227" i="50161"/>
  <c r="D227" i="50161"/>
  <c r="E227" i="50161"/>
  <c r="F227" i="50161"/>
  <c r="G227" i="50161"/>
  <c r="H227" i="50161"/>
  <c r="I227" i="50161"/>
  <c r="J227" i="50161"/>
  <c r="K227" i="50161"/>
  <c r="M227" i="50161"/>
  <c r="N227" i="50161"/>
  <c r="O227" i="50161"/>
  <c r="P227" i="50161"/>
  <c r="Q227" i="50161"/>
  <c r="R227" i="50161"/>
  <c r="A228" i="50161"/>
  <c r="B228" i="50161"/>
  <c r="C228" i="50161"/>
  <c r="D228" i="50161"/>
  <c r="E228" i="50161"/>
  <c r="F228" i="50161"/>
  <c r="G228" i="50161"/>
  <c r="H228" i="50161"/>
  <c r="I228" i="50161"/>
  <c r="J228" i="50161"/>
  <c r="K228" i="50161"/>
  <c r="L228" i="50161"/>
  <c r="M228" i="50161"/>
  <c r="N228" i="50161"/>
  <c r="O228" i="50161"/>
  <c r="P228" i="50161"/>
  <c r="Q228" i="50161"/>
  <c r="R228" i="50161"/>
  <c r="A229" i="50161"/>
  <c r="B229" i="50161"/>
  <c r="C229" i="50161"/>
  <c r="D229" i="50161"/>
  <c r="E229" i="50161"/>
  <c r="F229" i="50161"/>
  <c r="G229" i="50161"/>
  <c r="H229" i="50161"/>
  <c r="I229" i="50161"/>
  <c r="J229" i="50161"/>
  <c r="K229" i="50161"/>
  <c r="L229" i="50161"/>
  <c r="M229" i="50161"/>
  <c r="N229" i="50161"/>
  <c r="O229" i="50161"/>
  <c r="P229" i="50161"/>
  <c r="Q229" i="50161"/>
  <c r="R229" i="50161"/>
  <c r="W5" i="50160"/>
  <c r="Y5" i="50160" s="1"/>
  <c r="AA5" i="50160"/>
  <c r="V7" i="50160"/>
  <c r="X7" i="50160" s="1"/>
  <c r="V10" i="50160"/>
  <c r="X10" i="50160" s="1"/>
  <c r="V12" i="50160"/>
  <c r="X12" i="50160" s="1"/>
  <c r="V17" i="50160"/>
  <c r="X17" i="50160" s="1"/>
  <c r="V23" i="50160"/>
  <c r="X23" i="50160" s="1"/>
  <c r="V26" i="50160"/>
  <c r="X26" i="50160" s="1"/>
  <c r="V28" i="50160"/>
  <c r="X28" i="50160" s="1"/>
  <c r="V33" i="50160"/>
  <c r="X33" i="50160" s="1"/>
  <c r="V39" i="50160"/>
  <c r="X39" i="50160" s="1"/>
  <c r="V42" i="50160"/>
  <c r="X42" i="50160" s="1"/>
  <c r="V44" i="50160"/>
  <c r="X44" i="50160" s="1"/>
  <c r="X45" i="50160"/>
  <c r="X46" i="50160"/>
  <c r="X47" i="50160"/>
  <c r="X48" i="50160"/>
  <c r="X49" i="50160"/>
  <c r="X50" i="50160"/>
  <c r="X51" i="50160"/>
  <c r="X52" i="50160"/>
  <c r="X53" i="50160"/>
  <c r="X54" i="50160"/>
  <c r="X55" i="50160"/>
  <c r="X56" i="50160"/>
  <c r="X57" i="50160"/>
  <c r="X58" i="50160"/>
  <c r="X59" i="50160"/>
  <c r="X60" i="50160"/>
  <c r="X61" i="50160"/>
  <c r="X62" i="50160"/>
  <c r="X63" i="50160"/>
  <c r="X64" i="50160"/>
  <c r="X65" i="50160"/>
  <c r="X66" i="50160"/>
  <c r="X67" i="50160"/>
  <c r="X68" i="50160"/>
  <c r="X69" i="50160"/>
  <c r="X70" i="50160"/>
  <c r="X71" i="50160"/>
  <c r="X72" i="50160"/>
  <c r="X73" i="50160"/>
  <c r="X74" i="50160"/>
  <c r="X75" i="50160"/>
  <c r="X76" i="50160"/>
  <c r="X77" i="50160"/>
  <c r="X78" i="50160"/>
  <c r="X79" i="50160"/>
  <c r="X80" i="50160"/>
  <c r="X81" i="50160"/>
  <c r="X82" i="50160"/>
  <c r="X83" i="50160"/>
  <c r="X84" i="50160"/>
  <c r="X85" i="50160"/>
  <c r="X86" i="50160"/>
  <c r="X87" i="50160"/>
  <c r="X88" i="50160"/>
  <c r="X89" i="50160"/>
  <c r="X90" i="50160"/>
  <c r="X91" i="50160"/>
  <c r="X92" i="50160"/>
  <c r="X93" i="50160"/>
  <c r="X94" i="50160"/>
  <c r="X95" i="50160"/>
  <c r="X96" i="50160"/>
  <c r="X97" i="50160"/>
  <c r="X98" i="50160"/>
  <c r="X99" i="50160"/>
  <c r="X100" i="50160"/>
  <c r="X101" i="50160"/>
  <c r="X102" i="50160"/>
  <c r="X103" i="50160"/>
  <c r="X104" i="50160"/>
  <c r="X105" i="50160"/>
  <c r="X106" i="50160"/>
  <c r="X107" i="50160"/>
  <c r="X108" i="50160"/>
  <c r="X109" i="50160"/>
  <c r="X110" i="50160"/>
  <c r="X111" i="50160"/>
  <c r="X112" i="50160"/>
  <c r="X113" i="50160"/>
  <c r="X114" i="50160"/>
  <c r="X115" i="50160"/>
  <c r="X116" i="50160"/>
  <c r="X117" i="50160"/>
  <c r="X118" i="50160"/>
  <c r="X119" i="50160"/>
  <c r="X120" i="50160"/>
  <c r="X121" i="50160"/>
  <c r="X122" i="50160"/>
  <c r="X123" i="50160"/>
  <c r="X124" i="50160"/>
  <c r="X125" i="50160"/>
  <c r="X126" i="50160"/>
  <c r="X127" i="50160"/>
  <c r="X128" i="50160"/>
  <c r="X129" i="50160"/>
  <c r="X130" i="50160"/>
  <c r="X131" i="50160"/>
  <c r="X132" i="50160"/>
  <c r="X133" i="50160"/>
  <c r="X134" i="50160"/>
  <c r="X135" i="50160"/>
  <c r="X136" i="50160"/>
  <c r="X137" i="50160"/>
  <c r="X138" i="50160"/>
  <c r="X139" i="50160"/>
  <c r="X140" i="50160"/>
  <c r="X141" i="50160"/>
  <c r="X142" i="50160"/>
  <c r="X143" i="50160"/>
  <c r="X144" i="50160"/>
  <c r="X145" i="50160"/>
  <c r="X146" i="50160"/>
  <c r="X147" i="50160"/>
  <c r="X148" i="50160"/>
  <c r="X149" i="50160"/>
  <c r="X150" i="50160"/>
  <c r="X151" i="50160"/>
  <c r="X152" i="50160"/>
  <c r="X153" i="50160"/>
  <c r="X154" i="50160"/>
  <c r="X155" i="50160"/>
  <c r="X156" i="50160"/>
  <c r="X157" i="50160"/>
  <c r="X158" i="50160"/>
  <c r="X159" i="50160"/>
  <c r="X160" i="50160"/>
  <c r="X161" i="50160"/>
  <c r="X162" i="50160"/>
  <c r="X163" i="50160"/>
  <c r="X164" i="50160"/>
  <c r="X165" i="50160"/>
  <c r="X166" i="50160"/>
  <c r="X167" i="50160"/>
  <c r="X168" i="50160"/>
  <c r="X169" i="50160"/>
  <c r="X170" i="50160"/>
  <c r="X171" i="50160"/>
  <c r="X172" i="50160"/>
  <c r="X173" i="50160"/>
  <c r="X174" i="50160"/>
  <c r="X175" i="50160"/>
  <c r="X176" i="50160"/>
  <c r="X177" i="50160"/>
  <c r="X178" i="50160"/>
  <c r="X179" i="50160"/>
  <c r="X180" i="50160"/>
  <c r="X181" i="50160"/>
  <c r="X182" i="50160"/>
  <c r="X183" i="50160"/>
  <c r="X184" i="50160"/>
  <c r="X185" i="50160"/>
  <c r="X186" i="50160"/>
  <c r="X187" i="50160"/>
  <c r="X188" i="50160"/>
  <c r="X189" i="50160"/>
  <c r="X190" i="50160"/>
  <c r="X191" i="50160"/>
  <c r="X192" i="50160"/>
  <c r="X193" i="50160"/>
  <c r="X194" i="50160"/>
  <c r="X195" i="50160"/>
  <c r="X196" i="50160"/>
  <c r="X197" i="50160"/>
  <c r="X198" i="50160"/>
  <c r="X199" i="50160"/>
  <c r="X200" i="50160"/>
  <c r="X201" i="50160"/>
  <c r="X202" i="50160"/>
  <c r="X203" i="50160"/>
  <c r="X204" i="50160"/>
  <c r="X205" i="50160"/>
  <c r="X206" i="50160"/>
  <c r="X207" i="50160"/>
  <c r="X208" i="50160"/>
  <c r="X209" i="50160"/>
  <c r="X210" i="50160"/>
  <c r="X211" i="50160"/>
  <c r="X212" i="50160"/>
  <c r="X213" i="50160"/>
  <c r="X214" i="50160"/>
  <c r="X215" i="50160"/>
  <c r="X216" i="50160"/>
  <c r="X217" i="50160"/>
  <c r="X218" i="50160"/>
  <c r="X219" i="50160"/>
  <c r="X220" i="50160"/>
  <c r="X221" i="50160"/>
  <c r="X222" i="50160"/>
  <c r="X223" i="50160"/>
  <c r="X224" i="50160"/>
  <c r="X225" i="50160"/>
  <c r="X226" i="50160"/>
  <c r="X227" i="50160"/>
  <c r="X228" i="50160"/>
  <c r="X229" i="50160"/>
  <c r="X230" i="50160"/>
  <c r="X231" i="50160"/>
  <c r="X232" i="50160"/>
  <c r="X233" i="50160"/>
  <c r="X234" i="50160"/>
  <c r="X235" i="50160"/>
  <c r="X236" i="50160"/>
  <c r="X237" i="50160"/>
  <c r="X238" i="50160"/>
  <c r="X239" i="50160"/>
  <c r="X240" i="50160"/>
  <c r="X241" i="50160"/>
  <c r="X242" i="50160"/>
  <c r="X243" i="50160"/>
  <c r="X244" i="50160"/>
  <c r="X245" i="50160"/>
  <c r="X246" i="50160"/>
  <c r="X247" i="50160"/>
  <c r="X248" i="50160"/>
  <c r="X249" i="50160"/>
  <c r="X250" i="50160"/>
  <c r="X251" i="50160"/>
  <c r="X252" i="50160"/>
  <c r="X253" i="50160"/>
  <c r="X254" i="50160"/>
  <c r="X255" i="50160"/>
  <c r="X256" i="50160"/>
  <c r="X257" i="50160"/>
  <c r="X258" i="50160"/>
  <c r="X259" i="50160"/>
  <c r="X260" i="50160"/>
  <c r="X261" i="50160"/>
  <c r="X262" i="50160"/>
  <c r="X263" i="50160"/>
  <c r="X264" i="50160"/>
  <c r="X265" i="50160"/>
  <c r="X266" i="50160"/>
  <c r="X267" i="50160"/>
  <c r="X268" i="50160"/>
  <c r="X269" i="50160"/>
  <c r="X270" i="50160"/>
  <c r="X271" i="50160"/>
  <c r="X272" i="50160"/>
  <c r="X273" i="50160"/>
  <c r="X274" i="50160"/>
  <c r="X275" i="50160"/>
  <c r="X276" i="50160"/>
  <c r="X277" i="50160"/>
  <c r="X278" i="50160"/>
  <c r="X279" i="50160"/>
  <c r="X280" i="50160"/>
  <c r="X281" i="50160"/>
  <c r="X282" i="50160"/>
  <c r="X283" i="50160"/>
  <c r="X284" i="50160"/>
  <c r="X285" i="50160"/>
  <c r="X286" i="50160"/>
  <c r="X287" i="50160"/>
  <c r="X288" i="50160"/>
  <c r="X289" i="50160"/>
  <c r="X290" i="50160"/>
  <c r="X291" i="50160"/>
  <c r="X292" i="50160"/>
  <c r="X293" i="50160"/>
  <c r="X294" i="50160"/>
  <c r="X295" i="50160"/>
  <c r="X296" i="50160"/>
  <c r="X297" i="50160"/>
  <c r="X298" i="50160"/>
  <c r="X299" i="50160"/>
  <c r="X300" i="50160"/>
  <c r="X301" i="50160"/>
  <c r="X302" i="50160"/>
  <c r="X303" i="50160"/>
  <c r="X304" i="50160"/>
  <c r="W6" i="50160"/>
  <c r="Y6" i="50160" s="1"/>
  <c r="W7" i="50160"/>
  <c r="W8" i="50160"/>
  <c r="W9" i="50160"/>
  <c r="Y9" i="50160" s="1"/>
  <c r="W10" i="50160"/>
  <c r="Y10" i="50160" s="1"/>
  <c r="W11" i="50160"/>
  <c r="W12" i="50160"/>
  <c r="Z12" i="50160"/>
  <c r="W13" i="50160"/>
  <c r="W14" i="50160"/>
  <c r="Y14" i="50160" s="1"/>
  <c r="W15" i="50160"/>
  <c r="W16" i="50160"/>
  <c r="Y16" i="50160" s="1"/>
  <c r="W17" i="50160"/>
  <c r="W18" i="50160"/>
  <c r="Y18" i="50160" s="1"/>
  <c r="W19" i="50160"/>
  <c r="W20" i="50160"/>
  <c r="Y20" i="50160" s="1"/>
  <c r="W21" i="50160"/>
  <c r="W22" i="50160"/>
  <c r="Y22" i="50160" s="1"/>
  <c r="W23" i="50160"/>
  <c r="Z23" i="50160"/>
  <c r="W24" i="50160"/>
  <c r="W25" i="50160"/>
  <c r="W26" i="50160"/>
  <c r="Y26" i="50160" s="1"/>
  <c r="W27" i="50160"/>
  <c r="Y27" i="50160" s="1"/>
  <c r="W28" i="50160"/>
  <c r="W29" i="50160"/>
  <c r="W30" i="50160"/>
  <c r="Y30" i="50160" s="1"/>
  <c r="W31" i="50160"/>
  <c r="Y31" i="50160" s="1"/>
  <c r="W32" i="50160"/>
  <c r="W33" i="50160"/>
  <c r="W34" i="50160"/>
  <c r="Y34" i="50160" s="1"/>
  <c r="W35" i="50160"/>
  <c r="W36" i="50160"/>
  <c r="W37" i="50160"/>
  <c r="Y37" i="50160" s="1"/>
  <c r="W38" i="50160"/>
  <c r="Y38" i="50160" s="1"/>
  <c r="W39" i="50160"/>
  <c r="W40" i="50160"/>
  <c r="W41" i="50160"/>
  <c r="Y41" i="50160" s="1"/>
  <c r="W42" i="50160"/>
  <c r="Y42" i="50160" s="1"/>
  <c r="W43" i="50160"/>
  <c r="W44" i="50160"/>
  <c r="Z44" i="50160"/>
  <c r="Z45" i="50160"/>
  <c r="Z46" i="50160"/>
  <c r="Z47" i="50160"/>
  <c r="Z48" i="50160"/>
  <c r="Z49" i="50160"/>
  <c r="Z50" i="50160"/>
  <c r="Z51" i="50160"/>
  <c r="Z52" i="50160"/>
  <c r="Z53" i="50160"/>
  <c r="Z54" i="50160"/>
  <c r="Z55" i="50160"/>
  <c r="Z56" i="50160"/>
  <c r="Z57" i="50160"/>
  <c r="Z58" i="50160"/>
  <c r="Z59" i="50160"/>
  <c r="Z60" i="50160"/>
  <c r="Z61" i="50160"/>
  <c r="Z62" i="50160"/>
  <c r="Z63" i="50160"/>
  <c r="Z64" i="50160"/>
  <c r="Z65" i="50160"/>
  <c r="Z66" i="50160"/>
  <c r="Z67" i="50160"/>
  <c r="Z68" i="50160"/>
  <c r="Z69" i="50160"/>
  <c r="Z70" i="50160"/>
  <c r="Z71" i="50160"/>
  <c r="Z72" i="50160"/>
  <c r="Z73" i="50160"/>
  <c r="Z74" i="50160"/>
  <c r="Z75" i="50160"/>
  <c r="Z76" i="50160"/>
  <c r="Z77" i="50160"/>
  <c r="Z78" i="50160"/>
  <c r="Z79" i="50160"/>
  <c r="Z80" i="50160"/>
  <c r="Z81" i="50160"/>
  <c r="Z82" i="50160"/>
  <c r="Z83" i="50160"/>
  <c r="Z84" i="50160"/>
  <c r="Z85" i="50160"/>
  <c r="Z86" i="50160"/>
  <c r="Z87" i="50160"/>
  <c r="Z88" i="50160"/>
  <c r="Z89" i="50160"/>
  <c r="Z90" i="50160"/>
  <c r="Z91" i="50160"/>
  <c r="Z92" i="50160"/>
  <c r="Z93" i="50160"/>
  <c r="Z94" i="50160"/>
  <c r="Z95" i="50160"/>
  <c r="Z96" i="50160"/>
  <c r="Z97" i="50160"/>
  <c r="Z98" i="50160"/>
  <c r="Z99" i="50160"/>
  <c r="Z100" i="50160"/>
  <c r="Z101" i="50160"/>
  <c r="Z102" i="50160"/>
  <c r="Z103" i="50160"/>
  <c r="Z104" i="50160"/>
  <c r="Z105" i="50160"/>
  <c r="Z106" i="50160"/>
  <c r="Z107" i="50160"/>
  <c r="Z108" i="50160"/>
  <c r="Z109" i="50160"/>
  <c r="Z110" i="50160"/>
  <c r="Z111" i="50160"/>
  <c r="Z112" i="50160"/>
  <c r="Z113" i="50160"/>
  <c r="Z114" i="50160"/>
  <c r="Z115" i="50160"/>
  <c r="Z116" i="50160"/>
  <c r="Z117" i="50160"/>
  <c r="Z118" i="50160"/>
  <c r="Z119" i="50160"/>
  <c r="Z120" i="50160"/>
  <c r="Z121" i="50160"/>
  <c r="Z122" i="50160"/>
  <c r="Z123" i="50160"/>
  <c r="Z124" i="50160"/>
  <c r="Z125" i="50160"/>
  <c r="Z126" i="50160"/>
  <c r="Z127" i="50160"/>
  <c r="Z128" i="50160"/>
  <c r="Z129" i="50160"/>
  <c r="Z130" i="50160"/>
  <c r="Z131" i="50160"/>
  <c r="Z132" i="50160"/>
  <c r="Z133" i="50160"/>
  <c r="Z134" i="50160"/>
  <c r="Z135" i="50160"/>
  <c r="Z136" i="50160"/>
  <c r="Z137" i="50160"/>
  <c r="Z138" i="50160"/>
  <c r="Z139" i="50160"/>
  <c r="Z140" i="50160"/>
  <c r="Z141" i="50160"/>
  <c r="Z142" i="50160"/>
  <c r="Z143" i="50160"/>
  <c r="Z144" i="50160"/>
  <c r="Z145" i="50160"/>
  <c r="Z146" i="50160"/>
  <c r="Z147" i="50160"/>
  <c r="Z148" i="50160"/>
  <c r="Z149" i="50160"/>
  <c r="Z150" i="50160"/>
  <c r="Z151" i="50160"/>
  <c r="Z152" i="50160"/>
  <c r="Z153" i="50160"/>
  <c r="Z154" i="50160"/>
  <c r="Z155" i="50160"/>
  <c r="Z156" i="50160"/>
  <c r="Z157" i="50160"/>
  <c r="Z158" i="50160"/>
  <c r="Z159" i="50160"/>
  <c r="Z160" i="50160"/>
  <c r="Z161" i="50160"/>
  <c r="Z162" i="50160"/>
  <c r="Z163" i="50160"/>
  <c r="Z164" i="50160"/>
  <c r="Z165" i="50160"/>
  <c r="Z166" i="50160"/>
  <c r="Z167" i="50160"/>
  <c r="Z168" i="50160"/>
  <c r="Z169" i="50160"/>
  <c r="Z170" i="50160"/>
  <c r="Z171" i="50160"/>
  <c r="Z172" i="50160"/>
  <c r="Z173" i="50160"/>
  <c r="Z174" i="50160"/>
  <c r="Z175" i="50160"/>
  <c r="Z176" i="50160"/>
  <c r="Z177" i="50160"/>
  <c r="Z178" i="50160"/>
  <c r="Z179" i="50160"/>
  <c r="Z180" i="50160"/>
  <c r="Z181" i="50160"/>
  <c r="Z182" i="50160"/>
  <c r="Z183" i="50160"/>
  <c r="Z184" i="50160"/>
  <c r="Z185" i="50160"/>
  <c r="Z186" i="50160"/>
  <c r="Z187" i="50160"/>
  <c r="Z188" i="50160"/>
  <c r="Z189" i="50160"/>
  <c r="Z190" i="50160"/>
  <c r="Z191" i="50160"/>
  <c r="Z192" i="50160"/>
  <c r="Z193" i="50160"/>
  <c r="Z194" i="50160"/>
  <c r="Z195" i="50160"/>
  <c r="Z196" i="50160"/>
  <c r="Z197" i="50160"/>
  <c r="Z198" i="50160"/>
  <c r="Z199" i="50160"/>
  <c r="Z200" i="50160"/>
  <c r="Z201" i="50160"/>
  <c r="Z202" i="50160"/>
  <c r="Z203" i="50160"/>
  <c r="Z204" i="50160"/>
  <c r="Z205" i="50160"/>
  <c r="Z206" i="50160"/>
  <c r="Z207" i="50160"/>
  <c r="Z208" i="50160"/>
  <c r="Z209" i="50160"/>
  <c r="Z210" i="50160"/>
  <c r="Z211" i="50160"/>
  <c r="Z212" i="50160"/>
  <c r="Z213" i="50160"/>
  <c r="Z214" i="50160"/>
  <c r="Z215" i="50160"/>
  <c r="Z216" i="50160"/>
  <c r="Z217" i="50160"/>
  <c r="Z218" i="50160"/>
  <c r="Z219" i="50160"/>
  <c r="Z220" i="50160"/>
  <c r="Z221" i="50160"/>
  <c r="Z222" i="50160"/>
  <c r="Z223" i="50160"/>
  <c r="Z224" i="50160"/>
  <c r="Z225" i="50160"/>
  <c r="Z226" i="50160"/>
  <c r="Z227" i="50160"/>
  <c r="Z228" i="50160"/>
  <c r="Z229" i="50160"/>
  <c r="Z230" i="50160"/>
  <c r="Z231" i="50160"/>
  <c r="Z232" i="50160"/>
  <c r="Z233" i="50160"/>
  <c r="Z234" i="50160"/>
  <c r="Z235" i="50160"/>
  <c r="Z236" i="50160"/>
  <c r="Z237" i="50160"/>
  <c r="Z238" i="50160"/>
  <c r="Z239" i="50160"/>
  <c r="Z240" i="50160"/>
  <c r="Z241" i="50160"/>
  <c r="Z242" i="50160"/>
  <c r="Z243" i="50160"/>
  <c r="Z244" i="50160"/>
  <c r="Z245" i="50160"/>
  <c r="Z246" i="50160"/>
  <c r="Z247" i="50160"/>
  <c r="Z248" i="50160"/>
  <c r="Z249" i="50160"/>
  <c r="Z250" i="50160"/>
  <c r="Z251" i="50160"/>
  <c r="Z252" i="50160"/>
  <c r="Z253" i="50160"/>
  <c r="Z254" i="50160"/>
  <c r="Z255" i="50160"/>
  <c r="Z256" i="50160"/>
  <c r="Z257" i="50160"/>
  <c r="Z258" i="50160"/>
  <c r="Z259" i="50160"/>
  <c r="Z260" i="50160"/>
  <c r="Z261" i="50160"/>
  <c r="Z262" i="50160"/>
  <c r="Z263" i="50160"/>
  <c r="Z264" i="50160"/>
  <c r="Z265" i="50160"/>
  <c r="Z266" i="50160"/>
  <c r="Z267" i="50160"/>
  <c r="Z268" i="50160"/>
  <c r="Z269" i="50160"/>
  <c r="Z270" i="50160"/>
  <c r="Z271" i="50160"/>
  <c r="Z272" i="50160"/>
  <c r="Z273" i="50160"/>
  <c r="Z274" i="50160"/>
  <c r="Z275" i="50160"/>
  <c r="Z276" i="50160"/>
  <c r="Z277" i="50160"/>
  <c r="Z278" i="50160"/>
  <c r="Z279" i="50160"/>
  <c r="Z280" i="50160"/>
  <c r="Z281" i="50160"/>
  <c r="Z282" i="50160"/>
  <c r="Z283" i="50160"/>
  <c r="Z284" i="50160"/>
  <c r="Z285" i="50160"/>
  <c r="Z286" i="50160"/>
  <c r="Z287" i="50160"/>
  <c r="Z288" i="50160"/>
  <c r="Z289" i="50160"/>
  <c r="Z290" i="50160"/>
  <c r="Z291" i="50160"/>
  <c r="Z292" i="50160"/>
  <c r="Z293" i="50160"/>
  <c r="Z294" i="50160"/>
  <c r="Z295" i="50160"/>
  <c r="Z296" i="50160"/>
  <c r="Z297" i="50160"/>
  <c r="Z298" i="50160"/>
  <c r="Z299" i="50160"/>
  <c r="Z300" i="50160"/>
  <c r="Z301" i="50160"/>
  <c r="Z302" i="50160"/>
  <c r="Z303" i="50160"/>
  <c r="Z304" i="50160"/>
  <c r="Y7" i="50160"/>
  <c r="Y8" i="50160"/>
  <c r="Y11" i="50160"/>
  <c r="Y12" i="50160"/>
  <c r="Y13" i="50160"/>
  <c r="Y15" i="50160"/>
  <c r="Y17" i="50160"/>
  <c r="Y19" i="50160"/>
  <c r="Y21" i="50160"/>
  <c r="Y23" i="50160"/>
  <c r="Y24" i="50160"/>
  <c r="Y25" i="50160"/>
  <c r="Y28" i="50160"/>
  <c r="Y29" i="50160"/>
  <c r="Y32" i="50160"/>
  <c r="Y33" i="50160"/>
  <c r="Y35" i="50160"/>
  <c r="Y36" i="50160"/>
  <c r="Y39" i="50160"/>
  <c r="Y40" i="50160"/>
  <c r="Y43" i="50160"/>
  <c r="Y44" i="50160"/>
  <c r="Y45" i="50160"/>
  <c r="Y46" i="50160"/>
  <c r="Y47" i="50160"/>
  <c r="Y48" i="50160"/>
  <c r="Y49" i="50160"/>
  <c r="Y50" i="50160"/>
  <c r="Y51" i="50160"/>
  <c r="Y52" i="50160"/>
  <c r="Y53" i="50160"/>
  <c r="Y54" i="50160"/>
  <c r="Y55" i="50160"/>
  <c r="Y56" i="50160"/>
  <c r="Y57" i="50160"/>
  <c r="Y58" i="50160"/>
  <c r="Y59" i="50160"/>
  <c r="Y60" i="50160"/>
  <c r="Y61" i="50160"/>
  <c r="Y62" i="50160"/>
  <c r="Y63" i="50160"/>
  <c r="Y64" i="50160"/>
  <c r="Y65" i="50160"/>
  <c r="Y66" i="50160"/>
  <c r="Y67" i="50160"/>
  <c r="Y68" i="50160"/>
  <c r="Y69" i="50160"/>
  <c r="Y70" i="50160"/>
  <c r="Y71" i="50160"/>
  <c r="Y72" i="50160"/>
  <c r="Y73" i="50160"/>
  <c r="Y74" i="50160"/>
  <c r="Y75" i="50160"/>
  <c r="Y76" i="50160"/>
  <c r="Y77" i="50160"/>
  <c r="Y78" i="50160"/>
  <c r="Y79" i="50160"/>
  <c r="Y80" i="50160"/>
  <c r="Y81" i="50160"/>
  <c r="Y82" i="50160"/>
  <c r="Y83" i="50160"/>
  <c r="Y84" i="50160"/>
  <c r="Y85" i="50160"/>
  <c r="Y86" i="50160"/>
  <c r="Y87" i="50160"/>
  <c r="Y88" i="50160"/>
  <c r="Y89" i="50160"/>
  <c r="Y90" i="50160"/>
  <c r="Y91" i="50160"/>
  <c r="Y92" i="50160"/>
  <c r="Y93" i="50160"/>
  <c r="Y94" i="50160"/>
  <c r="Y95" i="50160"/>
  <c r="Y96" i="50160"/>
  <c r="Y97" i="50160"/>
  <c r="Y98" i="50160"/>
  <c r="Y99" i="50160"/>
  <c r="Y100" i="50160"/>
  <c r="Y101" i="50160"/>
  <c r="Y102" i="50160"/>
  <c r="Y103" i="50160"/>
  <c r="Y104" i="50160"/>
  <c r="Y105" i="50160"/>
  <c r="Y106" i="50160"/>
  <c r="Y107" i="50160"/>
  <c r="Y108" i="50160"/>
  <c r="Y109" i="50160"/>
  <c r="Y110" i="50160"/>
  <c r="Y111" i="50160"/>
  <c r="Y112" i="50160"/>
  <c r="Y113" i="50160"/>
  <c r="Y114" i="50160"/>
  <c r="Y115" i="50160"/>
  <c r="Y116" i="50160"/>
  <c r="Y117" i="50160"/>
  <c r="Y118" i="50160"/>
  <c r="Y119" i="50160"/>
  <c r="Y120" i="50160"/>
  <c r="Y121" i="50160"/>
  <c r="Y122" i="50160"/>
  <c r="Y123" i="50160"/>
  <c r="Y124" i="50160"/>
  <c r="Y125" i="50160"/>
  <c r="Y126" i="50160"/>
  <c r="Y127" i="50160"/>
  <c r="Y128" i="50160"/>
  <c r="Y129" i="50160"/>
  <c r="Y130" i="50160"/>
  <c r="Y131" i="50160"/>
  <c r="Y132" i="50160"/>
  <c r="Y133" i="50160"/>
  <c r="Y134" i="50160"/>
  <c r="Y135" i="50160"/>
  <c r="Y136" i="50160"/>
  <c r="Y137" i="50160"/>
  <c r="Y138" i="50160"/>
  <c r="Y139" i="50160"/>
  <c r="Y140" i="50160"/>
  <c r="Y141" i="50160"/>
  <c r="Y142" i="50160"/>
  <c r="Y143" i="50160"/>
  <c r="Y144" i="50160"/>
  <c r="Y145" i="50160"/>
  <c r="Y146" i="50160"/>
  <c r="Y147" i="50160"/>
  <c r="Y148" i="50160"/>
  <c r="Y149" i="50160"/>
  <c r="Y150" i="50160"/>
  <c r="Y151" i="50160"/>
  <c r="Y152" i="50160"/>
  <c r="Y153" i="50160"/>
  <c r="Y154" i="50160"/>
  <c r="Y155" i="50160"/>
  <c r="Y156" i="50160"/>
  <c r="Y157" i="50160"/>
  <c r="Y158" i="50160"/>
  <c r="Y159" i="50160"/>
  <c r="Y160" i="50160"/>
  <c r="Y161" i="50160"/>
  <c r="Y162" i="50160"/>
  <c r="Y163" i="50160"/>
  <c r="Y164" i="50160"/>
  <c r="Y165" i="50160"/>
  <c r="Y166" i="50160"/>
  <c r="Y167" i="50160"/>
  <c r="Y168" i="50160"/>
  <c r="Y169" i="50160"/>
  <c r="Y170" i="50160"/>
  <c r="Y171" i="50160"/>
  <c r="Y172" i="50160"/>
  <c r="Y173" i="50160"/>
  <c r="Y174" i="50160"/>
  <c r="Y175" i="50160"/>
  <c r="Y176" i="50160"/>
  <c r="Y177" i="50160"/>
  <c r="Y178" i="50160"/>
  <c r="Y179" i="50160"/>
  <c r="Y180" i="50160"/>
  <c r="Y181" i="50160"/>
  <c r="Y182" i="50160"/>
  <c r="Y183" i="50160"/>
  <c r="Y184" i="50160"/>
  <c r="Y185" i="50160"/>
  <c r="Y186" i="50160"/>
  <c r="Y187" i="50160"/>
  <c r="Y188" i="50160"/>
  <c r="Y189" i="50160"/>
  <c r="Y190" i="50160"/>
  <c r="Y191" i="50160"/>
  <c r="Y192" i="50160"/>
  <c r="Y193" i="50160"/>
  <c r="Y194" i="50160"/>
  <c r="Y195" i="50160"/>
  <c r="Y196" i="50160"/>
  <c r="Y197" i="50160"/>
  <c r="Y198" i="50160"/>
  <c r="Y199" i="50160"/>
  <c r="Y200" i="50160"/>
  <c r="Y201" i="50160"/>
  <c r="Y202" i="50160"/>
  <c r="Y203" i="50160"/>
  <c r="Y204" i="50160"/>
  <c r="Y205" i="50160"/>
  <c r="Y206" i="50160"/>
  <c r="Y207" i="50160"/>
  <c r="Y208" i="50160"/>
  <c r="Y209" i="50160"/>
  <c r="Y210" i="50160"/>
  <c r="Y211" i="50160"/>
  <c r="Y212" i="50160"/>
  <c r="Y213" i="50160"/>
  <c r="Y214" i="50160"/>
  <c r="Y215" i="50160"/>
  <c r="Y216" i="50160"/>
  <c r="Y217" i="50160"/>
  <c r="Y218" i="50160"/>
  <c r="Y219" i="50160"/>
  <c r="Y220" i="50160"/>
  <c r="Y221" i="50160"/>
  <c r="Y222" i="50160"/>
  <c r="Y223" i="50160"/>
  <c r="Y224" i="50160"/>
  <c r="Y225" i="50160"/>
  <c r="Y226" i="50160"/>
  <c r="Y227" i="50160"/>
  <c r="Y228" i="50160"/>
  <c r="Y229" i="50160"/>
  <c r="Y230" i="50160"/>
  <c r="Y231" i="50160"/>
  <c r="Y232" i="50160"/>
  <c r="Y233" i="50160"/>
  <c r="Y234" i="50160"/>
  <c r="Y235" i="50160"/>
  <c r="Y236" i="50160"/>
  <c r="Y237" i="50160"/>
  <c r="Y238" i="50160"/>
  <c r="Y239" i="50160"/>
  <c r="Y240" i="50160"/>
  <c r="Y241" i="50160"/>
  <c r="Y242" i="50160"/>
  <c r="Y243" i="50160"/>
  <c r="Y244" i="50160"/>
  <c r="Y245" i="50160"/>
  <c r="Y246" i="50160"/>
  <c r="Y247" i="50160"/>
  <c r="Y248" i="50160"/>
  <c r="Y249" i="50160"/>
  <c r="Y250" i="50160"/>
  <c r="Y251" i="50160"/>
  <c r="Y252" i="50160"/>
  <c r="Y253" i="50160"/>
  <c r="Y254" i="50160"/>
  <c r="Y255" i="50160"/>
  <c r="Y256" i="50160"/>
  <c r="Y257" i="50160"/>
  <c r="Y258" i="50160"/>
  <c r="Y259" i="50160"/>
  <c r="Y260" i="50160"/>
  <c r="Y261" i="50160"/>
  <c r="Y262" i="50160"/>
  <c r="Y263" i="50160"/>
  <c r="Y264" i="50160"/>
  <c r="Y265" i="50160"/>
  <c r="Y266" i="50160"/>
  <c r="Y267" i="50160"/>
  <c r="Y268" i="50160"/>
  <c r="Y269" i="50160"/>
  <c r="Y270" i="50160"/>
  <c r="Y271" i="50160"/>
  <c r="Y272" i="50160"/>
  <c r="Y273" i="50160"/>
  <c r="Y274" i="50160"/>
  <c r="Y275" i="50160"/>
  <c r="Y276" i="50160"/>
  <c r="Y277" i="50160"/>
  <c r="Y278" i="50160"/>
  <c r="Y279" i="50160"/>
  <c r="Y280" i="50160"/>
  <c r="Y281" i="50160"/>
  <c r="Y282" i="50160"/>
  <c r="Y283" i="50160"/>
  <c r="Y284" i="50160"/>
  <c r="Y285" i="50160"/>
  <c r="Y286" i="50160"/>
  <c r="Y287" i="50160"/>
  <c r="Y288" i="50160"/>
  <c r="Y289" i="50160"/>
  <c r="Y290" i="50160"/>
  <c r="Y291" i="50160"/>
  <c r="Y292" i="50160"/>
  <c r="Y293" i="50160"/>
  <c r="Y294" i="50160"/>
  <c r="Y295" i="50160"/>
  <c r="Y296" i="50160"/>
  <c r="Y297" i="50160"/>
  <c r="Y298" i="50160"/>
  <c r="Y299" i="50160"/>
  <c r="Y300" i="50160"/>
  <c r="Y301" i="50160"/>
  <c r="Y302" i="50160"/>
  <c r="Y303" i="50160"/>
  <c r="Y304" i="50160"/>
  <c r="AA6" i="50160"/>
  <c r="AA7" i="50160"/>
  <c r="AA8" i="50160"/>
  <c r="AB8" i="50160"/>
  <c r="AA9" i="50160"/>
  <c r="AB9" i="50160"/>
  <c r="AA10" i="50160"/>
  <c r="AA11" i="50160"/>
  <c r="AA12" i="50160"/>
  <c r="AB12" i="50160"/>
  <c r="A13" i="50160"/>
  <c r="D13" i="50160"/>
  <c r="G13" i="50160"/>
  <c r="J13" i="50160"/>
  <c r="M13" i="50160"/>
  <c r="P13" i="50160"/>
  <c r="AA13" i="50160"/>
  <c r="AB13" i="50160"/>
  <c r="AU13" i="50160"/>
  <c r="AV13" i="50160"/>
  <c r="AW13" i="50160"/>
  <c r="AX13" i="50160"/>
  <c r="AY13" i="50160"/>
  <c r="AZ13" i="50160"/>
  <c r="BA13" i="50160"/>
  <c r="BB13" i="50160"/>
  <c r="BC13" i="50160"/>
  <c r="BD13" i="50160"/>
  <c r="BE13" i="50160"/>
  <c r="BF13" i="50160"/>
  <c r="BG13" i="50160"/>
  <c r="BH13" i="50160"/>
  <c r="BI13" i="50160"/>
  <c r="BJ13" i="50160"/>
  <c r="BK13" i="50160"/>
  <c r="BL13" i="50160"/>
  <c r="A14" i="50160"/>
  <c r="D14" i="50160"/>
  <c r="G14" i="50160"/>
  <c r="J14" i="50160"/>
  <c r="M14" i="50160"/>
  <c r="P14" i="50160"/>
  <c r="AA14" i="50160"/>
  <c r="AB14" i="50160"/>
  <c r="AU14" i="50160"/>
  <c r="AV14" i="50160"/>
  <c r="AW14" i="50160"/>
  <c r="AX14" i="50160"/>
  <c r="AY14" i="50160"/>
  <c r="AZ14" i="50160"/>
  <c r="BA14" i="50160"/>
  <c r="BB14" i="50160"/>
  <c r="BC14" i="50160"/>
  <c r="BD14" i="50160"/>
  <c r="BE14" i="50160"/>
  <c r="BF14" i="50160"/>
  <c r="BG14" i="50160"/>
  <c r="BH14" i="50160"/>
  <c r="BI14" i="50160"/>
  <c r="BJ14" i="50160"/>
  <c r="BK14" i="50160"/>
  <c r="BL14" i="50160"/>
  <c r="A15" i="50160"/>
  <c r="D15" i="50160"/>
  <c r="G15" i="50160"/>
  <c r="J15" i="50160"/>
  <c r="M15" i="50160"/>
  <c r="P15" i="50160"/>
  <c r="AA15" i="50160"/>
  <c r="AU15" i="50160"/>
  <c r="AV15" i="50160"/>
  <c r="AW15" i="50160"/>
  <c r="AX15" i="50160"/>
  <c r="AY15" i="50160"/>
  <c r="AZ15" i="50160"/>
  <c r="BA15" i="50160"/>
  <c r="BB15" i="50160"/>
  <c r="BC15" i="50160"/>
  <c r="BD15" i="50160"/>
  <c r="BE15" i="50160"/>
  <c r="BF15" i="50160"/>
  <c r="BG15" i="50160"/>
  <c r="BH15" i="50160"/>
  <c r="BI15" i="50160"/>
  <c r="BJ15" i="50160"/>
  <c r="BK15" i="50160"/>
  <c r="BL15" i="50160"/>
  <c r="A16" i="50160"/>
  <c r="D16" i="50160"/>
  <c r="G16" i="50160"/>
  <c r="J16" i="50160"/>
  <c r="M16" i="50160"/>
  <c r="P16" i="50160"/>
  <c r="AA16" i="50160"/>
  <c r="AU16" i="50160"/>
  <c r="AV16" i="50160"/>
  <c r="AW16" i="50160"/>
  <c r="AX16" i="50160"/>
  <c r="AY16" i="50160"/>
  <c r="AZ16" i="50160"/>
  <c r="BA16" i="50160"/>
  <c r="BB16" i="50160"/>
  <c r="BC16" i="50160"/>
  <c r="BD16" i="50160"/>
  <c r="BE16" i="50160"/>
  <c r="BF16" i="50160"/>
  <c r="BG16" i="50160"/>
  <c r="BH16" i="50160"/>
  <c r="BI16" i="50160"/>
  <c r="BJ16" i="50160"/>
  <c r="BK16" i="50160"/>
  <c r="BL16" i="50160"/>
  <c r="A17" i="50160"/>
  <c r="D17" i="50160"/>
  <c r="G17" i="50160"/>
  <c r="J17" i="50160"/>
  <c r="M17" i="50160"/>
  <c r="P17" i="50160"/>
  <c r="AA17" i="50160"/>
  <c r="AB17" i="50160"/>
  <c r="AU17" i="50160"/>
  <c r="AV17" i="50160"/>
  <c r="AW17" i="50160"/>
  <c r="AX17" i="50160"/>
  <c r="AY17" i="50160"/>
  <c r="AZ17" i="50160"/>
  <c r="BA17" i="50160"/>
  <c r="BB17" i="50160"/>
  <c r="BC17" i="50160"/>
  <c r="BD17" i="50160"/>
  <c r="BE17" i="50160"/>
  <c r="BF17" i="50160"/>
  <c r="BG17" i="50160"/>
  <c r="BH17" i="50160"/>
  <c r="BI17" i="50160"/>
  <c r="BJ17" i="50160"/>
  <c r="BK17" i="50160"/>
  <c r="BL17" i="50160"/>
  <c r="A18" i="50160"/>
  <c r="D18" i="50160"/>
  <c r="G18" i="50160"/>
  <c r="J18" i="50160"/>
  <c r="M18" i="50160"/>
  <c r="P18" i="50160"/>
  <c r="AA18" i="50160"/>
  <c r="AB18" i="50160"/>
  <c r="AU18" i="50160"/>
  <c r="AV18" i="50160"/>
  <c r="AW18" i="50160"/>
  <c r="AX18" i="50160"/>
  <c r="AY18" i="50160"/>
  <c r="AZ18" i="50160"/>
  <c r="BA18" i="50160"/>
  <c r="BB18" i="50160"/>
  <c r="BC18" i="50160"/>
  <c r="BD18" i="50160"/>
  <c r="BE18" i="50160"/>
  <c r="BF18" i="50160"/>
  <c r="BG18" i="50160"/>
  <c r="BH18" i="50160"/>
  <c r="BI18" i="50160"/>
  <c r="BJ18" i="50160"/>
  <c r="BK18" i="50160"/>
  <c r="BL18" i="50160"/>
  <c r="A19" i="50160"/>
  <c r="D19" i="50160"/>
  <c r="G19" i="50160"/>
  <c r="J19" i="50160"/>
  <c r="M19" i="50160"/>
  <c r="P19" i="50160"/>
  <c r="AA19" i="50160"/>
  <c r="AU19" i="50160"/>
  <c r="AV19" i="50160"/>
  <c r="AW19" i="50160"/>
  <c r="AX19" i="50160"/>
  <c r="AY19" i="50160"/>
  <c r="AZ19" i="50160"/>
  <c r="BA19" i="50160"/>
  <c r="BB19" i="50160"/>
  <c r="BC19" i="50160"/>
  <c r="BD19" i="50160"/>
  <c r="BE19" i="50160"/>
  <c r="BF19" i="50160"/>
  <c r="BG19" i="50160"/>
  <c r="BH19" i="50160"/>
  <c r="BI19" i="50160"/>
  <c r="BJ19" i="50160"/>
  <c r="BK19" i="50160"/>
  <c r="BL19" i="50160"/>
  <c r="A20" i="50160"/>
  <c r="D20" i="50160"/>
  <c r="G20" i="50160"/>
  <c r="J20" i="50160"/>
  <c r="M20" i="50160"/>
  <c r="P20" i="50160"/>
  <c r="AA20" i="50160"/>
  <c r="AU20" i="50160"/>
  <c r="AV20" i="50160"/>
  <c r="AW20" i="50160"/>
  <c r="AX20" i="50160"/>
  <c r="AY20" i="50160"/>
  <c r="AZ20" i="50160"/>
  <c r="BA20" i="50160"/>
  <c r="BB20" i="50160"/>
  <c r="BC20" i="50160"/>
  <c r="BD20" i="50160"/>
  <c r="BE20" i="50160"/>
  <c r="BF20" i="50160"/>
  <c r="BG20" i="50160"/>
  <c r="BH20" i="50160"/>
  <c r="BI20" i="50160"/>
  <c r="BJ20" i="50160"/>
  <c r="BK20" i="50160"/>
  <c r="BL20" i="50160"/>
  <c r="A21" i="50160"/>
  <c r="D21" i="50160"/>
  <c r="G21" i="50160"/>
  <c r="J21" i="50160"/>
  <c r="M21" i="50160"/>
  <c r="P21" i="50160"/>
  <c r="AA21" i="50160"/>
  <c r="AB21" i="50160"/>
  <c r="AU21" i="50160"/>
  <c r="AV21" i="50160"/>
  <c r="AW21" i="50160"/>
  <c r="AX21" i="50160"/>
  <c r="AY21" i="50160"/>
  <c r="AZ21" i="50160"/>
  <c r="BA21" i="50160"/>
  <c r="BB21" i="50160"/>
  <c r="BC21" i="50160"/>
  <c r="BD21" i="50160"/>
  <c r="BE21" i="50160"/>
  <c r="BF21" i="50160"/>
  <c r="BG21" i="50160"/>
  <c r="BH21" i="50160"/>
  <c r="BI21" i="50160"/>
  <c r="BJ21" i="50160"/>
  <c r="BK21" i="50160"/>
  <c r="BL21" i="50160"/>
  <c r="A22" i="50160"/>
  <c r="D22" i="50160"/>
  <c r="G22" i="50160"/>
  <c r="J22" i="50160"/>
  <c r="M22" i="50160"/>
  <c r="P22" i="50160"/>
  <c r="AA22" i="50160"/>
  <c r="AB22" i="50160"/>
  <c r="AU22" i="50160"/>
  <c r="AV22" i="50160"/>
  <c r="AW22" i="50160"/>
  <c r="AX22" i="50160"/>
  <c r="AY22" i="50160"/>
  <c r="AZ22" i="50160"/>
  <c r="BA22" i="50160"/>
  <c r="BB22" i="50160"/>
  <c r="BC22" i="50160"/>
  <c r="BD22" i="50160"/>
  <c r="BE22" i="50160"/>
  <c r="BF22" i="50160"/>
  <c r="BG22" i="50160"/>
  <c r="BH22" i="50160"/>
  <c r="BI22" i="50160"/>
  <c r="BJ22" i="50160"/>
  <c r="BK22" i="50160"/>
  <c r="BL22" i="50160"/>
  <c r="A23" i="50160"/>
  <c r="D23" i="50160"/>
  <c r="G23" i="50160"/>
  <c r="J23" i="50160"/>
  <c r="M23" i="50160"/>
  <c r="P23" i="50160"/>
  <c r="AA23" i="50160"/>
  <c r="AU23" i="50160"/>
  <c r="AV23" i="50160"/>
  <c r="AW23" i="50160"/>
  <c r="AX23" i="50160"/>
  <c r="AY23" i="50160"/>
  <c r="AZ23" i="50160"/>
  <c r="BA23" i="50160"/>
  <c r="BB23" i="50160"/>
  <c r="BC23" i="50160"/>
  <c r="BD23" i="50160"/>
  <c r="BE23" i="50160"/>
  <c r="BF23" i="50160"/>
  <c r="BG23" i="50160"/>
  <c r="BH23" i="50160"/>
  <c r="BI23" i="50160"/>
  <c r="BJ23" i="50160"/>
  <c r="BK23" i="50160"/>
  <c r="BL23" i="50160"/>
  <c r="A24" i="50160"/>
  <c r="D24" i="50160"/>
  <c r="G24" i="50160"/>
  <c r="J24" i="50160"/>
  <c r="M24" i="50160"/>
  <c r="P24" i="50160"/>
  <c r="AA24" i="50160"/>
  <c r="AU24" i="50160"/>
  <c r="AV24" i="50160"/>
  <c r="AW24" i="50160"/>
  <c r="AX24" i="50160"/>
  <c r="AY24" i="50160"/>
  <c r="AZ24" i="50160"/>
  <c r="BA24" i="50160"/>
  <c r="BB24" i="50160"/>
  <c r="BC24" i="50160"/>
  <c r="BD24" i="50160"/>
  <c r="BE24" i="50160"/>
  <c r="BF24" i="50160"/>
  <c r="BG24" i="50160"/>
  <c r="BH24" i="50160"/>
  <c r="BI24" i="50160"/>
  <c r="BJ24" i="50160"/>
  <c r="BK24" i="50160"/>
  <c r="BL24" i="50160"/>
  <c r="A25" i="50160"/>
  <c r="D25" i="50160"/>
  <c r="G25" i="50160"/>
  <c r="J25" i="50160"/>
  <c r="M25" i="50160"/>
  <c r="P25" i="50160"/>
  <c r="AA25" i="50160"/>
  <c r="AB25" i="50160"/>
  <c r="AU25" i="50160"/>
  <c r="AV25" i="50160"/>
  <c r="AW25" i="50160"/>
  <c r="AX25" i="50160"/>
  <c r="AY25" i="50160"/>
  <c r="AZ25" i="50160"/>
  <c r="BA25" i="50160"/>
  <c r="BB25" i="50160"/>
  <c r="BC25" i="50160"/>
  <c r="BD25" i="50160"/>
  <c r="BE25" i="50160"/>
  <c r="BF25" i="50160"/>
  <c r="BG25" i="50160"/>
  <c r="BH25" i="50160"/>
  <c r="BI25" i="50160"/>
  <c r="BJ25" i="50160"/>
  <c r="BK25" i="50160"/>
  <c r="BL25" i="50160"/>
  <c r="A26" i="50160"/>
  <c r="D26" i="50160"/>
  <c r="G26" i="50160"/>
  <c r="J26" i="50160"/>
  <c r="M26" i="50160"/>
  <c r="P26" i="50160"/>
  <c r="AA26" i="50160"/>
  <c r="AB26" i="50160"/>
  <c r="AU26" i="50160"/>
  <c r="AV26" i="50160"/>
  <c r="AW26" i="50160"/>
  <c r="AX26" i="50160"/>
  <c r="AY26" i="50160"/>
  <c r="AZ26" i="50160"/>
  <c r="BA26" i="50160"/>
  <c r="BB26" i="50160"/>
  <c r="BC26" i="50160"/>
  <c r="BD26" i="50160"/>
  <c r="BE26" i="50160"/>
  <c r="BF26" i="50160"/>
  <c r="BG26" i="50160"/>
  <c r="BH26" i="50160"/>
  <c r="BI26" i="50160"/>
  <c r="BJ26" i="50160"/>
  <c r="BK26" i="50160"/>
  <c r="BL26" i="50160"/>
  <c r="A27" i="50160"/>
  <c r="D27" i="50160"/>
  <c r="G27" i="50160"/>
  <c r="J27" i="50160"/>
  <c r="M27" i="50160"/>
  <c r="P27" i="50160"/>
  <c r="AA27" i="50160"/>
  <c r="AU27" i="50160"/>
  <c r="AV27" i="50160"/>
  <c r="AW27" i="50160"/>
  <c r="AX27" i="50160"/>
  <c r="AY27" i="50160"/>
  <c r="AZ27" i="50160"/>
  <c r="BA27" i="50160"/>
  <c r="BB27" i="50160"/>
  <c r="BC27" i="50160"/>
  <c r="BD27" i="50160"/>
  <c r="BE27" i="50160"/>
  <c r="BF27" i="50160"/>
  <c r="BG27" i="50160"/>
  <c r="BH27" i="50160"/>
  <c r="BI27" i="50160"/>
  <c r="BJ27" i="50160"/>
  <c r="BK27" i="50160"/>
  <c r="BL27" i="50160"/>
  <c r="A28" i="50160"/>
  <c r="D28" i="50160"/>
  <c r="G28" i="50160"/>
  <c r="J28" i="50160"/>
  <c r="M28" i="50160"/>
  <c r="P28" i="50160"/>
  <c r="AA28" i="50160"/>
  <c r="AU28" i="50160"/>
  <c r="AV28" i="50160"/>
  <c r="AW28" i="50160"/>
  <c r="AX28" i="50160"/>
  <c r="AY28" i="50160"/>
  <c r="AZ28" i="50160"/>
  <c r="BA28" i="50160"/>
  <c r="BB28" i="50160"/>
  <c r="BC28" i="50160"/>
  <c r="BD28" i="50160"/>
  <c r="BE28" i="50160"/>
  <c r="BF28" i="50160"/>
  <c r="BG28" i="50160"/>
  <c r="BH28" i="50160"/>
  <c r="BI28" i="50160"/>
  <c r="BJ28" i="50160"/>
  <c r="BK28" i="50160"/>
  <c r="BL28" i="50160"/>
  <c r="A29" i="50160"/>
  <c r="D29" i="50160"/>
  <c r="G29" i="50160"/>
  <c r="J29" i="50160"/>
  <c r="M29" i="50160"/>
  <c r="P29" i="50160"/>
  <c r="AA29" i="50160"/>
  <c r="AB29" i="50160"/>
  <c r="AU29" i="50160"/>
  <c r="AV29" i="50160"/>
  <c r="AW29" i="50160"/>
  <c r="AX29" i="50160"/>
  <c r="AY29" i="50160"/>
  <c r="AZ29" i="50160"/>
  <c r="BA29" i="50160"/>
  <c r="BB29" i="50160"/>
  <c r="BC29" i="50160"/>
  <c r="BD29" i="50160"/>
  <c r="BE29" i="50160"/>
  <c r="BF29" i="50160"/>
  <c r="BG29" i="50160"/>
  <c r="BH29" i="50160"/>
  <c r="BI29" i="50160"/>
  <c r="BJ29" i="50160"/>
  <c r="BK29" i="50160"/>
  <c r="BL29" i="50160"/>
  <c r="A30" i="50160"/>
  <c r="D30" i="50160"/>
  <c r="G30" i="50160"/>
  <c r="J30" i="50160"/>
  <c r="M30" i="50160"/>
  <c r="P30" i="50160"/>
  <c r="AA30" i="50160"/>
  <c r="AB30" i="50160"/>
  <c r="AU30" i="50160"/>
  <c r="AV30" i="50160"/>
  <c r="AW30" i="50160"/>
  <c r="AX30" i="50160"/>
  <c r="AY30" i="50160"/>
  <c r="AZ30" i="50160"/>
  <c r="BA30" i="50160"/>
  <c r="BB30" i="50160"/>
  <c r="BC30" i="50160"/>
  <c r="BD30" i="50160"/>
  <c r="BE30" i="50160"/>
  <c r="BF30" i="50160"/>
  <c r="BG30" i="50160"/>
  <c r="BH30" i="50160"/>
  <c r="BI30" i="50160"/>
  <c r="BJ30" i="50160"/>
  <c r="BK30" i="50160"/>
  <c r="BL30" i="50160"/>
  <c r="A31" i="50160"/>
  <c r="D31" i="50160"/>
  <c r="G31" i="50160"/>
  <c r="J31" i="50160"/>
  <c r="M31" i="50160"/>
  <c r="P31" i="50160"/>
  <c r="AA31" i="50160"/>
  <c r="AU31" i="50160"/>
  <c r="AV31" i="50160"/>
  <c r="AW31" i="50160"/>
  <c r="AX31" i="50160"/>
  <c r="AY31" i="50160"/>
  <c r="AZ31" i="50160"/>
  <c r="BA31" i="50160"/>
  <c r="BB31" i="50160"/>
  <c r="BC31" i="50160"/>
  <c r="BD31" i="50160"/>
  <c r="BE31" i="50160"/>
  <c r="BF31" i="50160"/>
  <c r="BG31" i="50160"/>
  <c r="BH31" i="50160"/>
  <c r="BI31" i="50160"/>
  <c r="BJ31" i="50160"/>
  <c r="BK31" i="50160"/>
  <c r="BL31" i="50160"/>
  <c r="A32" i="50160"/>
  <c r="D32" i="50160"/>
  <c r="G32" i="50160"/>
  <c r="J32" i="50160"/>
  <c r="M32" i="50160"/>
  <c r="P32" i="50160"/>
  <c r="AA32" i="50160"/>
  <c r="AU32" i="50160"/>
  <c r="AV32" i="50160"/>
  <c r="AW32" i="50160"/>
  <c r="AX32" i="50160"/>
  <c r="AY32" i="50160"/>
  <c r="AZ32" i="50160"/>
  <c r="BA32" i="50160"/>
  <c r="BB32" i="50160"/>
  <c r="BC32" i="50160"/>
  <c r="BD32" i="50160"/>
  <c r="BE32" i="50160"/>
  <c r="BF32" i="50160"/>
  <c r="BG32" i="50160"/>
  <c r="BH32" i="50160"/>
  <c r="BI32" i="50160"/>
  <c r="BJ32" i="50160"/>
  <c r="BK32" i="50160"/>
  <c r="BL32" i="50160"/>
  <c r="A33" i="50160"/>
  <c r="D33" i="50160"/>
  <c r="G33" i="50160"/>
  <c r="J33" i="50160"/>
  <c r="M33" i="50160"/>
  <c r="P33" i="50160"/>
  <c r="AA33" i="50160"/>
  <c r="AB33" i="50160"/>
  <c r="AU33" i="50160"/>
  <c r="AV33" i="50160"/>
  <c r="AW33" i="50160"/>
  <c r="AX33" i="50160"/>
  <c r="AY33" i="50160"/>
  <c r="AZ33" i="50160"/>
  <c r="BA33" i="50160"/>
  <c r="BB33" i="50160"/>
  <c r="BC33" i="50160"/>
  <c r="BD33" i="50160"/>
  <c r="BE33" i="50160"/>
  <c r="BF33" i="50160"/>
  <c r="BG33" i="50160"/>
  <c r="BH33" i="50160"/>
  <c r="BI33" i="50160"/>
  <c r="BJ33" i="50160"/>
  <c r="BK33" i="50160"/>
  <c r="BL33" i="50160"/>
  <c r="A34" i="50160"/>
  <c r="D34" i="50160"/>
  <c r="G34" i="50160"/>
  <c r="J34" i="50160"/>
  <c r="M34" i="50160"/>
  <c r="P34" i="50160"/>
  <c r="AA34" i="50160"/>
  <c r="AB34" i="50160"/>
  <c r="AU34" i="50160"/>
  <c r="AV34" i="50160"/>
  <c r="AW34" i="50160"/>
  <c r="AX34" i="50160"/>
  <c r="AY34" i="50160"/>
  <c r="AZ34" i="50160"/>
  <c r="BA34" i="50160"/>
  <c r="BB34" i="50160"/>
  <c r="BC34" i="50160"/>
  <c r="BD34" i="50160"/>
  <c r="BE34" i="50160"/>
  <c r="BF34" i="50160"/>
  <c r="BG34" i="50160"/>
  <c r="BH34" i="50160"/>
  <c r="BI34" i="50160"/>
  <c r="BJ34" i="50160"/>
  <c r="BK34" i="50160"/>
  <c r="BL34" i="50160"/>
  <c r="A35" i="50160"/>
  <c r="D35" i="50160"/>
  <c r="G35" i="50160"/>
  <c r="J35" i="50160"/>
  <c r="M35" i="50160"/>
  <c r="P35" i="50160"/>
  <c r="AA35" i="50160"/>
  <c r="AU35" i="50160"/>
  <c r="AV35" i="50160"/>
  <c r="AW35" i="50160"/>
  <c r="AX35" i="50160"/>
  <c r="AY35" i="50160"/>
  <c r="AZ35" i="50160"/>
  <c r="BA35" i="50160"/>
  <c r="BB35" i="50160"/>
  <c r="BC35" i="50160"/>
  <c r="BD35" i="50160"/>
  <c r="BE35" i="50160"/>
  <c r="BF35" i="50160"/>
  <c r="BG35" i="50160"/>
  <c r="BH35" i="50160"/>
  <c r="BI35" i="50160"/>
  <c r="BJ35" i="50160"/>
  <c r="BK35" i="50160"/>
  <c r="BL35" i="50160"/>
  <c r="A36" i="50160"/>
  <c r="D36" i="50160"/>
  <c r="G36" i="50160"/>
  <c r="J36" i="50160"/>
  <c r="M36" i="50160"/>
  <c r="P36" i="50160"/>
  <c r="AA36" i="50160"/>
  <c r="AU36" i="50160"/>
  <c r="AV36" i="50160"/>
  <c r="AW36" i="50160"/>
  <c r="AX36" i="50160"/>
  <c r="AY36" i="50160"/>
  <c r="AZ36" i="50160"/>
  <c r="BA36" i="50160"/>
  <c r="BB36" i="50160"/>
  <c r="BC36" i="50160"/>
  <c r="BD36" i="50160"/>
  <c r="BE36" i="50160"/>
  <c r="BF36" i="50160"/>
  <c r="BG36" i="50160"/>
  <c r="BH36" i="50160"/>
  <c r="BI36" i="50160"/>
  <c r="BJ36" i="50160"/>
  <c r="BK36" i="50160"/>
  <c r="BL36" i="50160"/>
  <c r="A37" i="50160"/>
  <c r="D37" i="50160"/>
  <c r="G37" i="50160"/>
  <c r="J37" i="50160"/>
  <c r="M37" i="50160"/>
  <c r="P37" i="50160"/>
  <c r="AA37" i="50160"/>
  <c r="AB37" i="50160"/>
  <c r="AU37" i="50160"/>
  <c r="AV37" i="50160"/>
  <c r="AW37" i="50160"/>
  <c r="AX37" i="50160"/>
  <c r="AY37" i="50160"/>
  <c r="AZ37" i="50160"/>
  <c r="BA37" i="50160"/>
  <c r="BB37" i="50160"/>
  <c r="BC37" i="50160"/>
  <c r="BD37" i="50160"/>
  <c r="BE37" i="50160"/>
  <c r="BF37" i="50160"/>
  <c r="BG37" i="50160"/>
  <c r="BH37" i="50160"/>
  <c r="BI37" i="50160"/>
  <c r="BJ37" i="50160"/>
  <c r="BK37" i="50160"/>
  <c r="BL37" i="50160"/>
  <c r="A38" i="50160"/>
  <c r="D38" i="50160"/>
  <c r="G38" i="50160"/>
  <c r="J38" i="50160"/>
  <c r="M38" i="50160"/>
  <c r="P38" i="50160"/>
  <c r="AA38" i="50160"/>
  <c r="AB38" i="50160"/>
  <c r="AU38" i="50160"/>
  <c r="AV38" i="50160"/>
  <c r="AW38" i="50160"/>
  <c r="AX38" i="50160"/>
  <c r="AY38" i="50160"/>
  <c r="AZ38" i="50160"/>
  <c r="BA38" i="50160"/>
  <c r="BB38" i="50160"/>
  <c r="BC38" i="50160"/>
  <c r="BD38" i="50160"/>
  <c r="BE38" i="50160"/>
  <c r="BF38" i="50160"/>
  <c r="BG38" i="50160"/>
  <c r="BH38" i="50160"/>
  <c r="BI38" i="50160"/>
  <c r="BJ38" i="50160"/>
  <c r="BK38" i="50160"/>
  <c r="BL38" i="50160"/>
  <c r="A39" i="50160"/>
  <c r="D39" i="50160"/>
  <c r="G39" i="50160"/>
  <c r="J39" i="50160"/>
  <c r="M39" i="50160"/>
  <c r="P39" i="50160"/>
  <c r="AA39" i="50160"/>
  <c r="AU39" i="50160"/>
  <c r="AV39" i="50160"/>
  <c r="AW39" i="50160"/>
  <c r="AX39" i="50160"/>
  <c r="AY39" i="50160"/>
  <c r="AZ39" i="50160"/>
  <c r="BA39" i="50160"/>
  <c r="BB39" i="50160"/>
  <c r="BC39" i="50160"/>
  <c r="BD39" i="50160"/>
  <c r="BE39" i="50160"/>
  <c r="BF39" i="50160"/>
  <c r="BG39" i="50160"/>
  <c r="BH39" i="50160"/>
  <c r="BI39" i="50160"/>
  <c r="BJ39" i="50160"/>
  <c r="BK39" i="50160"/>
  <c r="BL39" i="50160"/>
  <c r="A40" i="50160"/>
  <c r="D40" i="50160"/>
  <c r="G40" i="50160"/>
  <c r="J40" i="50160"/>
  <c r="M40" i="50160"/>
  <c r="P40" i="50160"/>
  <c r="AA40" i="50160"/>
  <c r="AU40" i="50160"/>
  <c r="AV40" i="50160"/>
  <c r="AW40" i="50160"/>
  <c r="AX40" i="50160"/>
  <c r="AY40" i="50160"/>
  <c r="AZ40" i="50160"/>
  <c r="BA40" i="50160"/>
  <c r="BB40" i="50160"/>
  <c r="BC40" i="50160"/>
  <c r="BD40" i="50160"/>
  <c r="BE40" i="50160"/>
  <c r="BF40" i="50160"/>
  <c r="BG40" i="50160"/>
  <c r="BH40" i="50160"/>
  <c r="BI40" i="50160"/>
  <c r="BJ40" i="50160"/>
  <c r="BK40" i="50160"/>
  <c r="BL40" i="50160"/>
  <c r="A41" i="50160"/>
  <c r="D41" i="50160"/>
  <c r="G41" i="50160"/>
  <c r="J41" i="50160"/>
  <c r="M41" i="50160"/>
  <c r="P41" i="50160"/>
  <c r="AA41" i="50160"/>
  <c r="AB41" i="50160"/>
  <c r="AU41" i="50160"/>
  <c r="AV41" i="50160"/>
  <c r="AW41" i="50160"/>
  <c r="AX41" i="50160"/>
  <c r="AY41" i="50160"/>
  <c r="AZ41" i="50160"/>
  <c r="BA41" i="50160"/>
  <c r="BB41" i="50160"/>
  <c r="BC41" i="50160"/>
  <c r="BD41" i="50160"/>
  <c r="BE41" i="50160"/>
  <c r="BF41" i="50160"/>
  <c r="BG41" i="50160"/>
  <c r="BH41" i="50160"/>
  <c r="BI41" i="50160"/>
  <c r="BJ41" i="50160"/>
  <c r="BK41" i="50160"/>
  <c r="BL41" i="50160"/>
  <c r="A42" i="50160"/>
  <c r="D42" i="50160"/>
  <c r="G42" i="50160"/>
  <c r="J42" i="50160"/>
  <c r="M42" i="50160"/>
  <c r="P42" i="50160"/>
  <c r="AA42" i="50160"/>
  <c r="AB42" i="50160"/>
  <c r="AU42" i="50160"/>
  <c r="AV42" i="50160"/>
  <c r="AW42" i="50160"/>
  <c r="AX42" i="50160"/>
  <c r="AY42" i="50160"/>
  <c r="AZ42" i="50160"/>
  <c r="BA42" i="50160"/>
  <c r="BB42" i="50160"/>
  <c r="BC42" i="50160"/>
  <c r="BD42" i="50160"/>
  <c r="BE42" i="50160"/>
  <c r="BF42" i="50160"/>
  <c r="BG42" i="50160"/>
  <c r="BH42" i="50160"/>
  <c r="BI42" i="50160"/>
  <c r="BJ42" i="50160"/>
  <c r="BK42" i="50160"/>
  <c r="BL42" i="50160"/>
  <c r="A43" i="50160"/>
  <c r="D43" i="50160"/>
  <c r="G43" i="50160"/>
  <c r="J43" i="50160"/>
  <c r="M43" i="50160"/>
  <c r="P43" i="50160"/>
  <c r="AA43" i="50160"/>
  <c r="AU43" i="50160"/>
  <c r="AV43" i="50160"/>
  <c r="AW43" i="50160"/>
  <c r="AX43" i="50160"/>
  <c r="AY43" i="50160"/>
  <c r="AZ43" i="50160"/>
  <c r="BA43" i="50160"/>
  <c r="BB43" i="50160"/>
  <c r="BC43" i="50160"/>
  <c r="BD43" i="50160"/>
  <c r="BE43" i="50160"/>
  <c r="BF43" i="50160"/>
  <c r="BG43" i="50160"/>
  <c r="BH43" i="50160"/>
  <c r="BI43" i="50160"/>
  <c r="BJ43" i="50160"/>
  <c r="BK43" i="50160"/>
  <c r="BL43" i="50160"/>
  <c r="A44" i="50160"/>
  <c r="D44" i="50160"/>
  <c r="G44" i="50160"/>
  <c r="J44" i="50160"/>
  <c r="M44" i="50160"/>
  <c r="P44" i="50160"/>
  <c r="AA44" i="50160"/>
  <c r="AU44" i="50160"/>
  <c r="AV44" i="50160"/>
  <c r="AW44" i="50160"/>
  <c r="AX44" i="50160"/>
  <c r="AY44" i="50160"/>
  <c r="AZ44" i="50160"/>
  <c r="BA44" i="50160"/>
  <c r="BB44" i="50160"/>
  <c r="BC44" i="50160"/>
  <c r="BD44" i="50160"/>
  <c r="BE44" i="50160"/>
  <c r="BF44" i="50160"/>
  <c r="BG44" i="50160"/>
  <c r="BH44" i="50160"/>
  <c r="BI44" i="50160"/>
  <c r="BJ44" i="50160"/>
  <c r="BK44" i="50160"/>
  <c r="BL44" i="50160"/>
  <c r="A45" i="50160"/>
  <c r="D45" i="50160"/>
  <c r="G45" i="50160"/>
  <c r="J45" i="50160"/>
  <c r="M45" i="50160"/>
  <c r="P45" i="50160"/>
  <c r="V45" i="50160"/>
  <c r="W45" i="50160"/>
  <c r="AA45" i="50160"/>
  <c r="AB45" i="50160"/>
  <c r="AC45" i="50160"/>
  <c r="AD45" i="50160"/>
  <c r="AU45" i="50160"/>
  <c r="AV45" i="50160"/>
  <c r="AW45" i="50160"/>
  <c r="AX45" i="50160"/>
  <c r="AY45" i="50160"/>
  <c r="AZ45" i="50160"/>
  <c r="BA45" i="50160"/>
  <c r="BB45" i="50160"/>
  <c r="BC45" i="50160"/>
  <c r="BD45" i="50160"/>
  <c r="BE45" i="50160"/>
  <c r="BF45" i="50160"/>
  <c r="BG45" i="50160"/>
  <c r="BH45" i="50160"/>
  <c r="BI45" i="50160"/>
  <c r="BJ45" i="50160"/>
  <c r="BK45" i="50160"/>
  <c r="BL45" i="50160"/>
  <c r="A46" i="50160"/>
  <c r="D46" i="50160"/>
  <c r="G46" i="50160"/>
  <c r="J46" i="50160"/>
  <c r="M46" i="50160"/>
  <c r="P46" i="50160"/>
  <c r="V46" i="50160"/>
  <c r="W46" i="50160"/>
  <c r="AA46" i="50160"/>
  <c r="AB46" i="50160"/>
  <c r="AC46" i="50160"/>
  <c r="AD46" i="50160"/>
  <c r="AU46" i="50160"/>
  <c r="AV46" i="50160"/>
  <c r="AW46" i="50160"/>
  <c r="AX46" i="50160"/>
  <c r="AY46" i="50160"/>
  <c r="AZ46" i="50160"/>
  <c r="BA46" i="50160"/>
  <c r="BB46" i="50160"/>
  <c r="BC46" i="50160"/>
  <c r="BD46" i="50160"/>
  <c r="BE46" i="50160"/>
  <c r="BF46" i="50160"/>
  <c r="BG46" i="50160"/>
  <c r="BH46" i="50160"/>
  <c r="BI46" i="50160"/>
  <c r="BJ46" i="50160"/>
  <c r="BK46" i="50160"/>
  <c r="BL46" i="50160"/>
  <c r="A47" i="50160"/>
  <c r="D47" i="50160"/>
  <c r="G47" i="50160"/>
  <c r="J47" i="50160"/>
  <c r="M47" i="50160"/>
  <c r="P47" i="50160"/>
  <c r="V47" i="50160"/>
  <c r="W47" i="50160"/>
  <c r="AA47" i="50160"/>
  <c r="AB47" i="50160"/>
  <c r="AC47" i="50160"/>
  <c r="AD47" i="50160"/>
  <c r="AU47" i="50160"/>
  <c r="AV47" i="50160"/>
  <c r="AW47" i="50160"/>
  <c r="AX47" i="50160"/>
  <c r="AY47" i="50160"/>
  <c r="AZ47" i="50160"/>
  <c r="BA47" i="50160"/>
  <c r="BB47" i="50160"/>
  <c r="BC47" i="50160"/>
  <c r="BD47" i="50160"/>
  <c r="BE47" i="50160"/>
  <c r="BF47" i="50160"/>
  <c r="BG47" i="50160"/>
  <c r="BH47" i="50160"/>
  <c r="BI47" i="50160"/>
  <c r="BJ47" i="50160"/>
  <c r="BK47" i="50160"/>
  <c r="BL47" i="50160"/>
  <c r="A48" i="50160"/>
  <c r="D48" i="50160"/>
  <c r="G48" i="50160"/>
  <c r="J48" i="50160"/>
  <c r="M48" i="50160"/>
  <c r="P48" i="50160"/>
  <c r="V48" i="50160"/>
  <c r="W48" i="50160"/>
  <c r="AA48" i="50160"/>
  <c r="AB48" i="50160"/>
  <c r="AC48" i="50160"/>
  <c r="AD48" i="50160"/>
  <c r="AU48" i="50160"/>
  <c r="AV48" i="50160"/>
  <c r="AW48" i="50160"/>
  <c r="AX48" i="50160"/>
  <c r="AY48" i="50160"/>
  <c r="AZ48" i="50160"/>
  <c r="BA48" i="50160"/>
  <c r="BB48" i="50160"/>
  <c r="BC48" i="50160"/>
  <c r="BD48" i="50160"/>
  <c r="BE48" i="50160"/>
  <c r="BF48" i="50160"/>
  <c r="BG48" i="50160"/>
  <c r="BH48" i="50160"/>
  <c r="BI48" i="50160"/>
  <c r="BJ48" i="50160"/>
  <c r="BK48" i="50160"/>
  <c r="BL48" i="50160"/>
  <c r="A49" i="50160"/>
  <c r="D49" i="50160"/>
  <c r="G49" i="50160"/>
  <c r="J49" i="50160"/>
  <c r="M49" i="50160"/>
  <c r="P49" i="50160"/>
  <c r="V49" i="50160"/>
  <c r="W49" i="50160"/>
  <c r="AA49" i="50160"/>
  <c r="AB49" i="50160"/>
  <c r="AC49" i="50160"/>
  <c r="AD49" i="50160"/>
  <c r="AU49" i="50160"/>
  <c r="AV49" i="50160"/>
  <c r="AW49" i="50160"/>
  <c r="AX49" i="50160"/>
  <c r="AY49" i="50160"/>
  <c r="AZ49" i="50160"/>
  <c r="BA49" i="50160"/>
  <c r="BB49" i="50160"/>
  <c r="BC49" i="50160"/>
  <c r="BD49" i="50160"/>
  <c r="BE49" i="50160"/>
  <c r="BF49" i="50160"/>
  <c r="BG49" i="50160"/>
  <c r="BH49" i="50160"/>
  <c r="BI49" i="50160"/>
  <c r="BJ49" i="50160"/>
  <c r="BK49" i="50160"/>
  <c r="BL49" i="50160"/>
  <c r="A50" i="50160"/>
  <c r="D50" i="50160"/>
  <c r="G50" i="50160"/>
  <c r="J50" i="50160"/>
  <c r="M50" i="50160"/>
  <c r="P50" i="50160"/>
  <c r="V50" i="50160"/>
  <c r="W50" i="50160"/>
  <c r="AA50" i="50160"/>
  <c r="AB50" i="50160"/>
  <c r="AC50" i="50160"/>
  <c r="AD50" i="50160"/>
  <c r="AU50" i="50160"/>
  <c r="AV50" i="50160"/>
  <c r="AW50" i="50160"/>
  <c r="AX50" i="50160"/>
  <c r="AY50" i="50160"/>
  <c r="AZ50" i="50160"/>
  <c r="BA50" i="50160"/>
  <c r="BB50" i="50160"/>
  <c r="BC50" i="50160"/>
  <c r="BD50" i="50160"/>
  <c r="BE50" i="50160"/>
  <c r="BF50" i="50160"/>
  <c r="BG50" i="50160"/>
  <c r="BH50" i="50160"/>
  <c r="BI50" i="50160"/>
  <c r="BJ50" i="50160"/>
  <c r="BK50" i="50160"/>
  <c r="BL50" i="50160"/>
  <c r="A51" i="50160"/>
  <c r="D51" i="50160"/>
  <c r="G51" i="50160"/>
  <c r="J51" i="50160"/>
  <c r="M51" i="50160"/>
  <c r="P51" i="50160"/>
  <c r="V51" i="50160"/>
  <c r="W51" i="50160"/>
  <c r="AA51" i="50160"/>
  <c r="AB51" i="50160"/>
  <c r="AC51" i="50160"/>
  <c r="AD51" i="50160"/>
  <c r="AU51" i="50160"/>
  <c r="AV51" i="50160"/>
  <c r="AW51" i="50160"/>
  <c r="AX51" i="50160"/>
  <c r="AY51" i="50160"/>
  <c r="AZ51" i="50160"/>
  <c r="BA51" i="50160"/>
  <c r="BB51" i="50160"/>
  <c r="BC51" i="50160"/>
  <c r="BD51" i="50160"/>
  <c r="BE51" i="50160"/>
  <c r="BF51" i="50160"/>
  <c r="BG51" i="50160"/>
  <c r="BH51" i="50160"/>
  <c r="BI51" i="50160"/>
  <c r="BJ51" i="50160"/>
  <c r="BK51" i="50160"/>
  <c r="BL51" i="50160"/>
  <c r="A52" i="50160"/>
  <c r="D52" i="50160"/>
  <c r="G52" i="50160"/>
  <c r="J52" i="50160"/>
  <c r="M52" i="50160"/>
  <c r="P52" i="50160"/>
  <c r="V52" i="50160"/>
  <c r="W52" i="50160"/>
  <c r="AA52" i="50160"/>
  <c r="AB52" i="50160"/>
  <c r="AC52" i="50160"/>
  <c r="AD52" i="50160"/>
  <c r="AU52" i="50160"/>
  <c r="AV52" i="50160"/>
  <c r="AW52" i="50160"/>
  <c r="AX52" i="50160"/>
  <c r="AY52" i="50160"/>
  <c r="AZ52" i="50160"/>
  <c r="BA52" i="50160"/>
  <c r="BB52" i="50160"/>
  <c r="BC52" i="50160"/>
  <c r="BD52" i="50160"/>
  <c r="BE52" i="50160"/>
  <c r="BF52" i="50160"/>
  <c r="BG52" i="50160"/>
  <c r="BH52" i="50160"/>
  <c r="BI52" i="50160"/>
  <c r="BJ52" i="50160"/>
  <c r="BK52" i="50160"/>
  <c r="BL52" i="50160"/>
  <c r="A53" i="50160"/>
  <c r="D53" i="50160"/>
  <c r="G53" i="50160"/>
  <c r="J53" i="50160"/>
  <c r="M53" i="50160"/>
  <c r="P53" i="50160"/>
  <c r="V53" i="50160"/>
  <c r="W53" i="50160"/>
  <c r="AA53" i="50160"/>
  <c r="AB53" i="50160"/>
  <c r="AC53" i="50160"/>
  <c r="AD53" i="50160"/>
  <c r="AU53" i="50160"/>
  <c r="AV53" i="50160"/>
  <c r="AW53" i="50160"/>
  <c r="AX53" i="50160"/>
  <c r="AY53" i="50160"/>
  <c r="AZ53" i="50160"/>
  <c r="BA53" i="50160"/>
  <c r="BB53" i="50160"/>
  <c r="BC53" i="50160"/>
  <c r="BD53" i="50160"/>
  <c r="BE53" i="50160"/>
  <c r="BF53" i="50160"/>
  <c r="BG53" i="50160"/>
  <c r="BH53" i="50160"/>
  <c r="BI53" i="50160"/>
  <c r="BJ53" i="50160"/>
  <c r="BK53" i="50160"/>
  <c r="BL53" i="50160"/>
  <c r="A54" i="50160"/>
  <c r="D54" i="50160"/>
  <c r="G54" i="50160"/>
  <c r="J54" i="50160"/>
  <c r="M54" i="50160"/>
  <c r="P54" i="50160"/>
  <c r="V54" i="50160"/>
  <c r="W54" i="50160"/>
  <c r="AA54" i="50160"/>
  <c r="AB54" i="50160"/>
  <c r="AC54" i="50160"/>
  <c r="AD54" i="50160"/>
  <c r="AU54" i="50160"/>
  <c r="AV54" i="50160"/>
  <c r="AW54" i="50160"/>
  <c r="AX54" i="50160"/>
  <c r="AY54" i="50160"/>
  <c r="AZ54" i="50160"/>
  <c r="BA54" i="50160"/>
  <c r="BB54" i="50160"/>
  <c r="BC54" i="50160"/>
  <c r="BD54" i="50160"/>
  <c r="BE54" i="50160"/>
  <c r="BF54" i="50160"/>
  <c r="BG54" i="50160"/>
  <c r="BH54" i="50160"/>
  <c r="BI54" i="50160"/>
  <c r="BJ54" i="50160"/>
  <c r="BK54" i="50160"/>
  <c r="BL54" i="50160"/>
  <c r="A55" i="50160"/>
  <c r="D55" i="50160"/>
  <c r="G55" i="50160"/>
  <c r="J55" i="50160"/>
  <c r="M55" i="50160"/>
  <c r="P55" i="50160"/>
  <c r="V55" i="50160"/>
  <c r="W55" i="50160"/>
  <c r="AA55" i="50160"/>
  <c r="AB55" i="50160"/>
  <c r="AC55" i="50160"/>
  <c r="AD55" i="50160"/>
  <c r="AU55" i="50160"/>
  <c r="AV55" i="50160"/>
  <c r="AW55" i="50160"/>
  <c r="AX55" i="50160"/>
  <c r="AY55" i="50160"/>
  <c r="AZ55" i="50160"/>
  <c r="BA55" i="50160"/>
  <c r="BB55" i="50160"/>
  <c r="BC55" i="50160"/>
  <c r="BD55" i="50160"/>
  <c r="BE55" i="50160"/>
  <c r="BF55" i="50160"/>
  <c r="BG55" i="50160"/>
  <c r="BH55" i="50160"/>
  <c r="BI55" i="50160"/>
  <c r="BJ55" i="50160"/>
  <c r="BK55" i="50160"/>
  <c r="BL55" i="50160"/>
  <c r="A56" i="50160"/>
  <c r="D56" i="50160"/>
  <c r="G56" i="50160"/>
  <c r="J56" i="50160"/>
  <c r="M56" i="50160"/>
  <c r="P56" i="50160"/>
  <c r="V56" i="50160"/>
  <c r="W56" i="50160"/>
  <c r="AA56" i="50160"/>
  <c r="AB56" i="50160"/>
  <c r="AC56" i="50160"/>
  <c r="E144" i="50160" s="1"/>
  <c r="AD56" i="50160"/>
  <c r="AU56" i="50160"/>
  <c r="AV56" i="50160"/>
  <c r="AW56" i="50160"/>
  <c r="AX56" i="50160"/>
  <c r="AY56" i="50160"/>
  <c r="AZ56" i="50160"/>
  <c r="BA56" i="50160"/>
  <c r="BB56" i="50160"/>
  <c r="BC56" i="50160"/>
  <c r="BD56" i="50160"/>
  <c r="BE56" i="50160"/>
  <c r="BF56" i="50160"/>
  <c r="BG56" i="50160"/>
  <c r="BH56" i="50160"/>
  <c r="BI56" i="50160"/>
  <c r="BJ56" i="50160"/>
  <c r="BK56" i="50160"/>
  <c r="BL56" i="50160"/>
  <c r="A57" i="50160"/>
  <c r="D57" i="50160"/>
  <c r="G57" i="50160"/>
  <c r="J57" i="50160"/>
  <c r="M57" i="50160"/>
  <c r="P57" i="50160"/>
  <c r="V57" i="50160"/>
  <c r="W57" i="50160"/>
  <c r="AA57" i="50160"/>
  <c r="AB57" i="50160"/>
  <c r="AC57" i="50160"/>
  <c r="AD57" i="50160"/>
  <c r="AU57" i="50160"/>
  <c r="AV57" i="50160"/>
  <c r="AW57" i="50160"/>
  <c r="AX57" i="50160"/>
  <c r="AY57" i="50160"/>
  <c r="AZ57" i="50160"/>
  <c r="BA57" i="50160"/>
  <c r="BB57" i="50160"/>
  <c r="BC57" i="50160"/>
  <c r="BD57" i="50160"/>
  <c r="BE57" i="50160"/>
  <c r="BF57" i="50160"/>
  <c r="BG57" i="50160"/>
  <c r="BH57" i="50160"/>
  <c r="BI57" i="50160"/>
  <c r="BJ57" i="50160"/>
  <c r="BK57" i="50160"/>
  <c r="BL57" i="50160"/>
  <c r="A58" i="50160"/>
  <c r="D58" i="50160"/>
  <c r="G58" i="50160"/>
  <c r="J58" i="50160"/>
  <c r="M58" i="50160"/>
  <c r="P58" i="50160"/>
  <c r="V58" i="50160"/>
  <c r="W58" i="50160"/>
  <c r="AA58" i="50160"/>
  <c r="AB58" i="50160"/>
  <c r="AC58" i="50160"/>
  <c r="AD58" i="50160"/>
  <c r="AU58" i="50160"/>
  <c r="AV58" i="50160"/>
  <c r="AW58" i="50160"/>
  <c r="AX58" i="50160"/>
  <c r="AY58" i="50160"/>
  <c r="AZ58" i="50160"/>
  <c r="BA58" i="50160"/>
  <c r="BB58" i="50160"/>
  <c r="BC58" i="50160"/>
  <c r="BD58" i="50160"/>
  <c r="BE58" i="50160"/>
  <c r="BF58" i="50160"/>
  <c r="BG58" i="50160"/>
  <c r="BH58" i="50160"/>
  <c r="BI58" i="50160"/>
  <c r="BJ58" i="50160"/>
  <c r="BK58" i="50160"/>
  <c r="BL58" i="50160"/>
  <c r="A59" i="50160"/>
  <c r="D59" i="50160"/>
  <c r="G59" i="50160"/>
  <c r="J59" i="50160"/>
  <c r="M59" i="50160"/>
  <c r="P59" i="50160"/>
  <c r="V59" i="50160"/>
  <c r="W59" i="50160"/>
  <c r="AA59" i="50160"/>
  <c r="AB59" i="50160"/>
  <c r="AC59" i="50160"/>
  <c r="AD59" i="50160"/>
  <c r="AU59" i="50160"/>
  <c r="AV59" i="50160"/>
  <c r="AW59" i="50160"/>
  <c r="AX59" i="50160"/>
  <c r="AY59" i="50160"/>
  <c r="AZ59" i="50160"/>
  <c r="BA59" i="50160"/>
  <c r="BB59" i="50160"/>
  <c r="BC59" i="50160"/>
  <c r="BD59" i="50160"/>
  <c r="BE59" i="50160"/>
  <c r="BF59" i="50160"/>
  <c r="BG59" i="50160"/>
  <c r="BH59" i="50160"/>
  <c r="BI59" i="50160"/>
  <c r="BJ59" i="50160"/>
  <c r="BK59" i="50160"/>
  <c r="BL59" i="50160"/>
  <c r="A60" i="50160"/>
  <c r="D60" i="50160"/>
  <c r="G60" i="50160"/>
  <c r="J60" i="50160"/>
  <c r="M60" i="50160"/>
  <c r="P60" i="50160"/>
  <c r="V60" i="50160"/>
  <c r="W60" i="50160"/>
  <c r="AA60" i="50160"/>
  <c r="AB60" i="50160"/>
  <c r="AC60" i="50160"/>
  <c r="AD60" i="50160"/>
  <c r="AU60" i="50160"/>
  <c r="AV60" i="50160"/>
  <c r="AW60" i="50160"/>
  <c r="AX60" i="50160"/>
  <c r="AY60" i="50160"/>
  <c r="AZ60" i="50160"/>
  <c r="BA60" i="50160"/>
  <c r="BB60" i="50160"/>
  <c r="BC60" i="50160"/>
  <c r="BD60" i="50160"/>
  <c r="BE60" i="50160"/>
  <c r="BF60" i="50160"/>
  <c r="BG60" i="50160"/>
  <c r="BH60" i="50160"/>
  <c r="BI60" i="50160"/>
  <c r="BJ60" i="50160"/>
  <c r="BK60" i="50160"/>
  <c r="BL60" i="50160"/>
  <c r="A61" i="50160"/>
  <c r="D61" i="50160"/>
  <c r="G61" i="50160"/>
  <c r="J61" i="50160"/>
  <c r="M61" i="50160"/>
  <c r="P61" i="50160"/>
  <c r="V61" i="50160"/>
  <c r="W61" i="50160"/>
  <c r="AA61" i="50160"/>
  <c r="AB61" i="50160"/>
  <c r="AC61" i="50160"/>
  <c r="AD61" i="50160"/>
  <c r="AU61" i="50160"/>
  <c r="AV61" i="50160"/>
  <c r="AW61" i="50160"/>
  <c r="AX61" i="50160"/>
  <c r="AY61" i="50160"/>
  <c r="AZ61" i="50160"/>
  <c r="BA61" i="50160"/>
  <c r="BB61" i="50160"/>
  <c r="BC61" i="50160"/>
  <c r="BD61" i="50160"/>
  <c r="BE61" i="50160"/>
  <c r="BF61" i="50160"/>
  <c r="BG61" i="50160"/>
  <c r="BH61" i="50160"/>
  <c r="BI61" i="50160"/>
  <c r="BJ61" i="50160"/>
  <c r="BK61" i="50160"/>
  <c r="BL61" i="50160"/>
  <c r="A62" i="50160"/>
  <c r="D62" i="50160"/>
  <c r="G62" i="50160"/>
  <c r="J62" i="50160"/>
  <c r="M62" i="50160"/>
  <c r="P62" i="50160"/>
  <c r="V62" i="50160"/>
  <c r="W62" i="50160"/>
  <c r="AA62" i="50160"/>
  <c r="AB62" i="50160"/>
  <c r="AC62" i="50160"/>
  <c r="AD62" i="50160"/>
  <c r="AU62" i="50160"/>
  <c r="AV62" i="50160"/>
  <c r="AW62" i="50160"/>
  <c r="AX62" i="50160"/>
  <c r="AY62" i="50160"/>
  <c r="AZ62" i="50160"/>
  <c r="BA62" i="50160"/>
  <c r="BB62" i="50160"/>
  <c r="BC62" i="50160"/>
  <c r="BD62" i="50160"/>
  <c r="BE62" i="50160"/>
  <c r="BF62" i="50160"/>
  <c r="BG62" i="50160"/>
  <c r="BH62" i="50160"/>
  <c r="BI62" i="50160"/>
  <c r="BJ62" i="50160"/>
  <c r="BK62" i="50160"/>
  <c r="BL62" i="50160"/>
  <c r="V63" i="50160"/>
  <c r="W63" i="50160"/>
  <c r="AA63" i="50160"/>
  <c r="AB63" i="50160"/>
  <c r="AC63" i="50160"/>
  <c r="AD63" i="50160"/>
  <c r="V64" i="50160"/>
  <c r="W64" i="50160"/>
  <c r="AA64" i="50160"/>
  <c r="AB64" i="50160"/>
  <c r="AC64" i="50160"/>
  <c r="AD64" i="50160"/>
  <c r="V65" i="50160"/>
  <c r="W65" i="50160"/>
  <c r="AA65" i="50160"/>
  <c r="AB65" i="50160"/>
  <c r="AC65" i="50160"/>
  <c r="AD65" i="50160"/>
  <c r="B66" i="50160"/>
  <c r="C66" i="50160"/>
  <c r="D66" i="50160"/>
  <c r="E66" i="50160"/>
  <c r="F66" i="50160"/>
  <c r="G66" i="50160"/>
  <c r="H66" i="50160"/>
  <c r="I66" i="50160"/>
  <c r="J66" i="50160"/>
  <c r="K66" i="50160"/>
  <c r="L66" i="50160"/>
  <c r="M66" i="50160"/>
  <c r="N66" i="50160"/>
  <c r="O66" i="50160"/>
  <c r="P66" i="50160"/>
  <c r="V66" i="50160"/>
  <c r="W66" i="50160"/>
  <c r="AA66" i="50160"/>
  <c r="AB66" i="50160"/>
  <c r="AC66" i="50160"/>
  <c r="AD66" i="50160"/>
  <c r="AV66" i="50160"/>
  <c r="AW66" i="50160"/>
  <c r="AX66" i="50160"/>
  <c r="AY66" i="50160"/>
  <c r="AZ66" i="50160"/>
  <c r="BA66" i="50160"/>
  <c r="BB66" i="50160"/>
  <c r="BC66" i="50160"/>
  <c r="BD66" i="50160"/>
  <c r="BE66" i="50160"/>
  <c r="BF66" i="50160"/>
  <c r="BG66" i="50160"/>
  <c r="BH66" i="50160"/>
  <c r="BI66" i="50160"/>
  <c r="BJ66" i="50160"/>
  <c r="BK66" i="50160"/>
  <c r="V67" i="50160"/>
  <c r="W67" i="50160"/>
  <c r="AA67" i="50160"/>
  <c r="AB67" i="50160"/>
  <c r="AC67" i="50160"/>
  <c r="AD67" i="50160"/>
  <c r="AV67" i="50160"/>
  <c r="AW67" i="50160"/>
  <c r="AX67" i="50160"/>
  <c r="AY67" i="50160"/>
  <c r="AZ67" i="50160"/>
  <c r="BA67" i="50160"/>
  <c r="BB67" i="50160"/>
  <c r="BC67" i="50160"/>
  <c r="BD67" i="50160"/>
  <c r="BE67" i="50160"/>
  <c r="BF67" i="50160"/>
  <c r="BG67" i="50160"/>
  <c r="BH67" i="50160"/>
  <c r="BI67" i="50160"/>
  <c r="BJ67" i="50160"/>
  <c r="BK67" i="50160"/>
  <c r="V68" i="50160"/>
  <c r="W68" i="50160"/>
  <c r="AA68" i="50160"/>
  <c r="AB68" i="50160"/>
  <c r="AC68" i="50160"/>
  <c r="AD68" i="50160"/>
  <c r="AV68" i="50160"/>
  <c r="AW68" i="50160"/>
  <c r="AX68" i="50160"/>
  <c r="AY68" i="50160"/>
  <c r="AZ68" i="50160"/>
  <c r="BA68" i="50160"/>
  <c r="BB68" i="50160"/>
  <c r="BC68" i="50160"/>
  <c r="BD68" i="50160"/>
  <c r="BE68" i="50160"/>
  <c r="BF68" i="50160"/>
  <c r="BG68" i="50160"/>
  <c r="BH68" i="50160"/>
  <c r="BI68" i="50160"/>
  <c r="BJ68" i="50160"/>
  <c r="BK68" i="50160"/>
  <c r="V69" i="50160"/>
  <c r="W69" i="50160"/>
  <c r="AA69" i="50160"/>
  <c r="AB69" i="50160"/>
  <c r="AC69" i="50160"/>
  <c r="AD69" i="50160"/>
  <c r="AV69" i="50160"/>
  <c r="AW69" i="50160"/>
  <c r="AX69" i="50160"/>
  <c r="AY69" i="50160"/>
  <c r="AZ69" i="50160"/>
  <c r="BA69" i="50160"/>
  <c r="BB69" i="50160"/>
  <c r="BC69" i="50160"/>
  <c r="BD69" i="50160"/>
  <c r="BE69" i="50160"/>
  <c r="BF69" i="50160"/>
  <c r="BG69" i="50160"/>
  <c r="BH69" i="50160"/>
  <c r="BI69" i="50160"/>
  <c r="BJ69" i="50160"/>
  <c r="BK69" i="50160"/>
  <c r="V70" i="50160"/>
  <c r="W70" i="50160"/>
  <c r="AA70" i="50160"/>
  <c r="AB70" i="50160"/>
  <c r="AC70" i="50160"/>
  <c r="AD70" i="50160"/>
  <c r="AV70" i="50160"/>
  <c r="AW70" i="50160"/>
  <c r="AX70" i="50160"/>
  <c r="AY70" i="50160"/>
  <c r="AZ70" i="50160"/>
  <c r="BA70" i="50160"/>
  <c r="BB70" i="50160"/>
  <c r="BC70" i="50160"/>
  <c r="BD70" i="50160"/>
  <c r="BE70" i="50160"/>
  <c r="BF70" i="50160"/>
  <c r="BG70" i="50160"/>
  <c r="BH70" i="50160"/>
  <c r="BI70" i="50160"/>
  <c r="BJ70" i="50160"/>
  <c r="BK70" i="50160"/>
  <c r="V71" i="50160"/>
  <c r="W71" i="50160"/>
  <c r="AA71" i="50160"/>
  <c r="AB71" i="50160"/>
  <c r="AC71" i="50160"/>
  <c r="AD71" i="50160"/>
  <c r="AV71" i="50160"/>
  <c r="AW71" i="50160"/>
  <c r="AX71" i="50160"/>
  <c r="AY71" i="50160"/>
  <c r="AZ71" i="50160"/>
  <c r="BA71" i="50160"/>
  <c r="BB71" i="50160"/>
  <c r="BC71" i="50160"/>
  <c r="BD71" i="50160"/>
  <c r="BE71" i="50160"/>
  <c r="BF71" i="50160"/>
  <c r="BG71" i="50160"/>
  <c r="BH71" i="50160"/>
  <c r="BI71" i="50160"/>
  <c r="BJ71" i="50160"/>
  <c r="BK71" i="50160"/>
  <c r="V72" i="50160"/>
  <c r="W72" i="50160"/>
  <c r="AA72" i="50160"/>
  <c r="AB72" i="50160"/>
  <c r="AC72" i="50160"/>
  <c r="AD72" i="50160"/>
  <c r="AV72" i="50160"/>
  <c r="AW72" i="50160"/>
  <c r="AX72" i="50160"/>
  <c r="AY72" i="50160"/>
  <c r="AZ72" i="50160"/>
  <c r="BA72" i="50160"/>
  <c r="BB72" i="50160"/>
  <c r="BC72" i="50160"/>
  <c r="BD72" i="50160"/>
  <c r="BE72" i="50160"/>
  <c r="BF72" i="50160"/>
  <c r="BG72" i="50160"/>
  <c r="BH72" i="50160"/>
  <c r="BI72" i="50160"/>
  <c r="BJ72" i="50160"/>
  <c r="BK72" i="50160"/>
  <c r="V73" i="50160"/>
  <c r="W73" i="50160"/>
  <c r="AA73" i="50160"/>
  <c r="AB73" i="50160"/>
  <c r="AC73" i="50160"/>
  <c r="AD73" i="50160"/>
  <c r="AV73" i="50160"/>
  <c r="AW73" i="50160"/>
  <c r="AX73" i="50160"/>
  <c r="AY73" i="50160"/>
  <c r="AZ73" i="50160"/>
  <c r="BA73" i="50160"/>
  <c r="BB73" i="50160"/>
  <c r="BC73" i="50160"/>
  <c r="BD73" i="50160"/>
  <c r="BE73" i="50160"/>
  <c r="BF73" i="50160"/>
  <c r="BG73" i="50160"/>
  <c r="BH73" i="50160"/>
  <c r="BI73" i="50160"/>
  <c r="BJ73" i="50160"/>
  <c r="BK73" i="50160"/>
  <c r="V74" i="50160"/>
  <c r="W74" i="50160"/>
  <c r="AA74" i="50160"/>
  <c r="AB74" i="50160"/>
  <c r="AC74" i="50160"/>
  <c r="AD74" i="50160"/>
  <c r="AV74" i="50160"/>
  <c r="AW74" i="50160"/>
  <c r="AX74" i="50160"/>
  <c r="AY74" i="50160"/>
  <c r="AZ74" i="50160"/>
  <c r="BA74" i="50160"/>
  <c r="BB74" i="50160"/>
  <c r="BC74" i="50160"/>
  <c r="BD74" i="50160"/>
  <c r="BE74" i="50160"/>
  <c r="BF74" i="50160"/>
  <c r="BG74" i="50160"/>
  <c r="BH74" i="50160"/>
  <c r="BI74" i="50160"/>
  <c r="BJ74" i="50160"/>
  <c r="BK74" i="50160"/>
  <c r="V75" i="50160"/>
  <c r="W75" i="50160"/>
  <c r="AA75" i="50160"/>
  <c r="AB75" i="50160"/>
  <c r="AC75" i="50160"/>
  <c r="AD75" i="50160"/>
  <c r="AV75" i="50160"/>
  <c r="AW75" i="50160"/>
  <c r="AX75" i="50160"/>
  <c r="AY75" i="50160"/>
  <c r="AZ75" i="50160"/>
  <c r="BA75" i="50160"/>
  <c r="BB75" i="50160"/>
  <c r="BC75" i="50160"/>
  <c r="BD75" i="50160"/>
  <c r="BE75" i="50160"/>
  <c r="BF75" i="50160"/>
  <c r="BG75" i="50160"/>
  <c r="BH75" i="50160"/>
  <c r="BI75" i="50160"/>
  <c r="BJ75" i="50160"/>
  <c r="BK75" i="50160"/>
  <c r="V76" i="50160"/>
  <c r="W76" i="50160"/>
  <c r="AA76" i="50160"/>
  <c r="AB76" i="50160"/>
  <c r="AC76" i="50160"/>
  <c r="AD76" i="50160"/>
  <c r="V77" i="50160"/>
  <c r="W77" i="50160"/>
  <c r="AA77" i="50160"/>
  <c r="AB77" i="50160"/>
  <c r="AC77" i="50160"/>
  <c r="AD77" i="50160"/>
  <c r="V78" i="50160"/>
  <c r="W78" i="50160"/>
  <c r="AA78" i="50160"/>
  <c r="AB78" i="50160"/>
  <c r="AC78" i="50160"/>
  <c r="AD78" i="50160"/>
  <c r="V79" i="50160"/>
  <c r="W79" i="50160"/>
  <c r="AA79" i="50160"/>
  <c r="AB79" i="50160"/>
  <c r="AC79" i="50160"/>
  <c r="AD79" i="50160"/>
  <c r="V80" i="50160"/>
  <c r="W80" i="50160"/>
  <c r="AA80" i="50160"/>
  <c r="AB80" i="50160"/>
  <c r="AC80" i="50160"/>
  <c r="AD80" i="50160"/>
  <c r="V81" i="50160"/>
  <c r="W81" i="50160"/>
  <c r="AA81" i="50160"/>
  <c r="AB81" i="50160"/>
  <c r="AC81" i="50160"/>
  <c r="AD81" i="50160"/>
  <c r="F169" i="50160" s="1"/>
  <c r="B82" i="50160"/>
  <c r="F82" i="50160"/>
  <c r="V82" i="50160"/>
  <c r="W82" i="50160"/>
  <c r="AA82" i="50160"/>
  <c r="AB82" i="50160"/>
  <c r="AC82" i="50160"/>
  <c r="AD82" i="50160"/>
  <c r="F83" i="50160"/>
  <c r="V83" i="50160"/>
  <c r="W83" i="50160"/>
  <c r="AA83" i="50160"/>
  <c r="AB83" i="50160"/>
  <c r="AC83" i="50160"/>
  <c r="AD83" i="50160"/>
  <c r="F84" i="50160"/>
  <c r="V84" i="50160"/>
  <c r="W84" i="50160"/>
  <c r="AA84" i="50160"/>
  <c r="AB84" i="50160"/>
  <c r="AC84" i="50160"/>
  <c r="AD84" i="50160"/>
  <c r="V85" i="50160"/>
  <c r="W85" i="50160"/>
  <c r="AA85" i="50160"/>
  <c r="AB85" i="50160"/>
  <c r="AC85" i="50160"/>
  <c r="AD85" i="50160"/>
  <c r="V86" i="50160"/>
  <c r="W86" i="50160"/>
  <c r="AA86" i="50160"/>
  <c r="AB86" i="50160"/>
  <c r="AC86" i="50160"/>
  <c r="AD86" i="50160"/>
  <c r="V87" i="50160"/>
  <c r="W87" i="50160"/>
  <c r="AA87" i="50160"/>
  <c r="AB87" i="50160"/>
  <c r="AC87" i="50160"/>
  <c r="AD87" i="50160"/>
  <c r="V88" i="50160"/>
  <c r="W88" i="50160"/>
  <c r="AA88" i="50160"/>
  <c r="AB88" i="50160"/>
  <c r="AC88" i="50160"/>
  <c r="AD88" i="50160"/>
  <c r="V89" i="50160"/>
  <c r="W89" i="50160"/>
  <c r="AA89" i="50160"/>
  <c r="AB89" i="50160"/>
  <c r="AC89" i="50160"/>
  <c r="AD89" i="50160"/>
  <c r="F177" i="50160" s="1"/>
  <c r="V90" i="50160"/>
  <c r="W90" i="50160"/>
  <c r="AA90" i="50160"/>
  <c r="AB90" i="50160"/>
  <c r="AC90" i="50160"/>
  <c r="AD90" i="50160"/>
  <c r="AC91" i="50160"/>
  <c r="AC92" i="50160"/>
  <c r="E180" i="50160" s="1"/>
  <c r="AC93" i="50160"/>
  <c r="AC94" i="50160"/>
  <c r="AC95" i="50160"/>
  <c r="AC96" i="50160"/>
  <c r="AC97" i="50160"/>
  <c r="AC98" i="50160"/>
  <c r="AC99" i="50160"/>
  <c r="AC100" i="50160"/>
  <c r="E188" i="50160" s="1"/>
  <c r="AC101" i="50160"/>
  <c r="AC102" i="50160"/>
  <c r="AC103" i="50160"/>
  <c r="AC104" i="50160"/>
  <c r="AC105" i="50160"/>
  <c r="AC106" i="50160"/>
  <c r="AC107" i="50160"/>
  <c r="AC108" i="50160"/>
  <c r="H146" i="50160" s="1"/>
  <c r="AC109" i="50160"/>
  <c r="AC110" i="50160"/>
  <c r="AC111" i="50160"/>
  <c r="AC112" i="50160"/>
  <c r="AC113" i="50160"/>
  <c r="AC114" i="50160"/>
  <c r="AC115" i="50160"/>
  <c r="AC116" i="50160"/>
  <c r="H154" i="50160" s="1"/>
  <c r="AC117" i="50160"/>
  <c r="AC118" i="50160"/>
  <c r="AC119" i="50160"/>
  <c r="AC120" i="50160"/>
  <c r="AC121" i="50160"/>
  <c r="AC122" i="50160"/>
  <c r="AC123" i="50160"/>
  <c r="AC124" i="50160"/>
  <c r="H162" i="50160" s="1"/>
  <c r="AC125" i="50160"/>
  <c r="AC126" i="50160"/>
  <c r="AC127" i="50160"/>
  <c r="AC128" i="50160"/>
  <c r="AC129" i="50160"/>
  <c r="AC130" i="50160"/>
  <c r="AC131" i="50160"/>
  <c r="AC132" i="50160"/>
  <c r="H170" i="50160" s="1"/>
  <c r="AC133" i="50160"/>
  <c r="AC134" i="50160"/>
  <c r="AC135" i="50160"/>
  <c r="AC136" i="50160"/>
  <c r="AC137" i="50160"/>
  <c r="AC138" i="50160"/>
  <c r="AC139" i="50160"/>
  <c r="AC140" i="50160"/>
  <c r="H178" i="50160" s="1"/>
  <c r="AC141" i="50160"/>
  <c r="AC142" i="50160"/>
  <c r="AC143" i="50160"/>
  <c r="AC144" i="50160"/>
  <c r="AC145" i="50160"/>
  <c r="AC146" i="50160"/>
  <c r="AC147" i="50160"/>
  <c r="AC148" i="50160"/>
  <c r="H186" i="50160" s="1"/>
  <c r="AC149" i="50160"/>
  <c r="AC150" i="50160"/>
  <c r="AC151" i="50160"/>
  <c r="AC152" i="50160"/>
  <c r="AC153" i="50160"/>
  <c r="AC154" i="50160"/>
  <c r="AC155" i="50160"/>
  <c r="AC156" i="50160"/>
  <c r="K144" i="50160" s="1"/>
  <c r="AC157" i="50160"/>
  <c r="AC158" i="50160"/>
  <c r="AC159" i="50160"/>
  <c r="AC160" i="50160"/>
  <c r="AC161" i="50160"/>
  <c r="AC162" i="50160"/>
  <c r="AC163" i="50160"/>
  <c r="AC164" i="50160"/>
  <c r="K152" i="50160" s="1"/>
  <c r="AC165" i="50160"/>
  <c r="AC166" i="50160"/>
  <c r="AC167" i="50160"/>
  <c r="AC168" i="50160"/>
  <c r="AC169" i="50160"/>
  <c r="AC170" i="50160"/>
  <c r="AC171" i="50160"/>
  <c r="AC172" i="50160"/>
  <c r="K160" i="50160" s="1"/>
  <c r="AC173" i="50160"/>
  <c r="AC174" i="50160"/>
  <c r="AC175" i="50160"/>
  <c r="AC176" i="50160"/>
  <c r="AC177" i="50160"/>
  <c r="AC178" i="50160"/>
  <c r="AC179" i="50160"/>
  <c r="AC180" i="50160"/>
  <c r="K168" i="50160" s="1"/>
  <c r="AC181" i="50160"/>
  <c r="AC182" i="50160"/>
  <c r="AC183" i="50160"/>
  <c r="AC184" i="50160"/>
  <c r="AC185" i="50160"/>
  <c r="AC186" i="50160"/>
  <c r="AC187" i="50160"/>
  <c r="AC188" i="50160"/>
  <c r="K176" i="50160" s="1"/>
  <c r="AC189" i="50160"/>
  <c r="AC190" i="50160"/>
  <c r="AC191" i="50160"/>
  <c r="AC192" i="50160"/>
  <c r="AC193" i="50160"/>
  <c r="AC194" i="50160"/>
  <c r="AC195" i="50160"/>
  <c r="AC196" i="50160"/>
  <c r="K184" i="50160" s="1"/>
  <c r="AC197" i="50160"/>
  <c r="AC198" i="50160"/>
  <c r="AC199" i="50160"/>
  <c r="AC200" i="50160"/>
  <c r="AC201" i="50160"/>
  <c r="AC202" i="50160"/>
  <c r="AC203" i="50160"/>
  <c r="AC204" i="50160"/>
  <c r="K192" i="50160" s="1"/>
  <c r="AC205" i="50160"/>
  <c r="AC206" i="50160"/>
  <c r="AC207" i="50160"/>
  <c r="AC208" i="50160"/>
  <c r="AC209" i="50160"/>
  <c r="AC210" i="50160"/>
  <c r="AC211" i="50160"/>
  <c r="AC212" i="50160"/>
  <c r="N150" i="50160" s="1"/>
  <c r="AC213" i="50160"/>
  <c r="AC214" i="50160"/>
  <c r="AC215" i="50160"/>
  <c r="AC216" i="50160"/>
  <c r="AC217" i="50160"/>
  <c r="AC218" i="50160"/>
  <c r="AC219" i="50160"/>
  <c r="AC220" i="50160"/>
  <c r="N158" i="50160" s="1"/>
  <c r="AC221" i="50160"/>
  <c r="AC222" i="50160"/>
  <c r="AC223" i="50160"/>
  <c r="AC224" i="50160"/>
  <c r="AC225" i="50160"/>
  <c r="AC226" i="50160"/>
  <c r="AC227" i="50160"/>
  <c r="AC228" i="50160"/>
  <c r="N166" i="50160" s="1"/>
  <c r="AC229" i="50160"/>
  <c r="AC230" i="50160"/>
  <c r="AC231" i="50160"/>
  <c r="AC232" i="50160"/>
  <c r="AC233" i="50160"/>
  <c r="AC234" i="50160"/>
  <c r="AC235" i="50160"/>
  <c r="AC236" i="50160"/>
  <c r="N174" i="50160" s="1"/>
  <c r="AC237" i="50160"/>
  <c r="AC238" i="50160"/>
  <c r="AC239" i="50160"/>
  <c r="AC240" i="50160"/>
  <c r="AC241" i="50160"/>
  <c r="AC242" i="50160"/>
  <c r="AC243" i="50160"/>
  <c r="AC244" i="50160"/>
  <c r="N182" i="50160" s="1"/>
  <c r="AC245" i="50160"/>
  <c r="AC246" i="50160"/>
  <c r="AC247" i="50160"/>
  <c r="AC248" i="50160"/>
  <c r="AC249" i="50160"/>
  <c r="AC250" i="50160"/>
  <c r="AC251" i="50160"/>
  <c r="AC252" i="50160"/>
  <c r="N190" i="50160" s="1"/>
  <c r="AC253" i="50160"/>
  <c r="AC254" i="50160"/>
  <c r="AC255" i="50160"/>
  <c r="AC256" i="50160"/>
  <c r="AC257" i="50160"/>
  <c r="AC258" i="50160"/>
  <c r="AC259" i="50160"/>
  <c r="AC260" i="50160"/>
  <c r="Q148" i="50160" s="1"/>
  <c r="AC261" i="50160"/>
  <c r="AC262" i="50160"/>
  <c r="AC263" i="50160"/>
  <c r="AC264" i="50160"/>
  <c r="AC265" i="50160"/>
  <c r="AC266" i="50160"/>
  <c r="AC267" i="50160"/>
  <c r="AC268" i="50160"/>
  <c r="Q156" i="50160" s="1"/>
  <c r="AC269" i="50160"/>
  <c r="AC270" i="50160"/>
  <c r="AC271" i="50160"/>
  <c r="AC272" i="50160"/>
  <c r="AC273" i="50160"/>
  <c r="AC274" i="50160"/>
  <c r="AC275" i="50160"/>
  <c r="AC276" i="50160"/>
  <c r="Q164" i="50160" s="1"/>
  <c r="AC277" i="50160"/>
  <c r="AC278" i="50160"/>
  <c r="AC279" i="50160"/>
  <c r="AC280" i="50160"/>
  <c r="AC281" i="50160"/>
  <c r="AC282" i="50160"/>
  <c r="AC283" i="50160"/>
  <c r="AC284" i="50160"/>
  <c r="Q172" i="50160" s="1"/>
  <c r="AC285" i="50160"/>
  <c r="AC286" i="50160"/>
  <c r="AC287" i="50160"/>
  <c r="AC288" i="50160"/>
  <c r="AC289" i="50160"/>
  <c r="AC290" i="50160"/>
  <c r="AC291" i="50160"/>
  <c r="AC292" i="50160"/>
  <c r="Q180" i="50160" s="1"/>
  <c r="AC293" i="50160"/>
  <c r="AC294" i="50160"/>
  <c r="AC295" i="50160"/>
  <c r="AC296" i="50160"/>
  <c r="AC297" i="50160"/>
  <c r="AC298" i="50160"/>
  <c r="AC299" i="50160"/>
  <c r="AC300" i="50160"/>
  <c r="Q188" i="50160" s="1"/>
  <c r="AC301" i="50160"/>
  <c r="AC302" i="50160"/>
  <c r="AC303" i="50160"/>
  <c r="AC304" i="50160"/>
  <c r="V91" i="50160"/>
  <c r="W91" i="50160"/>
  <c r="AA91" i="50160"/>
  <c r="AB91" i="50160"/>
  <c r="AD91" i="50160"/>
  <c r="V92" i="50160"/>
  <c r="W92" i="50160"/>
  <c r="AA92" i="50160"/>
  <c r="AB92" i="50160"/>
  <c r="AD92" i="50160"/>
  <c r="AU92" i="50160"/>
  <c r="AW92" i="50160" s="1"/>
  <c r="AV92" i="50160"/>
  <c r="AX92" i="50160"/>
  <c r="AY92" i="50160"/>
  <c r="AZ92" i="50160"/>
  <c r="BA92" i="50160"/>
  <c r="BC92" i="50160" s="1"/>
  <c r="BD92" i="50160"/>
  <c r="BF92" i="50160" s="1"/>
  <c r="BE92" i="50160"/>
  <c r="BG92" i="50160"/>
  <c r="BJ92" i="50160"/>
  <c r="AD93" i="50160"/>
  <c r="AD94" i="50160"/>
  <c r="AD95" i="50160"/>
  <c r="F183" i="50160" s="1"/>
  <c r="AD96" i="50160"/>
  <c r="AD97" i="50160"/>
  <c r="AD98" i="50160"/>
  <c r="AD99" i="50160"/>
  <c r="AD100" i="50160"/>
  <c r="AD101" i="50160"/>
  <c r="AD102" i="50160"/>
  <c r="AD103" i="50160"/>
  <c r="AD104" i="50160"/>
  <c r="AD105" i="50160"/>
  <c r="AD106" i="50160"/>
  <c r="AD107" i="50160"/>
  <c r="AD108" i="50160"/>
  <c r="AD109" i="50160"/>
  <c r="AD110" i="50160"/>
  <c r="AD111" i="50160"/>
  <c r="I149" i="50160" s="1"/>
  <c r="AD112" i="50160"/>
  <c r="AD113" i="50160"/>
  <c r="AD114" i="50160"/>
  <c r="AD115" i="50160"/>
  <c r="AD116" i="50160"/>
  <c r="AD117" i="50160"/>
  <c r="AD118" i="50160"/>
  <c r="AD119" i="50160"/>
  <c r="I157" i="50160" s="1"/>
  <c r="AD120" i="50160"/>
  <c r="AD121" i="50160"/>
  <c r="AD122" i="50160"/>
  <c r="AD123" i="50160"/>
  <c r="AD124" i="50160"/>
  <c r="AD125" i="50160"/>
  <c r="AD126" i="50160"/>
  <c r="AD127" i="50160"/>
  <c r="I165" i="50160" s="1"/>
  <c r="AD128" i="50160"/>
  <c r="AD129" i="50160"/>
  <c r="AD130" i="50160"/>
  <c r="AD131" i="50160"/>
  <c r="AD132" i="50160"/>
  <c r="AD133" i="50160"/>
  <c r="AD134" i="50160"/>
  <c r="AD135" i="50160"/>
  <c r="I173" i="50160" s="1"/>
  <c r="AD136" i="50160"/>
  <c r="AD137" i="50160"/>
  <c r="AD138" i="50160"/>
  <c r="AD139" i="50160"/>
  <c r="AD140" i="50160"/>
  <c r="AD141" i="50160"/>
  <c r="AD142" i="50160"/>
  <c r="AD143" i="50160"/>
  <c r="AD144" i="50160"/>
  <c r="AD145" i="50160"/>
  <c r="AD146" i="50160"/>
  <c r="AD147" i="50160"/>
  <c r="AD148" i="50160"/>
  <c r="AD149" i="50160"/>
  <c r="AD150" i="50160"/>
  <c r="AD151" i="50160"/>
  <c r="AD152" i="50160"/>
  <c r="AD153" i="50160"/>
  <c r="AD154" i="50160"/>
  <c r="AD155" i="50160"/>
  <c r="AD156" i="50160"/>
  <c r="AD157" i="50160"/>
  <c r="AD158" i="50160"/>
  <c r="AD159" i="50160"/>
  <c r="L147" i="50160" s="1"/>
  <c r="AD160" i="50160"/>
  <c r="AD161" i="50160"/>
  <c r="AD162" i="50160"/>
  <c r="AD163" i="50160"/>
  <c r="AD164" i="50160"/>
  <c r="AD165" i="50160"/>
  <c r="AD166" i="50160"/>
  <c r="AD167" i="50160"/>
  <c r="L155" i="50160" s="1"/>
  <c r="AD168" i="50160"/>
  <c r="AD169" i="50160"/>
  <c r="AD170" i="50160"/>
  <c r="AD171" i="50160"/>
  <c r="AD172" i="50160"/>
  <c r="AD173" i="50160"/>
  <c r="AD174" i="50160"/>
  <c r="AD175" i="50160"/>
  <c r="L163" i="50160" s="1"/>
  <c r="AD176" i="50160"/>
  <c r="AD177" i="50160"/>
  <c r="AD178" i="50160"/>
  <c r="AD179" i="50160"/>
  <c r="AD180" i="50160"/>
  <c r="AD181" i="50160"/>
  <c r="AD182" i="50160"/>
  <c r="AD183" i="50160"/>
  <c r="L171" i="50160" s="1"/>
  <c r="AD184" i="50160"/>
  <c r="AD185" i="50160"/>
  <c r="AD186" i="50160"/>
  <c r="AD187" i="50160"/>
  <c r="AD188" i="50160"/>
  <c r="AD189" i="50160"/>
  <c r="AD190" i="50160"/>
  <c r="AD191" i="50160"/>
  <c r="L179" i="50160" s="1"/>
  <c r="AD192" i="50160"/>
  <c r="AD193" i="50160"/>
  <c r="AD194" i="50160"/>
  <c r="AD195" i="50160"/>
  <c r="AD196" i="50160"/>
  <c r="AD197" i="50160"/>
  <c r="AD198" i="50160"/>
  <c r="AD199" i="50160"/>
  <c r="L187" i="50160" s="1"/>
  <c r="AD200" i="50160"/>
  <c r="AD201" i="50160"/>
  <c r="AD202" i="50160"/>
  <c r="AD203" i="50160"/>
  <c r="AD204" i="50160"/>
  <c r="AD205" i="50160"/>
  <c r="AD206" i="50160"/>
  <c r="AD207" i="50160"/>
  <c r="O145" i="50160" s="1"/>
  <c r="AD208" i="50160"/>
  <c r="AD209" i="50160"/>
  <c r="AD210" i="50160"/>
  <c r="AD211" i="50160"/>
  <c r="AD212" i="50160"/>
  <c r="AD213" i="50160"/>
  <c r="AD214" i="50160"/>
  <c r="AD215" i="50160"/>
  <c r="O153" i="50160" s="1"/>
  <c r="AD216" i="50160"/>
  <c r="AD217" i="50160"/>
  <c r="AD218" i="50160"/>
  <c r="AD219" i="50160"/>
  <c r="AD220" i="50160"/>
  <c r="AD221" i="50160"/>
  <c r="AD222" i="50160"/>
  <c r="AD223" i="50160"/>
  <c r="O161" i="50160" s="1"/>
  <c r="AD224" i="50160"/>
  <c r="AD225" i="50160"/>
  <c r="AD226" i="50160"/>
  <c r="AD227" i="50160"/>
  <c r="AD228" i="50160"/>
  <c r="AD229" i="50160"/>
  <c r="AD230" i="50160"/>
  <c r="AD231" i="50160"/>
  <c r="O169" i="50160" s="1"/>
  <c r="AD232" i="50160"/>
  <c r="AD233" i="50160"/>
  <c r="AD234" i="50160"/>
  <c r="AD235" i="50160"/>
  <c r="AD236" i="50160"/>
  <c r="AD237" i="50160"/>
  <c r="AD238" i="50160"/>
  <c r="AD239" i="50160"/>
  <c r="AD240" i="50160"/>
  <c r="AD241" i="50160"/>
  <c r="AD242" i="50160"/>
  <c r="AD243" i="50160"/>
  <c r="AD244" i="50160"/>
  <c r="AD245" i="50160"/>
  <c r="AD246" i="50160"/>
  <c r="AD247" i="50160"/>
  <c r="O185" i="50160" s="1"/>
  <c r="AD248" i="50160"/>
  <c r="AD249" i="50160"/>
  <c r="AD250" i="50160"/>
  <c r="AD251" i="50160"/>
  <c r="AD252" i="50160"/>
  <c r="AD253" i="50160"/>
  <c r="AD254" i="50160"/>
  <c r="AD255" i="50160"/>
  <c r="R143" i="50160" s="1"/>
  <c r="AD256" i="50160"/>
  <c r="AD257" i="50160"/>
  <c r="AD258" i="50160"/>
  <c r="AD259" i="50160"/>
  <c r="AD260" i="50160"/>
  <c r="AD261" i="50160"/>
  <c r="AD262" i="50160"/>
  <c r="AD263" i="50160"/>
  <c r="R151" i="50160" s="1"/>
  <c r="AD264" i="50160"/>
  <c r="AD265" i="50160"/>
  <c r="AD266" i="50160"/>
  <c r="AD267" i="50160"/>
  <c r="AD268" i="50160"/>
  <c r="AD269" i="50160"/>
  <c r="AD270" i="50160"/>
  <c r="AD271" i="50160"/>
  <c r="R159" i="50160" s="1"/>
  <c r="AD272" i="50160"/>
  <c r="AD273" i="50160"/>
  <c r="AD274" i="50160"/>
  <c r="AD275" i="50160"/>
  <c r="AD276" i="50160"/>
  <c r="AD277" i="50160"/>
  <c r="AD278" i="50160"/>
  <c r="AD279" i="50160"/>
  <c r="R167" i="50160" s="1"/>
  <c r="AD280" i="50160"/>
  <c r="AD281" i="50160"/>
  <c r="AD282" i="50160"/>
  <c r="AD283" i="50160"/>
  <c r="AD284" i="50160"/>
  <c r="AD285" i="50160"/>
  <c r="AD286" i="50160"/>
  <c r="AD287" i="50160"/>
  <c r="R175" i="50160" s="1"/>
  <c r="AD288" i="50160"/>
  <c r="AD289" i="50160"/>
  <c r="AD290" i="50160"/>
  <c r="AD291" i="50160"/>
  <c r="AD292" i="50160"/>
  <c r="AD293" i="50160"/>
  <c r="AD294" i="50160"/>
  <c r="AD295" i="50160"/>
  <c r="R183" i="50160" s="1"/>
  <c r="AD296" i="50160"/>
  <c r="AD297" i="50160"/>
  <c r="AD298" i="50160"/>
  <c r="AD299" i="50160"/>
  <c r="AD300" i="50160"/>
  <c r="AD301" i="50160"/>
  <c r="AD302" i="50160"/>
  <c r="AD303" i="50160"/>
  <c r="R191" i="50160" s="1"/>
  <c r="AD304" i="50160"/>
  <c r="V93" i="50160"/>
  <c r="W93" i="50160"/>
  <c r="AA93" i="50160"/>
  <c r="AB93" i="50160"/>
  <c r="AU93" i="50160"/>
  <c r="AV93" i="50160"/>
  <c r="AW93" i="50160"/>
  <c r="AX93" i="50160"/>
  <c r="AZ93" i="50160" s="1"/>
  <c r="BA93" i="50160"/>
  <c r="BB93" i="50160" s="1"/>
  <c r="BC93" i="50160"/>
  <c r="BD93" i="50160"/>
  <c r="BG93" i="50160"/>
  <c r="BJ93" i="50160"/>
  <c r="BK93" i="50160" s="1"/>
  <c r="BL93" i="50160"/>
  <c r="V94" i="50160"/>
  <c r="W94" i="50160"/>
  <c r="AA94" i="50160"/>
  <c r="AB94" i="50160"/>
  <c r="AU94" i="50160"/>
  <c r="AV94" i="50160"/>
  <c r="AW94" i="50160"/>
  <c r="AX94" i="50160"/>
  <c r="BA94" i="50160"/>
  <c r="BD94" i="50160"/>
  <c r="BE94" i="50160" s="1"/>
  <c r="BG94" i="50160"/>
  <c r="BH94" i="50160" s="1"/>
  <c r="BI94" i="50160"/>
  <c r="BJ94" i="50160"/>
  <c r="BK94" i="50160" s="1"/>
  <c r="BL94" i="50160"/>
  <c r="V95" i="50160"/>
  <c r="W95" i="50160"/>
  <c r="AA95" i="50160"/>
  <c r="AB95" i="50160"/>
  <c r="AU95" i="50160"/>
  <c r="AX95" i="50160"/>
  <c r="AY95" i="50160" s="1"/>
  <c r="BA95" i="50160"/>
  <c r="BB95" i="50160" s="1"/>
  <c r="BC95" i="50160"/>
  <c r="BD95" i="50160"/>
  <c r="BE95" i="50160" s="1"/>
  <c r="BF95" i="50160"/>
  <c r="BG95" i="50160"/>
  <c r="BJ95" i="50160"/>
  <c r="V96" i="50160"/>
  <c r="W96" i="50160"/>
  <c r="AA96" i="50160"/>
  <c r="AB96" i="50160"/>
  <c r="AU96" i="50160"/>
  <c r="AV96" i="50160" s="1"/>
  <c r="AX96" i="50160"/>
  <c r="BA96" i="50160"/>
  <c r="BC96" i="50160" s="1"/>
  <c r="BD96" i="50160"/>
  <c r="BG96" i="50160"/>
  <c r="BH96" i="50160"/>
  <c r="BI96" i="50160"/>
  <c r="BJ96" i="50160"/>
  <c r="V97" i="50160"/>
  <c r="W97" i="50160"/>
  <c r="AA97" i="50160"/>
  <c r="AB97" i="50160"/>
  <c r="AU97" i="50160"/>
  <c r="AV97" i="50160"/>
  <c r="AW97" i="50160"/>
  <c r="AX97" i="50160"/>
  <c r="AZ97" i="50160" s="1"/>
  <c r="BA97" i="50160"/>
  <c r="BC97" i="50160" s="1"/>
  <c r="BB97" i="50160"/>
  <c r="BD97" i="50160"/>
  <c r="BG97" i="50160"/>
  <c r="BJ97" i="50160"/>
  <c r="BK97" i="50160" s="1"/>
  <c r="BL97" i="50160"/>
  <c r="V98" i="50160"/>
  <c r="W98" i="50160"/>
  <c r="AA98" i="50160"/>
  <c r="AB98" i="50160"/>
  <c r="AU98" i="50160"/>
  <c r="AV98" i="50160"/>
  <c r="AW98" i="50160"/>
  <c r="AX98" i="50160"/>
  <c r="BA98" i="50160"/>
  <c r="BD98" i="50160"/>
  <c r="BE98" i="50160" s="1"/>
  <c r="BG98" i="50160"/>
  <c r="BJ98" i="50160"/>
  <c r="BK98" i="50160" s="1"/>
  <c r="BL98" i="50160"/>
  <c r="V99" i="50160"/>
  <c r="W99" i="50160"/>
  <c r="AA99" i="50160"/>
  <c r="AB99" i="50160"/>
  <c r="AU99" i="50160"/>
  <c r="AX99" i="50160"/>
  <c r="AY99" i="50160" s="1"/>
  <c r="BA99" i="50160"/>
  <c r="BB99" i="50160" s="1"/>
  <c r="BC99" i="50160"/>
  <c r="BD99" i="50160"/>
  <c r="BE99" i="50160" s="1"/>
  <c r="BF99" i="50160"/>
  <c r="BG99" i="50160"/>
  <c r="BH99" i="50160"/>
  <c r="BI99" i="50160"/>
  <c r="BJ99" i="50160"/>
  <c r="BL99" i="50160" s="1"/>
  <c r="V100" i="50160"/>
  <c r="W100" i="50160"/>
  <c r="AA100" i="50160"/>
  <c r="AB100" i="50160"/>
  <c r="AU100" i="50160"/>
  <c r="AV100" i="50160" s="1"/>
  <c r="AW100" i="50160"/>
  <c r="AX100" i="50160"/>
  <c r="AY100" i="50160" s="1"/>
  <c r="BA100" i="50160"/>
  <c r="BB100" i="50160" s="1"/>
  <c r="BC100" i="50160"/>
  <c r="BD100" i="50160"/>
  <c r="BF100" i="50160" s="1"/>
  <c r="BG100" i="50160"/>
  <c r="BJ100" i="50160"/>
  <c r="V101" i="50160"/>
  <c r="W101" i="50160"/>
  <c r="AA101" i="50160"/>
  <c r="AB101" i="50160"/>
  <c r="AU101" i="50160"/>
  <c r="AX101" i="50160"/>
  <c r="BA101" i="50160"/>
  <c r="BB101" i="50160"/>
  <c r="BC101" i="50160"/>
  <c r="BD101" i="50160"/>
  <c r="BG101" i="50160"/>
  <c r="BJ101" i="50160"/>
  <c r="BK101" i="50160" s="1"/>
  <c r="V102" i="50160"/>
  <c r="W102" i="50160"/>
  <c r="AA102" i="50160"/>
  <c r="AB102" i="50160"/>
  <c r="AU102" i="50160"/>
  <c r="AX102" i="50160"/>
  <c r="AZ102" i="50160" s="1"/>
  <c r="BA102" i="50160"/>
  <c r="BD102" i="50160"/>
  <c r="BE102" i="50160" s="1"/>
  <c r="BG102" i="50160"/>
  <c r="BH102" i="50160" s="1"/>
  <c r="BJ102" i="50160"/>
  <c r="V103" i="50160"/>
  <c r="W103" i="50160"/>
  <c r="AA103" i="50160"/>
  <c r="AB103" i="50160"/>
  <c r="AU103" i="50160"/>
  <c r="AX103" i="50160"/>
  <c r="BA103" i="50160"/>
  <c r="BB103" i="50160" s="1"/>
  <c r="BD103" i="50160"/>
  <c r="BE103" i="50160" s="1"/>
  <c r="BG103" i="50160"/>
  <c r="BH103" i="50160" s="1"/>
  <c r="BI103" i="50160"/>
  <c r="BJ103" i="50160"/>
  <c r="BL103" i="50160" s="1"/>
  <c r="V104" i="50160"/>
  <c r="W104" i="50160"/>
  <c r="AA104" i="50160"/>
  <c r="AB104" i="50160"/>
  <c r="AU104" i="50160"/>
  <c r="AV104" i="50160" s="1"/>
  <c r="AW104" i="50160"/>
  <c r="AX104" i="50160"/>
  <c r="AY104" i="50160" s="1"/>
  <c r="BA104" i="50160"/>
  <c r="BD104" i="50160"/>
  <c r="BG104" i="50160"/>
  <c r="BH104" i="50160" s="1"/>
  <c r="BJ104" i="50160"/>
  <c r="BL104" i="50160" s="1"/>
  <c r="V105" i="50160"/>
  <c r="W105" i="50160"/>
  <c r="AA105" i="50160"/>
  <c r="AB105" i="50160"/>
  <c r="AU105" i="50160"/>
  <c r="AV105" i="50160" s="1"/>
  <c r="AX105" i="50160"/>
  <c r="BA105" i="50160"/>
  <c r="BB105" i="50160"/>
  <c r="BC105" i="50160"/>
  <c r="BD105" i="50160"/>
  <c r="BF105" i="50160" s="1"/>
  <c r="BG105" i="50160"/>
  <c r="BJ105" i="50160"/>
  <c r="BK105" i="50160" s="1"/>
  <c r="BL105" i="50160"/>
  <c r="V106" i="50160"/>
  <c r="W106" i="50160"/>
  <c r="AA106" i="50160"/>
  <c r="AB106" i="50160"/>
  <c r="AU106" i="50160"/>
  <c r="AV106" i="50160" s="1"/>
  <c r="AX106" i="50160"/>
  <c r="BA106" i="50160"/>
  <c r="BD106" i="50160"/>
  <c r="BE106" i="50160" s="1"/>
  <c r="BG106" i="50160"/>
  <c r="BH106" i="50160" s="1"/>
  <c r="BI106" i="50160"/>
  <c r="BJ106" i="50160"/>
  <c r="BK106" i="50160" s="1"/>
  <c r="V107" i="50160"/>
  <c r="W107" i="50160"/>
  <c r="AA107" i="50160"/>
  <c r="AB107" i="50160"/>
  <c r="AU107" i="50160"/>
  <c r="AX107" i="50160"/>
  <c r="AY107" i="50160" s="1"/>
  <c r="BA107" i="50160"/>
  <c r="BB107" i="50160" s="1"/>
  <c r="BD107" i="50160"/>
  <c r="BE107" i="50160" s="1"/>
  <c r="BG107" i="50160"/>
  <c r="BH107" i="50160" s="1"/>
  <c r="BJ107" i="50160"/>
  <c r="BL107" i="50160" s="1"/>
  <c r="BK107" i="50160"/>
  <c r="V108" i="50160"/>
  <c r="W108" i="50160"/>
  <c r="AA108" i="50160"/>
  <c r="AB108" i="50160"/>
  <c r="AU108" i="50160"/>
  <c r="AV108" i="50160" s="1"/>
  <c r="AW108" i="50160"/>
  <c r="AX108" i="50160"/>
  <c r="AY108" i="50160" s="1"/>
  <c r="AZ108" i="50160"/>
  <c r="BA108" i="50160"/>
  <c r="BD108" i="50160"/>
  <c r="BF108" i="50160" s="1"/>
  <c r="BG108" i="50160"/>
  <c r="BH108" i="50160"/>
  <c r="BI108" i="50160"/>
  <c r="BJ108" i="50160"/>
  <c r="BK108" i="50160" s="1"/>
  <c r="V109" i="50160"/>
  <c r="W109" i="50160"/>
  <c r="AA109" i="50160"/>
  <c r="AB109" i="50160"/>
  <c r="AU109" i="50160"/>
  <c r="AV109" i="50160"/>
  <c r="AW109" i="50160"/>
  <c r="AX109" i="50160"/>
  <c r="AZ109" i="50160" s="1"/>
  <c r="BA109" i="50160"/>
  <c r="BB109" i="50160" s="1"/>
  <c r="BC109" i="50160"/>
  <c r="BD109" i="50160"/>
  <c r="BF109" i="50160" s="1"/>
  <c r="BG109" i="50160"/>
  <c r="BJ109" i="50160"/>
  <c r="BK109" i="50160" s="1"/>
  <c r="V110" i="50160"/>
  <c r="W110" i="50160"/>
  <c r="AA110" i="50160"/>
  <c r="AB110" i="50160"/>
  <c r="AU110" i="50160"/>
  <c r="AV110" i="50160" s="1"/>
  <c r="AX110" i="50160"/>
  <c r="AY110" i="50160"/>
  <c r="AZ110" i="50160"/>
  <c r="BA110" i="50160"/>
  <c r="BD110" i="50160"/>
  <c r="BE110" i="50160" s="1"/>
  <c r="BG110" i="50160"/>
  <c r="BJ110" i="50160"/>
  <c r="BK110" i="50160" s="1"/>
  <c r="V111" i="50160"/>
  <c r="W111" i="50160"/>
  <c r="AA111" i="50160"/>
  <c r="AB111" i="50160"/>
  <c r="AU111" i="50160"/>
  <c r="AX111" i="50160"/>
  <c r="AY111" i="50160" s="1"/>
  <c r="AZ111" i="50160"/>
  <c r="BA111" i="50160"/>
  <c r="BD111" i="50160"/>
  <c r="BE111" i="50160" s="1"/>
  <c r="BF111" i="50160"/>
  <c r="BG111" i="50160"/>
  <c r="BH111" i="50160" s="1"/>
  <c r="BI111" i="50160"/>
  <c r="BJ111" i="50160"/>
  <c r="V112" i="50160"/>
  <c r="W112" i="50160"/>
  <c r="AA112" i="50160"/>
  <c r="AB112" i="50160"/>
  <c r="AU112" i="50160"/>
  <c r="AV112" i="50160" s="1"/>
  <c r="AW112" i="50160"/>
  <c r="AX112" i="50160"/>
  <c r="AY112" i="50160" s="1"/>
  <c r="AZ112" i="50160"/>
  <c r="BA112" i="50160"/>
  <c r="BC112" i="50160" s="1"/>
  <c r="BB112" i="50160"/>
  <c r="BD112" i="50160"/>
  <c r="BF112" i="50160" s="1"/>
  <c r="BG112" i="50160"/>
  <c r="BH112" i="50160" s="1"/>
  <c r="BI112" i="50160"/>
  <c r="BJ112" i="50160"/>
  <c r="BK112" i="50160" s="1"/>
  <c r="V113" i="50160"/>
  <c r="W113" i="50160"/>
  <c r="AA113" i="50160"/>
  <c r="AB113" i="50160"/>
  <c r="AU113" i="50160"/>
  <c r="AV113" i="50160"/>
  <c r="AW113" i="50160"/>
  <c r="AX113" i="50160"/>
  <c r="AZ113" i="50160" s="1"/>
  <c r="BA113" i="50160"/>
  <c r="BD113" i="50160"/>
  <c r="BE113" i="50160" s="1"/>
  <c r="BG113" i="50160"/>
  <c r="BJ113" i="50160"/>
  <c r="BK113" i="50160" s="1"/>
  <c r="BL113" i="50160"/>
  <c r="V114" i="50160"/>
  <c r="W114" i="50160"/>
  <c r="AA114" i="50160"/>
  <c r="AB114" i="50160"/>
  <c r="AU114" i="50160"/>
  <c r="AV114" i="50160" s="1"/>
  <c r="AX114" i="50160"/>
  <c r="AY114" i="50160"/>
  <c r="AZ114" i="50160"/>
  <c r="BA114" i="50160"/>
  <c r="BD114" i="50160"/>
  <c r="BE114" i="50160" s="1"/>
  <c r="BF114" i="50160"/>
  <c r="BG114" i="50160"/>
  <c r="BH114" i="50160" s="1"/>
  <c r="BJ114" i="50160"/>
  <c r="BK114" i="50160" s="1"/>
  <c r="BL114" i="50160"/>
  <c r="V115" i="50160"/>
  <c r="W115" i="50160"/>
  <c r="AA115" i="50160"/>
  <c r="AB115" i="50160"/>
  <c r="AU115" i="50160"/>
  <c r="AX115" i="50160"/>
  <c r="BA115" i="50160"/>
  <c r="BB115" i="50160" s="1"/>
  <c r="BC115" i="50160"/>
  <c r="BD115" i="50160"/>
  <c r="BE115" i="50160" s="1"/>
  <c r="BG115" i="50160"/>
  <c r="BJ115" i="50160"/>
  <c r="BL115" i="50160" s="1"/>
  <c r="V116" i="50160"/>
  <c r="W116" i="50160"/>
  <c r="AA116" i="50160"/>
  <c r="AB116" i="50160"/>
  <c r="AU116" i="50160"/>
  <c r="AW116" i="50160" s="1"/>
  <c r="AX116" i="50160"/>
  <c r="AY116" i="50160" s="1"/>
  <c r="AZ116" i="50160"/>
  <c r="BA116" i="50160"/>
  <c r="BC116" i="50160" s="1"/>
  <c r="BB116" i="50160"/>
  <c r="BD116" i="50160"/>
  <c r="BF116" i="50160" s="1"/>
  <c r="BG116" i="50160"/>
  <c r="BJ116" i="50160"/>
  <c r="BK116" i="50160" s="1"/>
  <c r="V117" i="50160"/>
  <c r="W117" i="50160"/>
  <c r="AA117" i="50160"/>
  <c r="AB117" i="50160"/>
  <c r="AU117" i="50160"/>
  <c r="AV117" i="50160" s="1"/>
  <c r="AW117" i="50160"/>
  <c r="AX117" i="50160"/>
  <c r="BA117" i="50160"/>
  <c r="BB117" i="50160"/>
  <c r="BC117" i="50160"/>
  <c r="BD117" i="50160"/>
  <c r="BG117" i="50160"/>
  <c r="BJ117" i="50160"/>
  <c r="BL117" i="50160" s="1"/>
  <c r="V118" i="50160"/>
  <c r="W118" i="50160"/>
  <c r="AA118" i="50160"/>
  <c r="AB118" i="50160"/>
  <c r="AU118" i="50160"/>
  <c r="AX118" i="50160"/>
  <c r="AY118" i="50160" s="1"/>
  <c r="BA118" i="50160"/>
  <c r="BD118" i="50160"/>
  <c r="BE118" i="50160" s="1"/>
  <c r="BG118" i="50160"/>
  <c r="BH118" i="50160" s="1"/>
  <c r="BJ118" i="50160"/>
  <c r="BK118" i="50160" s="1"/>
  <c r="BL118" i="50160"/>
  <c r="V119" i="50160"/>
  <c r="W119" i="50160"/>
  <c r="AA119" i="50160"/>
  <c r="AB119" i="50160"/>
  <c r="AU119" i="50160"/>
  <c r="AX119" i="50160"/>
  <c r="BA119" i="50160"/>
  <c r="BB119" i="50160" s="1"/>
  <c r="BD119" i="50160"/>
  <c r="BE119" i="50160" s="1"/>
  <c r="BF119" i="50160"/>
  <c r="BG119" i="50160"/>
  <c r="BI119" i="50160" s="1"/>
  <c r="BJ119" i="50160"/>
  <c r="BL119" i="50160" s="1"/>
  <c r="BK119" i="50160"/>
  <c r="V120" i="50160"/>
  <c r="W120" i="50160"/>
  <c r="AA120" i="50160"/>
  <c r="AB120" i="50160"/>
  <c r="AU120" i="50160"/>
  <c r="AV120" i="50160" s="1"/>
  <c r="AX120" i="50160"/>
  <c r="AY120" i="50160" s="1"/>
  <c r="AZ120" i="50160"/>
  <c r="BA120" i="50160"/>
  <c r="BB120" i="50160" s="1"/>
  <c r="BD120" i="50160"/>
  <c r="BF120" i="50160" s="1"/>
  <c r="BG120" i="50160"/>
  <c r="BH120" i="50160"/>
  <c r="BI120" i="50160"/>
  <c r="BJ120" i="50160"/>
  <c r="BK120" i="50160" s="1"/>
  <c r="V121" i="50160"/>
  <c r="W121" i="50160"/>
  <c r="AA121" i="50160"/>
  <c r="AB121" i="50160"/>
  <c r="AU121" i="50160"/>
  <c r="AW121" i="50160" s="1"/>
  <c r="AX121" i="50160"/>
  <c r="AZ121" i="50160" s="1"/>
  <c r="BA121" i="50160"/>
  <c r="BB121" i="50160"/>
  <c r="BC121" i="50160"/>
  <c r="BD121" i="50160"/>
  <c r="BF121" i="50160" s="1"/>
  <c r="BG121" i="50160"/>
  <c r="BJ121" i="50160"/>
  <c r="BK121" i="50160" s="1"/>
  <c r="BL121" i="50160"/>
  <c r="V122" i="50160"/>
  <c r="W122" i="50160"/>
  <c r="AA122" i="50160"/>
  <c r="AB122" i="50160"/>
  <c r="AU122" i="50160"/>
  <c r="AV122" i="50160" s="1"/>
  <c r="AX122" i="50160"/>
  <c r="AY122" i="50160" s="1"/>
  <c r="BA122" i="50160"/>
  <c r="BB122" i="50160" s="1"/>
  <c r="BD122" i="50160"/>
  <c r="BE122" i="50160" s="1"/>
  <c r="BG122" i="50160"/>
  <c r="BJ122" i="50160"/>
  <c r="BK122" i="50160" s="1"/>
  <c r="BL122" i="50160"/>
  <c r="V123" i="50160"/>
  <c r="W123" i="50160"/>
  <c r="AA123" i="50160"/>
  <c r="AB123" i="50160"/>
  <c r="AU123" i="50160"/>
  <c r="AV123" i="50160" s="1"/>
  <c r="AX123" i="50160"/>
  <c r="AY123" i="50160" s="1"/>
  <c r="AZ123" i="50160"/>
  <c r="BA123" i="50160"/>
  <c r="BD123" i="50160"/>
  <c r="BE123" i="50160" s="1"/>
  <c r="BG123" i="50160"/>
  <c r="BI123" i="50160" s="1"/>
  <c r="BH123" i="50160"/>
  <c r="BJ123" i="50160"/>
  <c r="BL123" i="50160" s="1"/>
  <c r="V124" i="50160"/>
  <c r="W124" i="50160"/>
  <c r="AA124" i="50160"/>
  <c r="AB124" i="50160"/>
  <c r="AU124" i="50160"/>
  <c r="AX124" i="50160"/>
  <c r="AY124" i="50160" s="1"/>
  <c r="BA124" i="50160"/>
  <c r="BB124" i="50160"/>
  <c r="BC124" i="50160"/>
  <c r="BD124" i="50160"/>
  <c r="BF124" i="50160" s="1"/>
  <c r="BG124" i="50160"/>
  <c r="BI124" i="50160" s="1"/>
  <c r="BH124" i="50160"/>
  <c r="BJ124" i="50160"/>
  <c r="BK124" i="50160" s="1"/>
  <c r="V125" i="50160"/>
  <c r="W125" i="50160"/>
  <c r="AA125" i="50160"/>
  <c r="AB125" i="50160"/>
  <c r="AU125" i="50160"/>
  <c r="AW125" i="50160" s="1"/>
  <c r="AV125" i="50160"/>
  <c r="AX125" i="50160"/>
  <c r="AZ125" i="50160" s="1"/>
  <c r="BA125" i="50160"/>
  <c r="BC125" i="50160" s="1"/>
  <c r="BB125" i="50160"/>
  <c r="BD125" i="50160"/>
  <c r="BF125" i="50160" s="1"/>
  <c r="BG125" i="50160"/>
  <c r="BH125" i="50160" s="1"/>
  <c r="BJ125" i="50160"/>
  <c r="BK125" i="50160" s="1"/>
  <c r="V126" i="50160"/>
  <c r="W126" i="50160"/>
  <c r="AA126" i="50160"/>
  <c r="AB126" i="50160"/>
  <c r="AU126" i="50160"/>
  <c r="AW126" i="50160" s="1"/>
  <c r="AV126" i="50160"/>
  <c r="AX126" i="50160"/>
  <c r="AY126" i="50160" s="1"/>
  <c r="BA126" i="50160"/>
  <c r="BB126" i="50160" s="1"/>
  <c r="BD126" i="50160"/>
  <c r="BE126" i="50160" s="1"/>
  <c r="BG126" i="50160"/>
  <c r="BJ126" i="50160"/>
  <c r="BK126" i="50160" s="1"/>
  <c r="V127" i="50160"/>
  <c r="W127" i="50160"/>
  <c r="AA127" i="50160"/>
  <c r="AB127" i="50160"/>
  <c r="AU127" i="50160"/>
  <c r="AV127" i="50160" s="1"/>
  <c r="AX127" i="50160"/>
  <c r="AY127" i="50160" s="1"/>
  <c r="AZ127" i="50160"/>
  <c r="BA127" i="50160"/>
  <c r="BD127" i="50160"/>
  <c r="BE127" i="50160" s="1"/>
  <c r="BF127" i="50160"/>
  <c r="BG127" i="50160"/>
  <c r="BH127" i="50160" s="1"/>
  <c r="BJ127" i="50160"/>
  <c r="BL127" i="50160" s="1"/>
  <c r="V128" i="50160"/>
  <c r="W128" i="50160"/>
  <c r="AA128" i="50160"/>
  <c r="AB128" i="50160"/>
  <c r="AU128" i="50160"/>
  <c r="AX128" i="50160"/>
  <c r="AY128" i="50160" s="1"/>
  <c r="BA128" i="50160"/>
  <c r="BC128" i="50160" s="1"/>
  <c r="BB128" i="50160"/>
  <c r="BD128" i="50160"/>
  <c r="BF128" i="50160" s="1"/>
  <c r="BG128" i="50160"/>
  <c r="BI128" i="50160" s="1"/>
  <c r="BH128" i="50160"/>
  <c r="BJ128" i="50160"/>
  <c r="BL128" i="50160" s="1"/>
  <c r="V129" i="50160"/>
  <c r="W129" i="50160"/>
  <c r="AA129" i="50160"/>
  <c r="AB129" i="50160"/>
  <c r="AU129" i="50160"/>
  <c r="AV129" i="50160" s="1"/>
  <c r="AX129" i="50160"/>
  <c r="AZ129" i="50160" s="1"/>
  <c r="BA129" i="50160"/>
  <c r="BC129" i="50160" s="1"/>
  <c r="BD129" i="50160"/>
  <c r="BE129" i="50160"/>
  <c r="BF129" i="50160"/>
  <c r="BG129" i="50160"/>
  <c r="BH129" i="50160" s="1"/>
  <c r="BJ129" i="50160"/>
  <c r="BK129" i="50160" s="1"/>
  <c r="BL129" i="50160"/>
  <c r="V130" i="50160"/>
  <c r="W130" i="50160"/>
  <c r="AA130" i="50160"/>
  <c r="AB130" i="50160"/>
  <c r="AU130" i="50160"/>
  <c r="AW130" i="50160" s="1"/>
  <c r="AX130" i="50160"/>
  <c r="AY130" i="50160"/>
  <c r="AZ130" i="50160"/>
  <c r="BA130" i="50160"/>
  <c r="BB130" i="50160" s="1"/>
  <c r="BD130" i="50160"/>
  <c r="BE130" i="50160" s="1"/>
  <c r="BF130" i="50160"/>
  <c r="BG130" i="50160"/>
  <c r="BJ130" i="50160"/>
  <c r="BK130" i="50160" s="1"/>
  <c r="V131" i="50160"/>
  <c r="W131" i="50160"/>
  <c r="AA131" i="50160"/>
  <c r="AB131" i="50160"/>
  <c r="AU131" i="50160"/>
  <c r="AV131" i="50160" s="1"/>
  <c r="AX131" i="50160"/>
  <c r="AY131" i="50160" s="1"/>
  <c r="BA131" i="50160"/>
  <c r="BD131" i="50160"/>
  <c r="BE131" i="50160" s="1"/>
  <c r="BF131" i="50160"/>
  <c r="BG131" i="50160"/>
  <c r="BH131" i="50160" s="1"/>
  <c r="BI131" i="50160"/>
  <c r="BJ131" i="50160"/>
  <c r="BL131" i="50160" s="1"/>
  <c r="V132" i="50160"/>
  <c r="W132" i="50160"/>
  <c r="AA132" i="50160"/>
  <c r="AB132" i="50160"/>
  <c r="AU132" i="50160"/>
  <c r="AX132" i="50160"/>
  <c r="AY132" i="50160" s="1"/>
  <c r="AZ132" i="50160"/>
  <c r="BA132" i="50160"/>
  <c r="BB132" i="50160" s="1"/>
  <c r="BD132" i="50160"/>
  <c r="BF132" i="50160" s="1"/>
  <c r="BG132" i="50160"/>
  <c r="BI132" i="50160" s="1"/>
  <c r="BJ132" i="50160"/>
  <c r="BK132" i="50160"/>
  <c r="BL132" i="50160"/>
  <c r="V133" i="50160"/>
  <c r="W133" i="50160"/>
  <c r="AA133" i="50160"/>
  <c r="AB133" i="50160"/>
  <c r="AU133" i="50160"/>
  <c r="AV133" i="50160" s="1"/>
  <c r="AW133" i="50160"/>
  <c r="AX133" i="50160"/>
  <c r="AZ133" i="50160" s="1"/>
  <c r="BA133" i="50160"/>
  <c r="BC133" i="50160" s="1"/>
  <c r="BD133" i="50160"/>
  <c r="BF133" i="50160" s="1"/>
  <c r="BE133" i="50160"/>
  <c r="BG133" i="50160"/>
  <c r="BH133" i="50160" s="1"/>
  <c r="BJ133" i="50160"/>
  <c r="BK133" i="50160" s="1"/>
  <c r="BL133" i="50160"/>
  <c r="V134" i="50160"/>
  <c r="W134" i="50160"/>
  <c r="AA134" i="50160"/>
  <c r="AB134" i="50160"/>
  <c r="AU134" i="50160"/>
  <c r="AW134" i="50160" s="1"/>
  <c r="AX134" i="50160"/>
  <c r="AZ134" i="50160" s="1"/>
  <c r="AY134" i="50160"/>
  <c r="BA134" i="50160"/>
  <c r="BB134" i="50160" s="1"/>
  <c r="BD134" i="50160"/>
  <c r="BE134" i="50160" s="1"/>
  <c r="BF134" i="50160"/>
  <c r="BG134" i="50160"/>
  <c r="BJ134" i="50160"/>
  <c r="BK134" i="50160" s="1"/>
  <c r="BL134" i="50160"/>
  <c r="V135" i="50160"/>
  <c r="W135" i="50160"/>
  <c r="AA135" i="50160"/>
  <c r="AB135" i="50160"/>
  <c r="AU135" i="50160"/>
  <c r="AV135" i="50160" s="1"/>
  <c r="AX135" i="50160"/>
  <c r="AY135" i="50160" s="1"/>
  <c r="BA135" i="50160"/>
  <c r="BD135" i="50160"/>
  <c r="BE135" i="50160" s="1"/>
  <c r="BG135" i="50160"/>
  <c r="BH135" i="50160"/>
  <c r="BI135" i="50160"/>
  <c r="BJ135" i="50160"/>
  <c r="BL135" i="50160" s="1"/>
  <c r="V136" i="50160"/>
  <c r="W136" i="50160"/>
  <c r="AA136" i="50160"/>
  <c r="AB136" i="50160"/>
  <c r="AU136" i="50160"/>
  <c r="AX136" i="50160"/>
  <c r="AY136" i="50160" s="1"/>
  <c r="AZ136" i="50160"/>
  <c r="BA136" i="50160"/>
  <c r="BB136" i="50160" s="1"/>
  <c r="BC136" i="50160"/>
  <c r="BD136" i="50160"/>
  <c r="BF136" i="50160" s="1"/>
  <c r="BG136" i="50160"/>
  <c r="BI136" i="50160" s="1"/>
  <c r="BJ136" i="50160"/>
  <c r="BL136" i="50160" s="1"/>
  <c r="BK136" i="50160"/>
  <c r="V137" i="50160"/>
  <c r="W137" i="50160"/>
  <c r="AA137" i="50160"/>
  <c r="AB137" i="50160"/>
  <c r="AU137" i="50160"/>
  <c r="AV137" i="50160"/>
  <c r="AW137" i="50160"/>
  <c r="AX137" i="50160"/>
  <c r="AZ137" i="50160" s="1"/>
  <c r="BA137" i="50160"/>
  <c r="BC137" i="50160" s="1"/>
  <c r="BB137" i="50160"/>
  <c r="BD137" i="50160"/>
  <c r="BE137" i="50160" s="1"/>
  <c r="BG137" i="50160"/>
  <c r="BH137" i="50160" s="1"/>
  <c r="BJ137" i="50160"/>
  <c r="BK137" i="50160" s="1"/>
  <c r="V138" i="50160"/>
  <c r="W138" i="50160"/>
  <c r="AA138" i="50160"/>
  <c r="AB138" i="50160"/>
  <c r="AU138" i="50160"/>
  <c r="AW138" i="50160" s="1"/>
  <c r="AV138" i="50160"/>
  <c r="AX138" i="50160"/>
  <c r="AY138" i="50160" s="1"/>
  <c r="BA138" i="50160"/>
  <c r="BB138" i="50160" s="1"/>
  <c r="BD138" i="50160"/>
  <c r="BE138" i="50160" s="1"/>
  <c r="BG138" i="50160"/>
  <c r="BJ138" i="50160"/>
  <c r="BK138" i="50160" s="1"/>
  <c r="BL138" i="50160"/>
  <c r="V139" i="50160"/>
  <c r="W139" i="50160"/>
  <c r="AA139" i="50160"/>
  <c r="AB139" i="50160"/>
  <c r="AU139" i="50160"/>
  <c r="AV139" i="50160" s="1"/>
  <c r="AX139" i="50160"/>
  <c r="AY139" i="50160" s="1"/>
  <c r="AZ139" i="50160"/>
  <c r="BA139" i="50160"/>
  <c r="BD139" i="50160"/>
  <c r="BE139" i="50160" s="1"/>
  <c r="BG139" i="50160"/>
  <c r="BI139" i="50160" s="1"/>
  <c r="BH139" i="50160"/>
  <c r="BJ139" i="50160"/>
  <c r="BL139" i="50160" s="1"/>
  <c r="V140" i="50160"/>
  <c r="W140" i="50160"/>
  <c r="AA140" i="50160"/>
  <c r="AB140" i="50160"/>
  <c r="AU140" i="50160"/>
  <c r="AX140" i="50160"/>
  <c r="AY140" i="50160" s="1"/>
  <c r="BA140" i="50160"/>
  <c r="BB140" i="50160"/>
  <c r="BC140" i="50160"/>
  <c r="BD140" i="50160"/>
  <c r="BF140" i="50160" s="1"/>
  <c r="BG140" i="50160"/>
  <c r="BI140" i="50160" s="1"/>
  <c r="BH140" i="50160"/>
  <c r="BJ140" i="50160"/>
  <c r="BK140" i="50160" s="1"/>
  <c r="V141" i="50160"/>
  <c r="W141" i="50160"/>
  <c r="AA141" i="50160"/>
  <c r="AB141" i="50160"/>
  <c r="AU141" i="50160"/>
  <c r="AW141" i="50160" s="1"/>
  <c r="AV141" i="50160"/>
  <c r="AX141" i="50160"/>
  <c r="AZ141" i="50160" s="1"/>
  <c r="BA141" i="50160"/>
  <c r="BC141" i="50160" s="1"/>
  <c r="BB141" i="50160"/>
  <c r="BD141" i="50160"/>
  <c r="BE141" i="50160" s="1"/>
  <c r="BF141" i="50160"/>
  <c r="BG141" i="50160"/>
  <c r="BH141" i="50160" s="1"/>
  <c r="BJ141" i="50160"/>
  <c r="BK141" i="50160" s="1"/>
  <c r="V142" i="50160"/>
  <c r="W142" i="50160"/>
  <c r="AA142" i="50160"/>
  <c r="AB142" i="50160"/>
  <c r="A143" i="50160"/>
  <c r="D143" i="50160"/>
  <c r="E143" i="50160"/>
  <c r="F143" i="50160"/>
  <c r="G143" i="50160"/>
  <c r="H143" i="50160"/>
  <c r="I143" i="50160"/>
  <c r="J143" i="50160"/>
  <c r="K143" i="50160"/>
  <c r="L143" i="50160"/>
  <c r="M143" i="50160"/>
  <c r="N143" i="50160"/>
  <c r="O143" i="50160"/>
  <c r="P143" i="50160"/>
  <c r="Q143" i="50160"/>
  <c r="V143" i="50160"/>
  <c r="W143" i="50160"/>
  <c r="AA143" i="50160"/>
  <c r="AB143" i="50160"/>
  <c r="A144" i="50160"/>
  <c r="D144" i="50160"/>
  <c r="F144" i="50160"/>
  <c r="G144" i="50160"/>
  <c r="H144" i="50160"/>
  <c r="I144" i="50160"/>
  <c r="J144" i="50160"/>
  <c r="L144" i="50160"/>
  <c r="M144" i="50160"/>
  <c r="N144" i="50160"/>
  <c r="O144" i="50160"/>
  <c r="P144" i="50160"/>
  <c r="Q144" i="50160"/>
  <c r="R144" i="50160"/>
  <c r="V144" i="50160"/>
  <c r="W144" i="50160"/>
  <c r="AA144" i="50160"/>
  <c r="AB144" i="50160"/>
  <c r="A145" i="50160"/>
  <c r="D145" i="50160"/>
  <c r="E145" i="50160"/>
  <c r="F145" i="50160"/>
  <c r="G145" i="50160"/>
  <c r="H145" i="50160"/>
  <c r="I145" i="50160"/>
  <c r="J145" i="50160"/>
  <c r="K145" i="50160"/>
  <c r="L145" i="50160"/>
  <c r="M145" i="50160"/>
  <c r="N145" i="50160"/>
  <c r="P145" i="50160"/>
  <c r="Q145" i="50160"/>
  <c r="R145" i="50160"/>
  <c r="V145" i="50160"/>
  <c r="W145" i="50160"/>
  <c r="AA145" i="50160"/>
  <c r="AB145" i="50160"/>
  <c r="A146" i="50160"/>
  <c r="D146" i="50160"/>
  <c r="E146" i="50160"/>
  <c r="F146" i="50160"/>
  <c r="G146" i="50160"/>
  <c r="I146" i="50160"/>
  <c r="J146" i="50160"/>
  <c r="K146" i="50160"/>
  <c r="L146" i="50160"/>
  <c r="M146" i="50160"/>
  <c r="N146" i="50160"/>
  <c r="O146" i="50160"/>
  <c r="P146" i="50160"/>
  <c r="Q146" i="50160"/>
  <c r="R146" i="50160"/>
  <c r="V146" i="50160"/>
  <c r="W146" i="50160"/>
  <c r="AA146" i="50160"/>
  <c r="AB146" i="50160"/>
  <c r="A147" i="50160"/>
  <c r="D147" i="50160"/>
  <c r="E147" i="50160"/>
  <c r="F147" i="50160"/>
  <c r="G147" i="50160"/>
  <c r="H147" i="50160"/>
  <c r="I147" i="50160"/>
  <c r="J147" i="50160"/>
  <c r="K147" i="50160"/>
  <c r="M147" i="50160"/>
  <c r="N147" i="50160"/>
  <c r="O147" i="50160"/>
  <c r="P147" i="50160"/>
  <c r="Q147" i="50160"/>
  <c r="R147" i="50160"/>
  <c r="V147" i="50160"/>
  <c r="W147" i="50160"/>
  <c r="AA147" i="50160"/>
  <c r="AB147" i="50160"/>
  <c r="A148" i="50160"/>
  <c r="D148" i="50160"/>
  <c r="E148" i="50160"/>
  <c r="F148" i="50160"/>
  <c r="G148" i="50160"/>
  <c r="H148" i="50160"/>
  <c r="I148" i="50160"/>
  <c r="J148" i="50160"/>
  <c r="K148" i="50160"/>
  <c r="L148" i="50160"/>
  <c r="M148" i="50160"/>
  <c r="N148" i="50160"/>
  <c r="O148" i="50160"/>
  <c r="P148" i="50160"/>
  <c r="R148" i="50160"/>
  <c r="V148" i="50160"/>
  <c r="W148" i="50160"/>
  <c r="AA148" i="50160"/>
  <c r="AB148" i="50160"/>
  <c r="A149" i="50160"/>
  <c r="D149" i="50160"/>
  <c r="E149" i="50160"/>
  <c r="F149" i="50160"/>
  <c r="G149" i="50160"/>
  <c r="H149" i="50160"/>
  <c r="J149" i="50160"/>
  <c r="K149" i="50160"/>
  <c r="L149" i="50160"/>
  <c r="M149" i="50160"/>
  <c r="N149" i="50160"/>
  <c r="O149" i="50160"/>
  <c r="P149" i="50160"/>
  <c r="Q149" i="50160"/>
  <c r="R149" i="50160"/>
  <c r="V149" i="50160"/>
  <c r="W149" i="50160"/>
  <c r="AA149" i="50160"/>
  <c r="AB149" i="50160"/>
  <c r="A150" i="50160"/>
  <c r="D150" i="50160"/>
  <c r="E150" i="50160"/>
  <c r="F150" i="50160"/>
  <c r="G150" i="50160"/>
  <c r="H150" i="50160"/>
  <c r="I150" i="50160"/>
  <c r="J150" i="50160"/>
  <c r="K150" i="50160"/>
  <c r="L150" i="50160"/>
  <c r="M150" i="50160"/>
  <c r="O150" i="50160"/>
  <c r="P150" i="50160"/>
  <c r="Q150" i="50160"/>
  <c r="R150" i="50160"/>
  <c r="V150" i="50160"/>
  <c r="W150" i="50160"/>
  <c r="AA150" i="50160"/>
  <c r="AB150" i="50160"/>
  <c r="A151" i="50160"/>
  <c r="D151" i="50160"/>
  <c r="E151" i="50160"/>
  <c r="F151" i="50160"/>
  <c r="G151" i="50160"/>
  <c r="H151" i="50160"/>
  <c r="I151" i="50160"/>
  <c r="J151" i="50160"/>
  <c r="K151" i="50160"/>
  <c r="L151" i="50160"/>
  <c r="M151" i="50160"/>
  <c r="N151" i="50160"/>
  <c r="O151" i="50160"/>
  <c r="P151" i="50160"/>
  <c r="Q151" i="50160"/>
  <c r="V151" i="50160"/>
  <c r="W151" i="50160"/>
  <c r="AA151" i="50160"/>
  <c r="AB151" i="50160"/>
  <c r="A152" i="50160"/>
  <c r="D152" i="50160"/>
  <c r="E152" i="50160"/>
  <c r="F152" i="50160"/>
  <c r="G152" i="50160"/>
  <c r="H152" i="50160"/>
  <c r="I152" i="50160"/>
  <c r="J152" i="50160"/>
  <c r="L152" i="50160"/>
  <c r="M152" i="50160"/>
  <c r="N152" i="50160"/>
  <c r="O152" i="50160"/>
  <c r="P152" i="50160"/>
  <c r="Q152" i="50160"/>
  <c r="R152" i="50160"/>
  <c r="V152" i="50160"/>
  <c r="W152" i="50160"/>
  <c r="AA152" i="50160"/>
  <c r="AB152" i="50160"/>
  <c r="A153" i="50160"/>
  <c r="D153" i="50160"/>
  <c r="E153" i="50160"/>
  <c r="F153" i="50160"/>
  <c r="G153" i="50160"/>
  <c r="H153" i="50160"/>
  <c r="I153" i="50160"/>
  <c r="J153" i="50160"/>
  <c r="K153" i="50160"/>
  <c r="L153" i="50160"/>
  <c r="M153" i="50160"/>
  <c r="N153" i="50160"/>
  <c r="P153" i="50160"/>
  <c r="Q153" i="50160"/>
  <c r="R153" i="50160"/>
  <c r="V153" i="50160"/>
  <c r="W153" i="50160"/>
  <c r="AA153" i="50160"/>
  <c r="AB153" i="50160"/>
  <c r="A154" i="50160"/>
  <c r="D154" i="50160"/>
  <c r="E154" i="50160"/>
  <c r="F154" i="50160"/>
  <c r="G154" i="50160"/>
  <c r="I154" i="50160"/>
  <c r="J154" i="50160"/>
  <c r="K154" i="50160"/>
  <c r="L154" i="50160"/>
  <c r="M154" i="50160"/>
  <c r="N154" i="50160"/>
  <c r="O154" i="50160"/>
  <c r="P154" i="50160"/>
  <c r="Q154" i="50160"/>
  <c r="R154" i="50160"/>
  <c r="V154" i="50160"/>
  <c r="W154" i="50160"/>
  <c r="AA154" i="50160"/>
  <c r="AB154" i="50160"/>
  <c r="A155" i="50160"/>
  <c r="D155" i="50160"/>
  <c r="E155" i="50160"/>
  <c r="F155" i="50160"/>
  <c r="G155" i="50160"/>
  <c r="H155" i="50160"/>
  <c r="I155" i="50160"/>
  <c r="J155" i="50160"/>
  <c r="K155" i="50160"/>
  <c r="M155" i="50160"/>
  <c r="N155" i="50160"/>
  <c r="O155" i="50160"/>
  <c r="P155" i="50160"/>
  <c r="Q155" i="50160"/>
  <c r="R155" i="50160"/>
  <c r="V155" i="50160"/>
  <c r="W155" i="50160"/>
  <c r="AA155" i="50160"/>
  <c r="AB155" i="50160"/>
  <c r="A156" i="50160"/>
  <c r="D156" i="50160"/>
  <c r="E156" i="50160"/>
  <c r="F156" i="50160"/>
  <c r="G156" i="50160"/>
  <c r="H156" i="50160"/>
  <c r="I156" i="50160"/>
  <c r="J156" i="50160"/>
  <c r="K156" i="50160"/>
  <c r="L156" i="50160"/>
  <c r="M156" i="50160"/>
  <c r="N156" i="50160"/>
  <c r="O156" i="50160"/>
  <c r="P156" i="50160"/>
  <c r="R156" i="50160"/>
  <c r="V156" i="50160"/>
  <c r="W156" i="50160"/>
  <c r="AA156" i="50160"/>
  <c r="AB156" i="50160"/>
  <c r="A157" i="50160"/>
  <c r="D157" i="50160"/>
  <c r="E157" i="50160"/>
  <c r="F157" i="50160"/>
  <c r="G157" i="50160"/>
  <c r="H157" i="50160"/>
  <c r="J157" i="50160"/>
  <c r="K157" i="50160"/>
  <c r="L157" i="50160"/>
  <c r="M157" i="50160"/>
  <c r="N157" i="50160"/>
  <c r="O157" i="50160"/>
  <c r="P157" i="50160"/>
  <c r="Q157" i="50160"/>
  <c r="R157" i="50160"/>
  <c r="V157" i="50160"/>
  <c r="W157" i="50160"/>
  <c r="AA157" i="50160"/>
  <c r="AB157" i="50160"/>
  <c r="A158" i="50160"/>
  <c r="D158" i="50160"/>
  <c r="E158" i="50160"/>
  <c r="F158" i="50160"/>
  <c r="G158" i="50160"/>
  <c r="H158" i="50160"/>
  <c r="I158" i="50160"/>
  <c r="J158" i="50160"/>
  <c r="K158" i="50160"/>
  <c r="L158" i="50160"/>
  <c r="M158" i="50160"/>
  <c r="O158" i="50160"/>
  <c r="P158" i="50160"/>
  <c r="Q158" i="50160"/>
  <c r="R158" i="50160"/>
  <c r="V158" i="50160"/>
  <c r="W158" i="50160"/>
  <c r="AA158" i="50160"/>
  <c r="AB158" i="50160"/>
  <c r="A159" i="50160"/>
  <c r="D159" i="50160"/>
  <c r="E159" i="50160"/>
  <c r="F159" i="50160"/>
  <c r="G159" i="50160"/>
  <c r="H159" i="50160"/>
  <c r="I159" i="50160"/>
  <c r="J159" i="50160"/>
  <c r="K159" i="50160"/>
  <c r="L159" i="50160"/>
  <c r="M159" i="50160"/>
  <c r="N159" i="50160"/>
  <c r="O159" i="50160"/>
  <c r="P159" i="50160"/>
  <c r="Q159" i="50160"/>
  <c r="V159" i="50160"/>
  <c r="W159" i="50160"/>
  <c r="AA159" i="50160"/>
  <c r="AB159" i="50160"/>
  <c r="A160" i="50160"/>
  <c r="D160" i="50160"/>
  <c r="E160" i="50160"/>
  <c r="F160" i="50160"/>
  <c r="G160" i="50160"/>
  <c r="H160" i="50160"/>
  <c r="I160" i="50160"/>
  <c r="J160" i="50160"/>
  <c r="L160" i="50160"/>
  <c r="M160" i="50160"/>
  <c r="N160" i="50160"/>
  <c r="O160" i="50160"/>
  <c r="P160" i="50160"/>
  <c r="Q160" i="50160"/>
  <c r="R160" i="50160"/>
  <c r="V160" i="50160"/>
  <c r="W160" i="50160"/>
  <c r="AA160" i="50160"/>
  <c r="AB160" i="50160"/>
  <c r="A161" i="50160"/>
  <c r="D161" i="50160"/>
  <c r="E161" i="50160"/>
  <c r="F161" i="50160"/>
  <c r="G161" i="50160"/>
  <c r="H161" i="50160"/>
  <c r="I161" i="50160"/>
  <c r="J161" i="50160"/>
  <c r="K161" i="50160"/>
  <c r="L161" i="50160"/>
  <c r="M161" i="50160"/>
  <c r="N161" i="50160"/>
  <c r="P161" i="50160"/>
  <c r="Q161" i="50160"/>
  <c r="R161" i="50160"/>
  <c r="V161" i="50160"/>
  <c r="W161" i="50160"/>
  <c r="AA161" i="50160"/>
  <c r="AB161" i="50160"/>
  <c r="A162" i="50160"/>
  <c r="D162" i="50160"/>
  <c r="E162" i="50160"/>
  <c r="F162" i="50160"/>
  <c r="G162" i="50160"/>
  <c r="I162" i="50160"/>
  <c r="J162" i="50160"/>
  <c r="K162" i="50160"/>
  <c r="L162" i="50160"/>
  <c r="M162" i="50160"/>
  <c r="N162" i="50160"/>
  <c r="O162" i="50160"/>
  <c r="P162" i="50160"/>
  <c r="Q162" i="50160"/>
  <c r="R162" i="50160"/>
  <c r="V162" i="50160"/>
  <c r="W162" i="50160"/>
  <c r="AA162" i="50160"/>
  <c r="AB162" i="50160"/>
  <c r="A163" i="50160"/>
  <c r="D163" i="50160"/>
  <c r="E163" i="50160"/>
  <c r="F163" i="50160"/>
  <c r="G163" i="50160"/>
  <c r="H163" i="50160"/>
  <c r="I163" i="50160"/>
  <c r="J163" i="50160"/>
  <c r="K163" i="50160"/>
  <c r="M163" i="50160"/>
  <c r="N163" i="50160"/>
  <c r="O163" i="50160"/>
  <c r="P163" i="50160"/>
  <c r="Q163" i="50160"/>
  <c r="R163" i="50160"/>
  <c r="V163" i="50160"/>
  <c r="W163" i="50160"/>
  <c r="AA163" i="50160"/>
  <c r="AB163" i="50160"/>
  <c r="A164" i="50160"/>
  <c r="D164" i="50160"/>
  <c r="E164" i="50160"/>
  <c r="F164" i="50160"/>
  <c r="G164" i="50160"/>
  <c r="H164" i="50160"/>
  <c r="I164" i="50160"/>
  <c r="J164" i="50160"/>
  <c r="K164" i="50160"/>
  <c r="L164" i="50160"/>
  <c r="M164" i="50160"/>
  <c r="N164" i="50160"/>
  <c r="O164" i="50160"/>
  <c r="P164" i="50160"/>
  <c r="R164" i="50160"/>
  <c r="V164" i="50160"/>
  <c r="W164" i="50160"/>
  <c r="AA164" i="50160"/>
  <c r="AB164" i="50160"/>
  <c r="A165" i="50160"/>
  <c r="D165" i="50160"/>
  <c r="E165" i="50160"/>
  <c r="F165" i="50160"/>
  <c r="G165" i="50160"/>
  <c r="H165" i="50160"/>
  <c r="J165" i="50160"/>
  <c r="K165" i="50160"/>
  <c r="L165" i="50160"/>
  <c r="M165" i="50160"/>
  <c r="N165" i="50160"/>
  <c r="O165" i="50160"/>
  <c r="P165" i="50160"/>
  <c r="Q165" i="50160"/>
  <c r="R165" i="50160"/>
  <c r="V165" i="50160"/>
  <c r="W165" i="50160"/>
  <c r="AA165" i="50160"/>
  <c r="AB165" i="50160"/>
  <c r="A166" i="50160"/>
  <c r="D166" i="50160"/>
  <c r="E166" i="50160"/>
  <c r="F166" i="50160"/>
  <c r="G166" i="50160"/>
  <c r="H166" i="50160"/>
  <c r="I166" i="50160"/>
  <c r="J166" i="50160"/>
  <c r="K166" i="50160"/>
  <c r="L166" i="50160"/>
  <c r="M166" i="50160"/>
  <c r="O166" i="50160"/>
  <c r="P166" i="50160"/>
  <c r="Q166" i="50160"/>
  <c r="R166" i="50160"/>
  <c r="V166" i="50160"/>
  <c r="W166" i="50160"/>
  <c r="AA166" i="50160"/>
  <c r="AB166" i="50160"/>
  <c r="A167" i="50160"/>
  <c r="D167" i="50160"/>
  <c r="E167" i="50160"/>
  <c r="F167" i="50160"/>
  <c r="G167" i="50160"/>
  <c r="H167" i="50160"/>
  <c r="I167" i="50160"/>
  <c r="J167" i="50160"/>
  <c r="K167" i="50160"/>
  <c r="L167" i="50160"/>
  <c r="M167" i="50160"/>
  <c r="N167" i="50160"/>
  <c r="O167" i="50160"/>
  <c r="P167" i="50160"/>
  <c r="Q167" i="50160"/>
  <c r="V167" i="50160"/>
  <c r="W167" i="50160"/>
  <c r="AA167" i="50160"/>
  <c r="AB167" i="50160"/>
  <c r="A168" i="50160"/>
  <c r="D168" i="50160"/>
  <c r="E168" i="50160"/>
  <c r="F168" i="50160"/>
  <c r="G168" i="50160"/>
  <c r="H168" i="50160"/>
  <c r="I168" i="50160"/>
  <c r="J168" i="50160"/>
  <c r="L168" i="50160"/>
  <c r="M168" i="50160"/>
  <c r="N168" i="50160"/>
  <c r="O168" i="50160"/>
  <c r="P168" i="50160"/>
  <c r="Q168" i="50160"/>
  <c r="R168" i="50160"/>
  <c r="V168" i="50160"/>
  <c r="W168" i="50160"/>
  <c r="AA168" i="50160"/>
  <c r="AB168" i="50160"/>
  <c r="A169" i="50160"/>
  <c r="D169" i="50160"/>
  <c r="E169" i="50160"/>
  <c r="G169" i="50160"/>
  <c r="H169" i="50160"/>
  <c r="I169" i="50160"/>
  <c r="J169" i="50160"/>
  <c r="K169" i="50160"/>
  <c r="L169" i="50160"/>
  <c r="M169" i="50160"/>
  <c r="N169" i="50160"/>
  <c r="P169" i="50160"/>
  <c r="Q169" i="50160"/>
  <c r="R169" i="50160"/>
  <c r="V169" i="50160"/>
  <c r="W169" i="50160"/>
  <c r="AA169" i="50160"/>
  <c r="AB169" i="50160"/>
  <c r="A170" i="50160"/>
  <c r="D170" i="50160"/>
  <c r="E170" i="50160"/>
  <c r="F170" i="50160"/>
  <c r="G170" i="50160"/>
  <c r="I170" i="50160"/>
  <c r="J170" i="50160"/>
  <c r="K170" i="50160"/>
  <c r="L170" i="50160"/>
  <c r="M170" i="50160"/>
  <c r="N170" i="50160"/>
  <c r="O170" i="50160"/>
  <c r="P170" i="50160"/>
  <c r="Q170" i="50160"/>
  <c r="R170" i="50160"/>
  <c r="V170" i="50160"/>
  <c r="W170" i="50160"/>
  <c r="AA170" i="50160"/>
  <c r="AB170" i="50160"/>
  <c r="A171" i="50160"/>
  <c r="D171" i="50160"/>
  <c r="E171" i="50160"/>
  <c r="F171" i="50160"/>
  <c r="G171" i="50160"/>
  <c r="H171" i="50160"/>
  <c r="I171" i="50160"/>
  <c r="J171" i="50160"/>
  <c r="K171" i="50160"/>
  <c r="M171" i="50160"/>
  <c r="N171" i="50160"/>
  <c r="O171" i="50160"/>
  <c r="P171" i="50160"/>
  <c r="Q171" i="50160"/>
  <c r="R171" i="50160"/>
  <c r="V171" i="50160"/>
  <c r="W171" i="50160"/>
  <c r="AA171" i="50160"/>
  <c r="AB171" i="50160"/>
  <c r="A172" i="50160"/>
  <c r="D172" i="50160"/>
  <c r="E172" i="50160"/>
  <c r="F172" i="50160"/>
  <c r="G172" i="50160"/>
  <c r="H172" i="50160"/>
  <c r="I172" i="50160"/>
  <c r="J172" i="50160"/>
  <c r="K172" i="50160"/>
  <c r="L172" i="50160"/>
  <c r="M172" i="50160"/>
  <c r="N172" i="50160"/>
  <c r="O172" i="50160"/>
  <c r="P172" i="50160"/>
  <c r="R172" i="50160"/>
  <c r="V172" i="50160"/>
  <c r="W172" i="50160"/>
  <c r="AA172" i="50160"/>
  <c r="AB172" i="50160"/>
  <c r="A173" i="50160"/>
  <c r="D173" i="50160"/>
  <c r="E173" i="50160"/>
  <c r="F173" i="50160"/>
  <c r="G173" i="50160"/>
  <c r="H173" i="50160"/>
  <c r="J173" i="50160"/>
  <c r="K173" i="50160"/>
  <c r="L173" i="50160"/>
  <c r="M173" i="50160"/>
  <c r="N173" i="50160"/>
  <c r="O173" i="50160"/>
  <c r="P173" i="50160"/>
  <c r="Q173" i="50160"/>
  <c r="R173" i="50160"/>
  <c r="V173" i="50160"/>
  <c r="W173" i="50160"/>
  <c r="AA173" i="50160"/>
  <c r="AB173" i="50160"/>
  <c r="A174" i="50160"/>
  <c r="D174" i="50160"/>
  <c r="E174" i="50160"/>
  <c r="F174" i="50160"/>
  <c r="G174" i="50160"/>
  <c r="H174" i="50160"/>
  <c r="I174" i="50160"/>
  <c r="J174" i="50160"/>
  <c r="K174" i="50160"/>
  <c r="L174" i="50160"/>
  <c r="M174" i="50160"/>
  <c r="O174" i="50160"/>
  <c r="P174" i="50160"/>
  <c r="Q174" i="50160"/>
  <c r="R174" i="50160"/>
  <c r="V174" i="50160"/>
  <c r="W174" i="50160"/>
  <c r="AA174" i="50160"/>
  <c r="AB174" i="50160"/>
  <c r="A175" i="50160"/>
  <c r="D175" i="50160"/>
  <c r="E175" i="50160"/>
  <c r="F175" i="50160"/>
  <c r="G175" i="50160"/>
  <c r="H175" i="50160"/>
  <c r="I175" i="50160"/>
  <c r="J175" i="50160"/>
  <c r="K175" i="50160"/>
  <c r="L175" i="50160"/>
  <c r="M175" i="50160"/>
  <c r="N175" i="50160"/>
  <c r="O175" i="50160"/>
  <c r="P175" i="50160"/>
  <c r="Q175" i="50160"/>
  <c r="V175" i="50160"/>
  <c r="W175" i="50160"/>
  <c r="AA175" i="50160"/>
  <c r="AB175" i="50160"/>
  <c r="A176" i="50160"/>
  <c r="D176" i="50160"/>
  <c r="E176" i="50160"/>
  <c r="F176" i="50160"/>
  <c r="G176" i="50160"/>
  <c r="H176" i="50160"/>
  <c r="I176" i="50160"/>
  <c r="J176" i="50160"/>
  <c r="L176" i="50160"/>
  <c r="M176" i="50160"/>
  <c r="N176" i="50160"/>
  <c r="O176" i="50160"/>
  <c r="P176" i="50160"/>
  <c r="Q176" i="50160"/>
  <c r="R176" i="50160"/>
  <c r="V176" i="50160"/>
  <c r="W176" i="50160"/>
  <c r="AA176" i="50160"/>
  <c r="AB176" i="50160"/>
  <c r="A177" i="50160"/>
  <c r="D177" i="50160"/>
  <c r="E177" i="50160"/>
  <c r="G177" i="50160"/>
  <c r="H177" i="50160"/>
  <c r="I177" i="50160"/>
  <c r="J177" i="50160"/>
  <c r="K177" i="50160"/>
  <c r="L177" i="50160"/>
  <c r="M177" i="50160"/>
  <c r="N177" i="50160"/>
  <c r="O177" i="50160"/>
  <c r="P177" i="50160"/>
  <c r="Q177" i="50160"/>
  <c r="R177" i="50160"/>
  <c r="V177" i="50160"/>
  <c r="W177" i="50160"/>
  <c r="AA177" i="50160"/>
  <c r="AB177" i="50160"/>
  <c r="A178" i="50160"/>
  <c r="D178" i="50160"/>
  <c r="E178" i="50160"/>
  <c r="F178" i="50160"/>
  <c r="G178" i="50160"/>
  <c r="I178" i="50160"/>
  <c r="J178" i="50160"/>
  <c r="K178" i="50160"/>
  <c r="L178" i="50160"/>
  <c r="M178" i="50160"/>
  <c r="N178" i="50160"/>
  <c r="O178" i="50160"/>
  <c r="P178" i="50160"/>
  <c r="Q178" i="50160"/>
  <c r="R178" i="50160"/>
  <c r="V178" i="50160"/>
  <c r="W178" i="50160"/>
  <c r="AA178" i="50160"/>
  <c r="AB178" i="50160"/>
  <c r="A179" i="50160"/>
  <c r="D179" i="50160"/>
  <c r="E179" i="50160"/>
  <c r="F179" i="50160"/>
  <c r="G179" i="50160"/>
  <c r="H179" i="50160"/>
  <c r="I179" i="50160"/>
  <c r="J179" i="50160"/>
  <c r="K179" i="50160"/>
  <c r="M179" i="50160"/>
  <c r="N179" i="50160"/>
  <c r="O179" i="50160"/>
  <c r="P179" i="50160"/>
  <c r="Q179" i="50160"/>
  <c r="R179" i="50160"/>
  <c r="V179" i="50160"/>
  <c r="W179" i="50160"/>
  <c r="AA179" i="50160"/>
  <c r="AB179" i="50160"/>
  <c r="A180" i="50160"/>
  <c r="D180" i="50160"/>
  <c r="F180" i="50160"/>
  <c r="G180" i="50160"/>
  <c r="H180" i="50160"/>
  <c r="I180" i="50160"/>
  <c r="J180" i="50160"/>
  <c r="K180" i="50160"/>
  <c r="L180" i="50160"/>
  <c r="M180" i="50160"/>
  <c r="N180" i="50160"/>
  <c r="O180" i="50160"/>
  <c r="P180" i="50160"/>
  <c r="R180" i="50160"/>
  <c r="V180" i="50160"/>
  <c r="W180" i="50160"/>
  <c r="AA180" i="50160"/>
  <c r="AB180" i="50160"/>
  <c r="A181" i="50160"/>
  <c r="D181" i="50160"/>
  <c r="E181" i="50160"/>
  <c r="F181" i="50160"/>
  <c r="G181" i="50160"/>
  <c r="H181" i="50160"/>
  <c r="I181" i="50160"/>
  <c r="J181" i="50160"/>
  <c r="K181" i="50160"/>
  <c r="L181" i="50160"/>
  <c r="M181" i="50160"/>
  <c r="N181" i="50160"/>
  <c r="O181" i="50160"/>
  <c r="P181" i="50160"/>
  <c r="Q181" i="50160"/>
  <c r="R181" i="50160"/>
  <c r="V181" i="50160"/>
  <c r="W181" i="50160"/>
  <c r="AA181" i="50160"/>
  <c r="AB181" i="50160"/>
  <c r="A182" i="50160"/>
  <c r="D182" i="50160"/>
  <c r="E182" i="50160"/>
  <c r="F182" i="50160"/>
  <c r="G182" i="50160"/>
  <c r="H182" i="50160"/>
  <c r="I182" i="50160"/>
  <c r="J182" i="50160"/>
  <c r="K182" i="50160"/>
  <c r="L182" i="50160"/>
  <c r="M182" i="50160"/>
  <c r="O182" i="50160"/>
  <c r="P182" i="50160"/>
  <c r="Q182" i="50160"/>
  <c r="R182" i="50160"/>
  <c r="V182" i="50160"/>
  <c r="W182" i="50160"/>
  <c r="AA182" i="50160"/>
  <c r="AB182" i="50160"/>
  <c r="A183" i="50160"/>
  <c r="B183" i="50160"/>
  <c r="C183" i="50160"/>
  <c r="D183" i="50160"/>
  <c r="E183" i="50160"/>
  <c r="G183" i="50160"/>
  <c r="H183" i="50160"/>
  <c r="I183" i="50160"/>
  <c r="J183" i="50160"/>
  <c r="K183" i="50160"/>
  <c r="L183" i="50160"/>
  <c r="M183" i="50160"/>
  <c r="N183" i="50160"/>
  <c r="O183" i="50160"/>
  <c r="P183" i="50160"/>
  <c r="Q183" i="50160"/>
  <c r="V183" i="50160"/>
  <c r="W183" i="50160"/>
  <c r="AA183" i="50160"/>
  <c r="AB183" i="50160"/>
  <c r="A184" i="50160"/>
  <c r="B184" i="50160"/>
  <c r="C184" i="50160"/>
  <c r="D184" i="50160"/>
  <c r="E184" i="50160"/>
  <c r="F184" i="50160"/>
  <c r="G184" i="50160"/>
  <c r="H184" i="50160"/>
  <c r="I184" i="50160"/>
  <c r="J184" i="50160"/>
  <c r="L184" i="50160"/>
  <c r="M184" i="50160"/>
  <c r="N184" i="50160"/>
  <c r="O184" i="50160"/>
  <c r="P184" i="50160"/>
  <c r="Q184" i="50160"/>
  <c r="R184" i="50160"/>
  <c r="V184" i="50160"/>
  <c r="W184" i="50160"/>
  <c r="AA184" i="50160"/>
  <c r="AB184" i="50160"/>
  <c r="A185" i="50160"/>
  <c r="B185" i="50160"/>
  <c r="C185" i="50160"/>
  <c r="D185" i="50160"/>
  <c r="E185" i="50160"/>
  <c r="F185" i="50160"/>
  <c r="G185" i="50160"/>
  <c r="H185" i="50160"/>
  <c r="I185" i="50160"/>
  <c r="J185" i="50160"/>
  <c r="K185" i="50160"/>
  <c r="L185" i="50160"/>
  <c r="M185" i="50160"/>
  <c r="N185" i="50160"/>
  <c r="P185" i="50160"/>
  <c r="Q185" i="50160"/>
  <c r="R185" i="50160"/>
  <c r="V185" i="50160"/>
  <c r="W185" i="50160"/>
  <c r="AA185" i="50160"/>
  <c r="AB185" i="50160"/>
  <c r="A186" i="50160"/>
  <c r="B186" i="50160"/>
  <c r="C186" i="50160"/>
  <c r="D186" i="50160"/>
  <c r="E186" i="50160"/>
  <c r="F186" i="50160"/>
  <c r="G186" i="50160"/>
  <c r="I186" i="50160"/>
  <c r="J186" i="50160"/>
  <c r="K186" i="50160"/>
  <c r="L186" i="50160"/>
  <c r="M186" i="50160"/>
  <c r="N186" i="50160"/>
  <c r="O186" i="50160"/>
  <c r="P186" i="50160"/>
  <c r="Q186" i="50160"/>
  <c r="R186" i="50160"/>
  <c r="V186" i="50160"/>
  <c r="W186" i="50160"/>
  <c r="AA186" i="50160"/>
  <c r="AB186" i="50160"/>
  <c r="A187" i="50160"/>
  <c r="B187" i="50160"/>
  <c r="C187" i="50160"/>
  <c r="D187" i="50160"/>
  <c r="E187" i="50160"/>
  <c r="F187" i="50160"/>
  <c r="G187" i="50160"/>
  <c r="H187" i="50160"/>
  <c r="I187" i="50160"/>
  <c r="J187" i="50160"/>
  <c r="K187" i="50160"/>
  <c r="M187" i="50160"/>
  <c r="N187" i="50160"/>
  <c r="O187" i="50160"/>
  <c r="P187" i="50160"/>
  <c r="Q187" i="50160"/>
  <c r="R187" i="50160"/>
  <c r="V187" i="50160"/>
  <c r="W187" i="50160"/>
  <c r="AA187" i="50160"/>
  <c r="AB187" i="50160"/>
  <c r="A188" i="50160"/>
  <c r="B188" i="50160"/>
  <c r="C188" i="50160"/>
  <c r="D188" i="50160"/>
  <c r="F188" i="50160"/>
  <c r="G188" i="50160"/>
  <c r="H188" i="50160"/>
  <c r="I188" i="50160"/>
  <c r="J188" i="50160"/>
  <c r="K188" i="50160"/>
  <c r="L188" i="50160"/>
  <c r="M188" i="50160"/>
  <c r="N188" i="50160"/>
  <c r="O188" i="50160"/>
  <c r="P188" i="50160"/>
  <c r="R188" i="50160"/>
  <c r="V188" i="50160"/>
  <c r="W188" i="50160"/>
  <c r="AA188" i="50160"/>
  <c r="AB188" i="50160"/>
  <c r="A189" i="50160"/>
  <c r="B189" i="50160"/>
  <c r="C189" i="50160"/>
  <c r="D189" i="50160"/>
  <c r="E189" i="50160"/>
  <c r="F189" i="50160"/>
  <c r="G189" i="50160"/>
  <c r="H189" i="50160"/>
  <c r="I189" i="50160"/>
  <c r="J189" i="50160"/>
  <c r="K189" i="50160"/>
  <c r="L189" i="50160"/>
  <c r="M189" i="50160"/>
  <c r="N189" i="50160"/>
  <c r="O189" i="50160"/>
  <c r="P189" i="50160"/>
  <c r="Q189" i="50160"/>
  <c r="R189" i="50160"/>
  <c r="V189" i="50160"/>
  <c r="W189" i="50160"/>
  <c r="AA189" i="50160"/>
  <c r="AB189" i="50160"/>
  <c r="A190" i="50160"/>
  <c r="B190" i="50160"/>
  <c r="C190" i="50160"/>
  <c r="D190" i="50160"/>
  <c r="E190" i="50160"/>
  <c r="F190" i="50160"/>
  <c r="G190" i="50160"/>
  <c r="H190" i="50160"/>
  <c r="I190" i="50160"/>
  <c r="J190" i="50160"/>
  <c r="K190" i="50160"/>
  <c r="L190" i="50160"/>
  <c r="M190" i="50160"/>
  <c r="O190" i="50160"/>
  <c r="P190" i="50160"/>
  <c r="Q190" i="50160"/>
  <c r="R190" i="50160"/>
  <c r="V190" i="50160"/>
  <c r="W190" i="50160"/>
  <c r="AA190" i="50160"/>
  <c r="AB190" i="50160"/>
  <c r="A191" i="50160"/>
  <c r="B191" i="50160"/>
  <c r="C191" i="50160"/>
  <c r="D191" i="50160"/>
  <c r="E191" i="50160"/>
  <c r="F191" i="50160"/>
  <c r="G191" i="50160"/>
  <c r="H191" i="50160"/>
  <c r="I191" i="50160"/>
  <c r="J191" i="50160"/>
  <c r="K191" i="50160"/>
  <c r="L191" i="50160"/>
  <c r="M191" i="50160"/>
  <c r="N191" i="50160"/>
  <c r="O191" i="50160"/>
  <c r="P191" i="50160"/>
  <c r="Q191" i="50160"/>
  <c r="V191" i="50160"/>
  <c r="W191" i="50160"/>
  <c r="AA191" i="50160"/>
  <c r="AB191" i="50160"/>
  <c r="A192" i="50160"/>
  <c r="B192" i="50160"/>
  <c r="C192" i="50160"/>
  <c r="D192" i="50160"/>
  <c r="E192" i="50160"/>
  <c r="F192" i="50160"/>
  <c r="G192" i="50160"/>
  <c r="H192" i="50160"/>
  <c r="I192" i="50160"/>
  <c r="J192" i="50160"/>
  <c r="L192" i="50160"/>
  <c r="M192" i="50160"/>
  <c r="N192" i="50160"/>
  <c r="O192" i="50160"/>
  <c r="P192" i="50160"/>
  <c r="Q192" i="50160"/>
  <c r="R192" i="50160"/>
  <c r="V192" i="50160"/>
  <c r="W192" i="50160"/>
  <c r="AA192" i="50160"/>
  <c r="AB192" i="50160"/>
  <c r="V193" i="50160"/>
  <c r="W193" i="50160"/>
  <c r="AA193" i="50160"/>
  <c r="AB193" i="50160"/>
  <c r="V194" i="50160"/>
  <c r="W194" i="50160"/>
  <c r="AA194" i="50160"/>
  <c r="AB194" i="50160"/>
  <c r="V195" i="50160"/>
  <c r="W195" i="50160"/>
  <c r="AA195" i="50160"/>
  <c r="AB195" i="50160"/>
  <c r="V196" i="50160"/>
  <c r="W196" i="50160"/>
  <c r="AA196" i="50160"/>
  <c r="AB196" i="50160"/>
  <c r="V197" i="50160"/>
  <c r="W197" i="50160"/>
  <c r="AA197" i="50160"/>
  <c r="AB197" i="50160"/>
  <c r="V198" i="50160"/>
  <c r="W198" i="50160"/>
  <c r="AA198" i="50160"/>
  <c r="AB198" i="50160"/>
  <c r="V199" i="50160"/>
  <c r="W199" i="50160"/>
  <c r="AA199" i="50160"/>
  <c r="AB199" i="50160"/>
  <c r="V200" i="50160"/>
  <c r="W200" i="50160"/>
  <c r="AA200" i="50160"/>
  <c r="AB200" i="50160"/>
  <c r="V201" i="50160"/>
  <c r="W201" i="50160"/>
  <c r="AA201" i="50160"/>
  <c r="AB201" i="50160"/>
  <c r="V202" i="50160"/>
  <c r="W202" i="50160"/>
  <c r="AA202" i="50160"/>
  <c r="AB202" i="50160"/>
  <c r="V203" i="50160"/>
  <c r="W203" i="50160"/>
  <c r="AA203" i="50160"/>
  <c r="AB203" i="50160"/>
  <c r="V204" i="50160"/>
  <c r="W204" i="50160"/>
  <c r="AA204" i="50160"/>
  <c r="AB204" i="50160"/>
  <c r="V205" i="50160"/>
  <c r="W205" i="50160"/>
  <c r="AA205" i="50160"/>
  <c r="AB205" i="50160"/>
  <c r="V206" i="50160"/>
  <c r="W206" i="50160"/>
  <c r="AA206" i="50160"/>
  <c r="AB206" i="50160"/>
  <c r="V207" i="50160"/>
  <c r="W207" i="50160"/>
  <c r="AA207" i="50160"/>
  <c r="AB207" i="50160"/>
  <c r="V208" i="50160"/>
  <c r="W208" i="50160"/>
  <c r="AA208" i="50160"/>
  <c r="AB208" i="50160"/>
  <c r="V209" i="50160"/>
  <c r="W209" i="50160"/>
  <c r="AA209" i="50160"/>
  <c r="AB209" i="50160"/>
  <c r="V210" i="50160"/>
  <c r="W210" i="50160"/>
  <c r="AA210" i="50160"/>
  <c r="AB210" i="50160"/>
  <c r="V211" i="50160"/>
  <c r="W211" i="50160"/>
  <c r="AA211" i="50160"/>
  <c r="AB211" i="50160"/>
  <c r="V212" i="50160"/>
  <c r="W212" i="50160"/>
  <c r="AA212" i="50160"/>
  <c r="AB212" i="50160"/>
  <c r="V213" i="50160"/>
  <c r="W213" i="50160"/>
  <c r="AA213" i="50160"/>
  <c r="AB213" i="50160"/>
  <c r="V214" i="50160"/>
  <c r="W214" i="50160"/>
  <c r="AA214" i="50160"/>
  <c r="AB214" i="50160"/>
  <c r="V215" i="50160"/>
  <c r="W215" i="50160"/>
  <c r="AA215" i="50160"/>
  <c r="AB215" i="50160"/>
  <c r="V216" i="50160"/>
  <c r="W216" i="50160"/>
  <c r="AA216" i="50160"/>
  <c r="AB216" i="50160"/>
  <c r="V217" i="50160"/>
  <c r="W217" i="50160"/>
  <c r="AA217" i="50160"/>
  <c r="AB217" i="50160"/>
  <c r="V218" i="50160"/>
  <c r="W218" i="50160"/>
  <c r="AA218" i="50160"/>
  <c r="AB218" i="50160"/>
  <c r="V219" i="50160"/>
  <c r="W219" i="50160"/>
  <c r="AA219" i="50160"/>
  <c r="AB219" i="50160"/>
  <c r="V220" i="50160"/>
  <c r="W220" i="50160"/>
  <c r="AA220" i="50160"/>
  <c r="AB220" i="50160"/>
  <c r="V221" i="50160"/>
  <c r="W221" i="50160"/>
  <c r="AA221" i="50160"/>
  <c r="AB221" i="50160"/>
  <c r="V222" i="50160"/>
  <c r="W222" i="50160"/>
  <c r="AA222" i="50160"/>
  <c r="AB222" i="50160"/>
  <c r="V223" i="50160"/>
  <c r="W223" i="50160"/>
  <c r="AA223" i="50160"/>
  <c r="AB223" i="50160"/>
  <c r="V224" i="50160"/>
  <c r="W224" i="50160"/>
  <c r="AA224" i="50160"/>
  <c r="AB224" i="50160"/>
  <c r="V225" i="50160"/>
  <c r="W225" i="50160"/>
  <c r="AA225" i="50160"/>
  <c r="AB225" i="50160"/>
  <c r="V226" i="50160"/>
  <c r="W226" i="50160"/>
  <c r="AA226" i="50160"/>
  <c r="AB226" i="50160"/>
  <c r="V227" i="50160"/>
  <c r="W227" i="50160"/>
  <c r="AA227" i="50160"/>
  <c r="AB227" i="50160"/>
  <c r="V228" i="50160"/>
  <c r="W228" i="50160"/>
  <c r="AA228" i="50160"/>
  <c r="AB228" i="50160"/>
  <c r="V229" i="50160"/>
  <c r="W229" i="50160"/>
  <c r="AA229" i="50160"/>
  <c r="AB229" i="50160"/>
  <c r="V230" i="50160"/>
  <c r="W230" i="50160"/>
  <c r="AA230" i="50160"/>
  <c r="AB230" i="50160"/>
  <c r="V231" i="50160"/>
  <c r="W231" i="50160"/>
  <c r="AA231" i="50160"/>
  <c r="AB231" i="50160"/>
  <c r="V232" i="50160"/>
  <c r="W232" i="50160"/>
  <c r="AA232" i="50160"/>
  <c r="AB232" i="50160"/>
  <c r="V233" i="50160"/>
  <c r="W233" i="50160"/>
  <c r="AA233" i="50160"/>
  <c r="AB233" i="50160"/>
  <c r="V234" i="50160"/>
  <c r="W234" i="50160"/>
  <c r="AA234" i="50160"/>
  <c r="AB234" i="50160"/>
  <c r="V235" i="50160"/>
  <c r="W235" i="50160"/>
  <c r="AA235" i="50160"/>
  <c r="AB235" i="50160"/>
  <c r="V236" i="50160"/>
  <c r="W236" i="50160"/>
  <c r="AA236" i="50160"/>
  <c r="AB236" i="50160"/>
  <c r="V237" i="50160"/>
  <c r="W237" i="50160"/>
  <c r="AA237" i="50160"/>
  <c r="AB237" i="50160"/>
  <c r="V238" i="50160"/>
  <c r="W238" i="50160"/>
  <c r="AA238" i="50160"/>
  <c r="AB238" i="50160"/>
  <c r="V239" i="50160"/>
  <c r="W239" i="50160"/>
  <c r="AA239" i="50160"/>
  <c r="AB239" i="50160"/>
  <c r="V240" i="50160"/>
  <c r="W240" i="50160"/>
  <c r="AA240" i="50160"/>
  <c r="AB240" i="50160"/>
  <c r="V241" i="50160"/>
  <c r="W241" i="50160"/>
  <c r="AA241" i="50160"/>
  <c r="AB241" i="50160"/>
  <c r="V242" i="50160"/>
  <c r="W242" i="50160"/>
  <c r="AA242" i="50160"/>
  <c r="AB242" i="50160"/>
  <c r="V243" i="50160"/>
  <c r="W243" i="50160"/>
  <c r="AA243" i="50160"/>
  <c r="AB243" i="50160"/>
  <c r="V244" i="50160"/>
  <c r="W244" i="50160"/>
  <c r="AA244" i="50160"/>
  <c r="AB244" i="50160"/>
  <c r="V245" i="50160"/>
  <c r="W245" i="50160"/>
  <c r="AA245" i="50160"/>
  <c r="AB245" i="50160"/>
  <c r="V246" i="50160"/>
  <c r="W246" i="50160"/>
  <c r="AA246" i="50160"/>
  <c r="AB246" i="50160"/>
  <c r="V247" i="50160"/>
  <c r="W247" i="50160"/>
  <c r="AA247" i="50160"/>
  <c r="AB247" i="50160"/>
  <c r="V248" i="50160"/>
  <c r="W248" i="50160"/>
  <c r="AA248" i="50160"/>
  <c r="AB248" i="50160"/>
  <c r="V249" i="50160"/>
  <c r="W249" i="50160"/>
  <c r="AA249" i="50160"/>
  <c r="AB249" i="50160"/>
  <c r="V250" i="50160"/>
  <c r="W250" i="50160"/>
  <c r="AA250" i="50160"/>
  <c r="AB250" i="50160"/>
  <c r="V251" i="50160"/>
  <c r="W251" i="50160"/>
  <c r="AA251" i="50160"/>
  <c r="AB251" i="50160"/>
  <c r="V252" i="50160"/>
  <c r="W252" i="50160"/>
  <c r="AA252" i="50160"/>
  <c r="AB252" i="50160"/>
  <c r="V253" i="50160"/>
  <c r="W253" i="50160"/>
  <c r="AA253" i="50160"/>
  <c r="AB253" i="50160"/>
  <c r="V254" i="50160"/>
  <c r="W254" i="50160"/>
  <c r="AA254" i="50160"/>
  <c r="AB254" i="50160"/>
  <c r="V255" i="50160"/>
  <c r="W255" i="50160"/>
  <c r="AA255" i="50160"/>
  <c r="AB255" i="50160"/>
  <c r="V256" i="50160"/>
  <c r="W256" i="50160"/>
  <c r="AA256" i="50160"/>
  <c r="AB256" i="50160"/>
  <c r="V257" i="50160"/>
  <c r="W257" i="50160"/>
  <c r="AA257" i="50160"/>
  <c r="AB257" i="50160"/>
  <c r="V258" i="50160"/>
  <c r="W258" i="50160"/>
  <c r="AA258" i="50160"/>
  <c r="AB258" i="50160"/>
  <c r="V259" i="50160"/>
  <c r="W259" i="50160"/>
  <c r="AA259" i="50160"/>
  <c r="AB259" i="50160"/>
  <c r="V260" i="50160"/>
  <c r="W260" i="50160"/>
  <c r="AA260" i="50160"/>
  <c r="AB260" i="50160"/>
  <c r="V261" i="50160"/>
  <c r="W261" i="50160"/>
  <c r="AA261" i="50160"/>
  <c r="AB261" i="50160"/>
  <c r="V262" i="50160"/>
  <c r="W262" i="50160"/>
  <c r="AA262" i="50160"/>
  <c r="AB262" i="50160"/>
  <c r="V263" i="50160"/>
  <c r="W263" i="50160"/>
  <c r="AA263" i="50160"/>
  <c r="AB263" i="50160"/>
  <c r="V264" i="50160"/>
  <c r="W264" i="50160"/>
  <c r="AA264" i="50160"/>
  <c r="AB264" i="50160"/>
  <c r="V265" i="50160"/>
  <c r="W265" i="50160"/>
  <c r="AA265" i="50160"/>
  <c r="AB265" i="50160"/>
  <c r="V266" i="50160"/>
  <c r="W266" i="50160"/>
  <c r="AA266" i="50160"/>
  <c r="AB266" i="50160"/>
  <c r="V267" i="50160"/>
  <c r="W267" i="50160"/>
  <c r="AA267" i="50160"/>
  <c r="AB267" i="50160"/>
  <c r="V268" i="50160"/>
  <c r="W268" i="50160"/>
  <c r="AA268" i="50160"/>
  <c r="AB268" i="50160"/>
  <c r="V269" i="50160"/>
  <c r="W269" i="50160"/>
  <c r="AA269" i="50160"/>
  <c r="AB269" i="50160"/>
  <c r="V270" i="50160"/>
  <c r="W270" i="50160"/>
  <c r="AA270" i="50160"/>
  <c r="AB270" i="50160"/>
  <c r="V271" i="50160"/>
  <c r="W271" i="50160"/>
  <c r="AA271" i="50160"/>
  <c r="AB271" i="50160"/>
  <c r="V272" i="50160"/>
  <c r="W272" i="50160"/>
  <c r="AA272" i="50160"/>
  <c r="AB272" i="50160"/>
  <c r="V273" i="50160"/>
  <c r="W273" i="50160"/>
  <c r="AA273" i="50160"/>
  <c r="AB273" i="50160"/>
  <c r="V274" i="50160"/>
  <c r="W274" i="50160"/>
  <c r="AA274" i="50160"/>
  <c r="AB274" i="50160"/>
  <c r="V275" i="50160"/>
  <c r="W275" i="50160"/>
  <c r="AA275" i="50160"/>
  <c r="AB275" i="50160"/>
  <c r="V276" i="50160"/>
  <c r="W276" i="50160"/>
  <c r="AA276" i="50160"/>
  <c r="AB276" i="50160"/>
  <c r="V277" i="50160"/>
  <c r="W277" i="50160"/>
  <c r="AA277" i="50160"/>
  <c r="AB277" i="50160"/>
  <c r="V278" i="50160"/>
  <c r="W278" i="50160"/>
  <c r="AA278" i="50160"/>
  <c r="AB278" i="50160"/>
  <c r="V279" i="50160"/>
  <c r="W279" i="50160"/>
  <c r="AA279" i="50160"/>
  <c r="AB279" i="50160"/>
  <c r="V280" i="50160"/>
  <c r="W280" i="50160"/>
  <c r="AA280" i="50160"/>
  <c r="AB280" i="50160"/>
  <c r="V281" i="50160"/>
  <c r="W281" i="50160"/>
  <c r="AA281" i="50160"/>
  <c r="AB281" i="50160"/>
  <c r="V282" i="50160"/>
  <c r="W282" i="50160"/>
  <c r="AA282" i="50160"/>
  <c r="AB282" i="50160"/>
  <c r="V283" i="50160"/>
  <c r="W283" i="50160"/>
  <c r="AA283" i="50160"/>
  <c r="AB283" i="50160"/>
  <c r="V284" i="50160"/>
  <c r="W284" i="50160"/>
  <c r="AA284" i="50160"/>
  <c r="AB284" i="50160"/>
  <c r="V285" i="50160"/>
  <c r="W285" i="50160"/>
  <c r="AA285" i="50160"/>
  <c r="AB285" i="50160"/>
  <c r="V286" i="50160"/>
  <c r="W286" i="50160"/>
  <c r="AA286" i="50160"/>
  <c r="AB286" i="50160"/>
  <c r="V287" i="50160"/>
  <c r="W287" i="50160"/>
  <c r="AA287" i="50160"/>
  <c r="AB287" i="50160"/>
  <c r="V288" i="50160"/>
  <c r="W288" i="50160"/>
  <c r="AA288" i="50160"/>
  <c r="AB288" i="50160"/>
  <c r="V289" i="50160"/>
  <c r="W289" i="50160"/>
  <c r="AA289" i="50160"/>
  <c r="AB289" i="50160"/>
  <c r="V290" i="50160"/>
  <c r="W290" i="50160"/>
  <c r="AA290" i="50160"/>
  <c r="AB290" i="50160"/>
  <c r="V291" i="50160"/>
  <c r="W291" i="50160"/>
  <c r="AA291" i="50160"/>
  <c r="AB291" i="50160"/>
  <c r="V292" i="50160"/>
  <c r="W292" i="50160"/>
  <c r="AA292" i="50160"/>
  <c r="AB292" i="50160"/>
  <c r="V293" i="50160"/>
  <c r="W293" i="50160"/>
  <c r="AA293" i="50160"/>
  <c r="AB293" i="50160"/>
  <c r="V294" i="50160"/>
  <c r="W294" i="50160"/>
  <c r="AA294" i="50160"/>
  <c r="AB294" i="50160"/>
  <c r="V295" i="50160"/>
  <c r="W295" i="50160"/>
  <c r="AA295" i="50160"/>
  <c r="AB295" i="50160"/>
  <c r="V296" i="50160"/>
  <c r="W296" i="50160"/>
  <c r="AA296" i="50160"/>
  <c r="AB296" i="50160"/>
  <c r="V297" i="50160"/>
  <c r="W297" i="50160"/>
  <c r="AA297" i="50160"/>
  <c r="AB297" i="50160"/>
  <c r="V298" i="50160"/>
  <c r="W298" i="50160"/>
  <c r="AA298" i="50160"/>
  <c r="AB298" i="50160"/>
  <c r="V299" i="50160"/>
  <c r="W299" i="50160"/>
  <c r="AA299" i="50160"/>
  <c r="AB299" i="50160"/>
  <c r="V300" i="50160"/>
  <c r="W300" i="50160"/>
  <c r="AA300" i="50160"/>
  <c r="AB300" i="50160"/>
  <c r="V301" i="50160"/>
  <c r="W301" i="50160"/>
  <c r="AA301" i="50160"/>
  <c r="AB301" i="50160"/>
  <c r="V302" i="50160"/>
  <c r="W302" i="50160"/>
  <c r="AA302" i="50160"/>
  <c r="AB302" i="50160"/>
  <c r="V303" i="50160"/>
  <c r="W303" i="50160"/>
  <c r="AA303" i="50160"/>
  <c r="AB303" i="50160"/>
  <c r="V304" i="50160"/>
  <c r="W304" i="50160"/>
  <c r="AA304" i="50160"/>
  <c r="AB304" i="50160"/>
  <c r="V5" i="50158"/>
  <c r="W5" i="50158"/>
  <c r="Y5" i="50158" s="1"/>
  <c r="AA5" i="50158"/>
  <c r="AB5" i="50158"/>
  <c r="V6" i="50158"/>
  <c r="X6" i="50158"/>
  <c r="V7" i="50158"/>
  <c r="X7" i="50158" s="1"/>
  <c r="V8" i="50158"/>
  <c r="X8" i="50158" s="1"/>
  <c r="V9" i="50158"/>
  <c r="X9" i="50158" s="1"/>
  <c r="V10" i="50158"/>
  <c r="X10" i="50158" s="1"/>
  <c r="V11" i="50158"/>
  <c r="X11" i="50158" s="1"/>
  <c r="V12" i="50158"/>
  <c r="X12" i="50158" s="1"/>
  <c r="V13" i="50158"/>
  <c r="X13" i="50158" s="1"/>
  <c r="V14" i="50158"/>
  <c r="X14" i="50158" s="1"/>
  <c r="V15" i="50158"/>
  <c r="X15" i="50158" s="1"/>
  <c r="V16" i="50158"/>
  <c r="X16" i="50158" s="1"/>
  <c r="V17" i="50158"/>
  <c r="X17" i="50158" s="1"/>
  <c r="V18" i="50158"/>
  <c r="X18" i="50158"/>
  <c r="V19" i="50158"/>
  <c r="X19" i="50158" s="1"/>
  <c r="V20" i="50158"/>
  <c r="X20" i="50158" s="1"/>
  <c r="V21" i="50158"/>
  <c r="X21" i="50158" s="1"/>
  <c r="V22" i="50158"/>
  <c r="Z22" i="50158" s="1"/>
  <c r="X22" i="50158"/>
  <c r="V23" i="50158"/>
  <c r="X23" i="50158" s="1"/>
  <c r="V24" i="50158"/>
  <c r="X24" i="50158" s="1"/>
  <c r="V25" i="50158"/>
  <c r="X25" i="50158" s="1"/>
  <c r="V26" i="50158"/>
  <c r="X26" i="50158" s="1"/>
  <c r="V27" i="50158"/>
  <c r="X27" i="50158" s="1"/>
  <c r="V28" i="50158"/>
  <c r="X28" i="50158" s="1"/>
  <c r="V29" i="50158"/>
  <c r="X29" i="50158" s="1"/>
  <c r="V30" i="50158"/>
  <c r="X30" i="50158" s="1"/>
  <c r="V31" i="50158"/>
  <c r="X31" i="50158" s="1"/>
  <c r="V32" i="50158"/>
  <c r="X32" i="50158" s="1"/>
  <c r="V33" i="50158"/>
  <c r="X33" i="50158" s="1"/>
  <c r="V34" i="50158"/>
  <c r="X34" i="50158"/>
  <c r="V35" i="50158"/>
  <c r="X35" i="50158" s="1"/>
  <c r="V36" i="50158"/>
  <c r="X36" i="50158" s="1"/>
  <c r="V37" i="50158"/>
  <c r="X37" i="50158" s="1"/>
  <c r="V38" i="50158"/>
  <c r="X38" i="50158"/>
  <c r="V39" i="50158"/>
  <c r="X39" i="50158" s="1"/>
  <c r="V40" i="50158"/>
  <c r="X40" i="50158" s="1"/>
  <c r="V41" i="50158"/>
  <c r="X41" i="50158" s="1"/>
  <c r="V42" i="50158"/>
  <c r="Z42" i="50158" s="1"/>
  <c r="V43" i="50158"/>
  <c r="X43" i="50158" s="1"/>
  <c r="V44" i="50158"/>
  <c r="X44" i="50158" s="1"/>
  <c r="X45" i="50158"/>
  <c r="X46" i="50158"/>
  <c r="X47" i="50158"/>
  <c r="X48" i="50158"/>
  <c r="X49" i="50158"/>
  <c r="X50" i="50158"/>
  <c r="X51" i="50158"/>
  <c r="X52" i="50158"/>
  <c r="X53" i="50158"/>
  <c r="X54" i="50158"/>
  <c r="X55" i="50158"/>
  <c r="X56" i="50158"/>
  <c r="X57" i="50158"/>
  <c r="X58" i="50158"/>
  <c r="X59" i="50158"/>
  <c r="X60" i="50158"/>
  <c r="X61" i="50158"/>
  <c r="X62" i="50158"/>
  <c r="X63" i="50158"/>
  <c r="X64" i="50158"/>
  <c r="X65" i="50158"/>
  <c r="X66" i="50158"/>
  <c r="X67" i="50158"/>
  <c r="X68" i="50158"/>
  <c r="X69" i="50158"/>
  <c r="X70" i="50158"/>
  <c r="X71" i="50158"/>
  <c r="X72" i="50158"/>
  <c r="X73" i="50158"/>
  <c r="X74" i="50158"/>
  <c r="X75" i="50158"/>
  <c r="X76" i="50158"/>
  <c r="X77" i="50158"/>
  <c r="X78" i="50158"/>
  <c r="X79" i="50158"/>
  <c r="X80" i="50158"/>
  <c r="X81" i="50158"/>
  <c r="X82" i="50158"/>
  <c r="X83" i="50158"/>
  <c r="X84" i="50158"/>
  <c r="X85" i="50158"/>
  <c r="X86" i="50158"/>
  <c r="X87" i="50158"/>
  <c r="X88" i="50158"/>
  <c r="X89" i="50158"/>
  <c r="X90" i="50158"/>
  <c r="X91" i="50158"/>
  <c r="X92" i="50158"/>
  <c r="X93" i="50158"/>
  <c r="X94" i="50158"/>
  <c r="X95" i="50158"/>
  <c r="X96" i="50158"/>
  <c r="X97" i="50158"/>
  <c r="X98" i="50158"/>
  <c r="X99" i="50158"/>
  <c r="X100" i="50158"/>
  <c r="X101" i="50158"/>
  <c r="X102" i="50158"/>
  <c r="X103" i="50158"/>
  <c r="X104" i="50158"/>
  <c r="X105" i="50158"/>
  <c r="X106" i="50158"/>
  <c r="X107" i="50158"/>
  <c r="X108" i="50158"/>
  <c r="X109" i="50158"/>
  <c r="X110" i="50158"/>
  <c r="X111" i="50158"/>
  <c r="X112" i="50158"/>
  <c r="X113" i="50158"/>
  <c r="X114" i="50158"/>
  <c r="X115" i="50158"/>
  <c r="X116" i="50158"/>
  <c r="X117" i="50158"/>
  <c r="X118" i="50158"/>
  <c r="X119" i="50158"/>
  <c r="X120" i="50158"/>
  <c r="X121" i="50158"/>
  <c r="X122" i="50158"/>
  <c r="X123" i="50158"/>
  <c r="X124" i="50158"/>
  <c r="X125" i="50158"/>
  <c r="X126" i="50158"/>
  <c r="X127" i="50158"/>
  <c r="X128" i="50158"/>
  <c r="X129" i="50158"/>
  <c r="X130" i="50158"/>
  <c r="X131" i="50158"/>
  <c r="X132" i="50158"/>
  <c r="X133" i="50158"/>
  <c r="X134" i="50158"/>
  <c r="X135" i="50158"/>
  <c r="X136" i="50158"/>
  <c r="X137" i="50158"/>
  <c r="X138" i="50158"/>
  <c r="X139" i="50158"/>
  <c r="X140" i="50158"/>
  <c r="X141" i="50158"/>
  <c r="X142" i="50158"/>
  <c r="X143" i="50158"/>
  <c r="X144" i="50158"/>
  <c r="X145" i="50158"/>
  <c r="X146" i="50158"/>
  <c r="X147" i="50158"/>
  <c r="X148" i="50158"/>
  <c r="X149" i="50158"/>
  <c r="X150" i="50158"/>
  <c r="X151" i="50158"/>
  <c r="X152" i="50158"/>
  <c r="X153" i="50158"/>
  <c r="X154" i="50158"/>
  <c r="X155" i="50158"/>
  <c r="X156" i="50158"/>
  <c r="X157" i="50158"/>
  <c r="X158" i="50158"/>
  <c r="X159" i="50158"/>
  <c r="X160" i="50158"/>
  <c r="X161" i="50158"/>
  <c r="X162" i="50158"/>
  <c r="X163" i="50158"/>
  <c r="X164" i="50158"/>
  <c r="X165" i="50158"/>
  <c r="X166" i="50158"/>
  <c r="X167" i="50158"/>
  <c r="X168" i="50158"/>
  <c r="X169" i="50158"/>
  <c r="X170" i="50158"/>
  <c r="X171" i="50158"/>
  <c r="X172" i="50158"/>
  <c r="X173" i="50158"/>
  <c r="X174" i="50158"/>
  <c r="X175" i="50158"/>
  <c r="X176" i="50158"/>
  <c r="X177" i="50158"/>
  <c r="X178" i="50158"/>
  <c r="X179" i="50158"/>
  <c r="X180" i="50158"/>
  <c r="X181" i="50158"/>
  <c r="X182" i="50158"/>
  <c r="X183" i="50158"/>
  <c r="X184" i="50158"/>
  <c r="X185" i="50158"/>
  <c r="X186" i="50158"/>
  <c r="X187" i="50158"/>
  <c r="X188" i="50158"/>
  <c r="X189" i="50158"/>
  <c r="X190" i="50158"/>
  <c r="X191" i="50158"/>
  <c r="X192" i="50158"/>
  <c r="X193" i="50158"/>
  <c r="X194" i="50158"/>
  <c r="X195" i="50158"/>
  <c r="X196" i="50158"/>
  <c r="X197" i="50158"/>
  <c r="X198" i="50158"/>
  <c r="X199" i="50158"/>
  <c r="X200" i="50158"/>
  <c r="X201" i="50158"/>
  <c r="X202" i="50158"/>
  <c r="X203" i="50158"/>
  <c r="X204" i="50158"/>
  <c r="X205" i="50158"/>
  <c r="X206" i="50158"/>
  <c r="X207" i="50158"/>
  <c r="X208" i="50158"/>
  <c r="X209" i="50158"/>
  <c r="X210" i="50158"/>
  <c r="X211" i="50158"/>
  <c r="X212" i="50158"/>
  <c r="X213" i="50158"/>
  <c r="X214" i="50158"/>
  <c r="X215" i="50158"/>
  <c r="X216" i="50158"/>
  <c r="X217" i="50158"/>
  <c r="X218" i="50158"/>
  <c r="X219" i="50158"/>
  <c r="X220" i="50158"/>
  <c r="X221" i="50158"/>
  <c r="X222" i="50158"/>
  <c r="X223" i="50158"/>
  <c r="X224" i="50158"/>
  <c r="X225" i="50158"/>
  <c r="X226" i="50158"/>
  <c r="X227" i="50158"/>
  <c r="X228" i="50158"/>
  <c r="X229" i="50158"/>
  <c r="X230" i="50158"/>
  <c r="X231" i="50158"/>
  <c r="X232" i="50158"/>
  <c r="X233" i="50158"/>
  <c r="X234" i="50158"/>
  <c r="X235" i="50158"/>
  <c r="X236" i="50158"/>
  <c r="X237" i="50158"/>
  <c r="X238" i="50158"/>
  <c r="X239" i="50158"/>
  <c r="X240" i="50158"/>
  <c r="X241" i="50158"/>
  <c r="X242" i="50158"/>
  <c r="X243" i="50158"/>
  <c r="X244" i="50158"/>
  <c r="X245" i="50158"/>
  <c r="X246" i="50158"/>
  <c r="X247" i="50158"/>
  <c r="X248" i="50158"/>
  <c r="X249" i="50158"/>
  <c r="X250" i="50158"/>
  <c r="X251" i="50158"/>
  <c r="X252" i="50158"/>
  <c r="X253" i="50158"/>
  <c r="X254" i="50158"/>
  <c r="X255" i="50158"/>
  <c r="X256" i="50158"/>
  <c r="X257" i="50158"/>
  <c r="X258" i="50158"/>
  <c r="X259" i="50158"/>
  <c r="X260" i="50158"/>
  <c r="X261" i="50158"/>
  <c r="X262" i="50158"/>
  <c r="X263" i="50158"/>
  <c r="X264" i="50158"/>
  <c r="X265" i="50158"/>
  <c r="X266" i="50158"/>
  <c r="X267" i="50158"/>
  <c r="X268" i="50158"/>
  <c r="X269" i="50158"/>
  <c r="X270" i="50158"/>
  <c r="X271" i="50158"/>
  <c r="X272" i="50158"/>
  <c r="X273" i="50158"/>
  <c r="X274" i="50158"/>
  <c r="X275" i="50158"/>
  <c r="X276" i="50158"/>
  <c r="X277" i="50158"/>
  <c r="X278" i="50158"/>
  <c r="X279" i="50158"/>
  <c r="X280" i="50158"/>
  <c r="X281" i="50158"/>
  <c r="X282" i="50158"/>
  <c r="X283" i="50158"/>
  <c r="X284" i="50158"/>
  <c r="X285" i="50158"/>
  <c r="X286" i="50158"/>
  <c r="X287" i="50158"/>
  <c r="X288" i="50158"/>
  <c r="X289" i="50158"/>
  <c r="X290" i="50158"/>
  <c r="X291" i="50158"/>
  <c r="X292" i="50158"/>
  <c r="X293" i="50158"/>
  <c r="X294" i="50158"/>
  <c r="X295" i="50158"/>
  <c r="X296" i="50158"/>
  <c r="X297" i="50158"/>
  <c r="X298" i="50158"/>
  <c r="X299" i="50158"/>
  <c r="X300" i="50158"/>
  <c r="X301" i="50158"/>
  <c r="X302" i="50158"/>
  <c r="X303" i="50158"/>
  <c r="X304" i="50158"/>
  <c r="W6" i="50158"/>
  <c r="Y6" i="50158" s="1"/>
  <c r="W7" i="50158"/>
  <c r="Z7" i="50158"/>
  <c r="W8" i="50158"/>
  <c r="Z8" i="50158" s="1"/>
  <c r="W9" i="50158"/>
  <c r="W10" i="50158"/>
  <c r="Z10" i="50158"/>
  <c r="W11" i="50158"/>
  <c r="Z11" i="50158" s="1"/>
  <c r="W12" i="50158"/>
  <c r="Y12" i="50158" s="1"/>
  <c r="Z12" i="50158"/>
  <c r="W13" i="50158"/>
  <c r="W14" i="50158"/>
  <c r="Z14" i="50158"/>
  <c r="W15" i="50158"/>
  <c r="Y15" i="50158" s="1"/>
  <c r="W16" i="50158"/>
  <c r="W17" i="50158"/>
  <c r="Z17" i="50158" s="1"/>
  <c r="W18" i="50158"/>
  <c r="Z18" i="50158" s="1"/>
  <c r="W19" i="50158"/>
  <c r="Z19" i="50158"/>
  <c r="W20" i="50158"/>
  <c r="W21" i="50158"/>
  <c r="W22" i="50158"/>
  <c r="W23" i="50158"/>
  <c r="Z23" i="50158"/>
  <c r="W24" i="50158"/>
  <c r="Y24" i="50158" s="1"/>
  <c r="W25" i="50158"/>
  <c r="W26" i="50158"/>
  <c r="Z26" i="50158" s="1"/>
  <c r="W27" i="50158"/>
  <c r="Z27" i="50158" s="1"/>
  <c r="W28" i="50158"/>
  <c r="Z28" i="50158"/>
  <c r="W29" i="50158"/>
  <c r="W30" i="50158"/>
  <c r="Z30" i="50158" s="1"/>
  <c r="W31" i="50158"/>
  <c r="Z31" i="50158"/>
  <c r="W32" i="50158"/>
  <c r="Y32" i="50158" s="1"/>
  <c r="W33" i="50158"/>
  <c r="W34" i="50158"/>
  <c r="Z34" i="50158" s="1"/>
  <c r="W35" i="50158"/>
  <c r="Y35" i="50158" s="1"/>
  <c r="W36" i="50158"/>
  <c r="W37" i="50158"/>
  <c r="W38" i="50158"/>
  <c r="W39" i="50158"/>
  <c r="Z39" i="50158"/>
  <c r="W40" i="50158"/>
  <c r="Z40" i="50158" s="1"/>
  <c r="W41" i="50158"/>
  <c r="W42" i="50158"/>
  <c r="Y42" i="50158" s="1"/>
  <c r="W43" i="50158"/>
  <c r="Y43" i="50158" s="1"/>
  <c r="W44" i="50158"/>
  <c r="Z44" i="50158"/>
  <c r="Z45" i="50158"/>
  <c r="Z46" i="50158"/>
  <c r="Z47" i="50158"/>
  <c r="Z48" i="50158"/>
  <c r="Z49" i="50158"/>
  <c r="Z50" i="50158"/>
  <c r="Z51" i="50158"/>
  <c r="Z52" i="50158"/>
  <c r="Z53" i="50158"/>
  <c r="Z54" i="50158"/>
  <c r="Z55" i="50158"/>
  <c r="Z56" i="50158"/>
  <c r="Z57" i="50158"/>
  <c r="Z58" i="50158"/>
  <c r="Z59" i="50158"/>
  <c r="Z60" i="50158"/>
  <c r="Z61" i="50158"/>
  <c r="Z62" i="50158"/>
  <c r="Z63" i="50158"/>
  <c r="Z64" i="50158"/>
  <c r="Z65" i="50158"/>
  <c r="Z66" i="50158"/>
  <c r="Z67" i="50158"/>
  <c r="Z68" i="50158"/>
  <c r="Z69" i="50158"/>
  <c r="Z70" i="50158"/>
  <c r="Z71" i="50158"/>
  <c r="Z72" i="50158"/>
  <c r="Z73" i="50158"/>
  <c r="Z74" i="50158"/>
  <c r="Z75" i="50158"/>
  <c r="Z76" i="50158"/>
  <c r="Z77" i="50158"/>
  <c r="Z78" i="50158"/>
  <c r="Z79" i="50158"/>
  <c r="Z80" i="50158"/>
  <c r="Z81" i="50158"/>
  <c r="Z82" i="50158"/>
  <c r="Z83" i="50158"/>
  <c r="Z84" i="50158"/>
  <c r="Z85" i="50158"/>
  <c r="Z86" i="50158"/>
  <c r="Z87" i="50158"/>
  <c r="Z88" i="50158"/>
  <c r="Z89" i="50158"/>
  <c r="Z90" i="50158"/>
  <c r="Z91" i="50158"/>
  <c r="Z92" i="50158"/>
  <c r="Z93" i="50158"/>
  <c r="Z94" i="50158"/>
  <c r="Z95" i="50158"/>
  <c r="Z96" i="50158"/>
  <c r="Z97" i="50158"/>
  <c r="Z98" i="50158"/>
  <c r="Z99" i="50158"/>
  <c r="Z100" i="50158"/>
  <c r="Z101" i="50158"/>
  <c r="Z102" i="50158"/>
  <c r="Z103" i="50158"/>
  <c r="Z104" i="50158"/>
  <c r="Z105" i="50158"/>
  <c r="Z106" i="50158"/>
  <c r="Z107" i="50158"/>
  <c r="Z108" i="50158"/>
  <c r="Z109" i="50158"/>
  <c r="Z110" i="50158"/>
  <c r="Z111" i="50158"/>
  <c r="Z112" i="50158"/>
  <c r="Z113" i="50158"/>
  <c r="Z114" i="50158"/>
  <c r="Z115" i="50158"/>
  <c r="Z116" i="50158"/>
  <c r="Z117" i="50158"/>
  <c r="Z118" i="50158"/>
  <c r="Z119" i="50158"/>
  <c r="Z120" i="50158"/>
  <c r="Z121" i="50158"/>
  <c r="Z122" i="50158"/>
  <c r="Z123" i="50158"/>
  <c r="Z124" i="50158"/>
  <c r="Z125" i="50158"/>
  <c r="Z126" i="50158"/>
  <c r="Z127" i="50158"/>
  <c r="Z128" i="50158"/>
  <c r="Z129" i="50158"/>
  <c r="Z130" i="50158"/>
  <c r="Z131" i="50158"/>
  <c r="Z132" i="50158"/>
  <c r="Z133" i="50158"/>
  <c r="Z134" i="50158"/>
  <c r="Z135" i="50158"/>
  <c r="Z136" i="50158"/>
  <c r="Z137" i="50158"/>
  <c r="Z138" i="50158"/>
  <c r="Z139" i="50158"/>
  <c r="Z140" i="50158"/>
  <c r="Z141" i="50158"/>
  <c r="Z142" i="50158"/>
  <c r="Z143" i="50158"/>
  <c r="Z144" i="50158"/>
  <c r="Z145" i="50158"/>
  <c r="Z146" i="50158"/>
  <c r="Z147" i="50158"/>
  <c r="Z148" i="50158"/>
  <c r="Z149" i="50158"/>
  <c r="Z150" i="50158"/>
  <c r="Z151" i="50158"/>
  <c r="Z152" i="50158"/>
  <c r="Z153" i="50158"/>
  <c r="Z154" i="50158"/>
  <c r="Z155" i="50158"/>
  <c r="Z156" i="50158"/>
  <c r="Z157" i="50158"/>
  <c r="Z158" i="50158"/>
  <c r="Z159" i="50158"/>
  <c r="Z160" i="50158"/>
  <c r="Z161" i="50158"/>
  <c r="Z162" i="50158"/>
  <c r="Z163" i="50158"/>
  <c r="Z164" i="50158"/>
  <c r="Z165" i="50158"/>
  <c r="Z166" i="50158"/>
  <c r="Z167" i="50158"/>
  <c r="Z168" i="50158"/>
  <c r="Z169" i="50158"/>
  <c r="Z170" i="50158"/>
  <c r="Z171" i="50158"/>
  <c r="Z172" i="50158"/>
  <c r="Z173" i="50158"/>
  <c r="Z174" i="50158"/>
  <c r="Z175" i="50158"/>
  <c r="Z176" i="50158"/>
  <c r="Z177" i="50158"/>
  <c r="Z178" i="50158"/>
  <c r="Z179" i="50158"/>
  <c r="Z180" i="50158"/>
  <c r="Z181" i="50158"/>
  <c r="Z182" i="50158"/>
  <c r="Z183" i="50158"/>
  <c r="Z184" i="50158"/>
  <c r="Z185" i="50158"/>
  <c r="Z186" i="50158"/>
  <c r="Z187" i="50158"/>
  <c r="Z188" i="50158"/>
  <c r="Z189" i="50158"/>
  <c r="Z190" i="50158"/>
  <c r="Z191" i="50158"/>
  <c r="Z192" i="50158"/>
  <c r="Z193" i="50158"/>
  <c r="Z194" i="50158"/>
  <c r="Z195" i="50158"/>
  <c r="Z196" i="50158"/>
  <c r="Z197" i="50158"/>
  <c r="Z198" i="50158"/>
  <c r="Z199" i="50158"/>
  <c r="Z200" i="50158"/>
  <c r="Z201" i="50158"/>
  <c r="Z202" i="50158"/>
  <c r="Z203" i="50158"/>
  <c r="Z204" i="50158"/>
  <c r="Z205" i="50158"/>
  <c r="Z206" i="50158"/>
  <c r="Z207" i="50158"/>
  <c r="Z208" i="50158"/>
  <c r="Z209" i="50158"/>
  <c r="Z210" i="50158"/>
  <c r="Z211" i="50158"/>
  <c r="Z212" i="50158"/>
  <c r="Z213" i="50158"/>
  <c r="Z214" i="50158"/>
  <c r="Z215" i="50158"/>
  <c r="Z216" i="50158"/>
  <c r="Z217" i="50158"/>
  <c r="Z218" i="50158"/>
  <c r="Z219" i="50158"/>
  <c r="Z220" i="50158"/>
  <c r="Z221" i="50158"/>
  <c r="Z222" i="50158"/>
  <c r="Z223" i="50158"/>
  <c r="Z224" i="50158"/>
  <c r="Z225" i="50158"/>
  <c r="Z226" i="50158"/>
  <c r="Z227" i="50158"/>
  <c r="Z228" i="50158"/>
  <c r="Z229" i="50158"/>
  <c r="Z230" i="50158"/>
  <c r="Z231" i="50158"/>
  <c r="Z232" i="50158"/>
  <c r="Z233" i="50158"/>
  <c r="Z234" i="50158"/>
  <c r="Z235" i="50158"/>
  <c r="Z236" i="50158"/>
  <c r="Z237" i="50158"/>
  <c r="Z238" i="50158"/>
  <c r="Z239" i="50158"/>
  <c r="Z240" i="50158"/>
  <c r="Z241" i="50158"/>
  <c r="Z242" i="50158"/>
  <c r="Z243" i="50158"/>
  <c r="Z244" i="50158"/>
  <c r="Z245" i="50158"/>
  <c r="Z246" i="50158"/>
  <c r="Z247" i="50158"/>
  <c r="Z248" i="50158"/>
  <c r="Z249" i="50158"/>
  <c r="Z250" i="50158"/>
  <c r="Z251" i="50158"/>
  <c r="Z252" i="50158"/>
  <c r="Z253" i="50158"/>
  <c r="Z254" i="50158"/>
  <c r="Z255" i="50158"/>
  <c r="Z256" i="50158"/>
  <c r="Z257" i="50158"/>
  <c r="Z258" i="50158"/>
  <c r="Z259" i="50158"/>
  <c r="Z260" i="50158"/>
  <c r="Z261" i="50158"/>
  <c r="Z262" i="50158"/>
  <c r="Z263" i="50158"/>
  <c r="Z264" i="50158"/>
  <c r="Z265" i="50158"/>
  <c r="Z266" i="50158"/>
  <c r="Z267" i="50158"/>
  <c r="Z268" i="50158"/>
  <c r="Z269" i="50158"/>
  <c r="Z270" i="50158"/>
  <c r="Z271" i="50158"/>
  <c r="Z272" i="50158"/>
  <c r="Z273" i="50158"/>
  <c r="Z274" i="50158"/>
  <c r="Z275" i="50158"/>
  <c r="Z276" i="50158"/>
  <c r="Z277" i="50158"/>
  <c r="Z278" i="50158"/>
  <c r="Z279" i="50158"/>
  <c r="Z280" i="50158"/>
  <c r="Z281" i="50158"/>
  <c r="Z282" i="50158"/>
  <c r="Z283" i="50158"/>
  <c r="Z284" i="50158"/>
  <c r="Z285" i="50158"/>
  <c r="Z286" i="50158"/>
  <c r="Z287" i="50158"/>
  <c r="Z288" i="50158"/>
  <c r="Z289" i="50158"/>
  <c r="Z290" i="50158"/>
  <c r="Z291" i="50158"/>
  <c r="Z292" i="50158"/>
  <c r="Z293" i="50158"/>
  <c r="Z294" i="50158"/>
  <c r="Z295" i="50158"/>
  <c r="Z296" i="50158"/>
  <c r="Z297" i="50158"/>
  <c r="Z298" i="50158"/>
  <c r="Z299" i="50158"/>
  <c r="Z300" i="50158"/>
  <c r="Z301" i="50158"/>
  <c r="Z302" i="50158"/>
  <c r="Z303" i="50158"/>
  <c r="Z304" i="50158"/>
  <c r="Y7" i="50158"/>
  <c r="Y9" i="50158"/>
  <c r="Y10" i="50158"/>
  <c r="Y11" i="50158"/>
  <c r="Y14" i="50158"/>
  <c r="Y16" i="50158"/>
  <c r="Y19" i="50158"/>
  <c r="Y20" i="50158"/>
  <c r="Y22" i="50158"/>
  <c r="Y23" i="50158"/>
  <c r="Y25" i="50158"/>
  <c r="Y26" i="50158"/>
  <c r="Y28" i="50158"/>
  <c r="Y30" i="50158"/>
  <c r="Y31" i="50158"/>
  <c r="Y33" i="50158"/>
  <c r="Y36" i="50158"/>
  <c r="Y38" i="50158"/>
  <c r="Y39" i="50158"/>
  <c r="Y44" i="50158"/>
  <c r="Y45" i="50158"/>
  <c r="Y46" i="50158"/>
  <c r="Y47" i="50158"/>
  <c r="Y48" i="50158"/>
  <c r="Y49" i="50158"/>
  <c r="Y50" i="50158"/>
  <c r="Y51" i="50158"/>
  <c r="Y52" i="50158"/>
  <c r="Y53" i="50158"/>
  <c r="Y54" i="50158"/>
  <c r="Y55" i="50158"/>
  <c r="Y56" i="50158"/>
  <c r="Y57" i="50158"/>
  <c r="Y58" i="50158"/>
  <c r="Y59" i="50158"/>
  <c r="Y60" i="50158"/>
  <c r="Y61" i="50158"/>
  <c r="Y62" i="50158"/>
  <c r="Y63" i="50158"/>
  <c r="Y64" i="50158"/>
  <c r="Y65" i="50158"/>
  <c r="Y66" i="50158"/>
  <c r="Y67" i="50158"/>
  <c r="Y68" i="50158"/>
  <c r="Y69" i="50158"/>
  <c r="Y70" i="50158"/>
  <c r="Y71" i="50158"/>
  <c r="Y72" i="50158"/>
  <c r="Y73" i="50158"/>
  <c r="Y74" i="50158"/>
  <c r="Y75" i="50158"/>
  <c r="Y76" i="50158"/>
  <c r="Y77" i="50158"/>
  <c r="Y78" i="50158"/>
  <c r="Y79" i="50158"/>
  <c r="Y80" i="50158"/>
  <c r="Y81" i="50158"/>
  <c r="Y82" i="50158"/>
  <c r="Y83" i="50158"/>
  <c r="Y84" i="50158"/>
  <c r="Y85" i="50158"/>
  <c r="Y86" i="50158"/>
  <c r="Y87" i="50158"/>
  <c r="Y88" i="50158"/>
  <c r="Y89" i="50158"/>
  <c r="Y90" i="50158"/>
  <c r="Y91" i="50158"/>
  <c r="Y92" i="50158"/>
  <c r="Y93" i="50158"/>
  <c r="Y94" i="50158"/>
  <c r="Y95" i="50158"/>
  <c r="Y96" i="50158"/>
  <c r="Y97" i="50158"/>
  <c r="Y98" i="50158"/>
  <c r="Y99" i="50158"/>
  <c r="Y100" i="50158"/>
  <c r="Y101" i="50158"/>
  <c r="Y102" i="50158"/>
  <c r="Y103" i="50158"/>
  <c r="Y104" i="50158"/>
  <c r="Y105" i="50158"/>
  <c r="Y106" i="50158"/>
  <c r="Y107" i="50158"/>
  <c r="Y108" i="50158"/>
  <c r="Y109" i="50158"/>
  <c r="Y110" i="50158"/>
  <c r="Y111" i="50158"/>
  <c r="Y112" i="50158"/>
  <c r="Y113" i="50158"/>
  <c r="Y114" i="50158"/>
  <c r="Y115" i="50158"/>
  <c r="Y116" i="50158"/>
  <c r="Y117" i="50158"/>
  <c r="Y118" i="50158"/>
  <c r="Y119" i="50158"/>
  <c r="Y120" i="50158"/>
  <c r="Y121" i="50158"/>
  <c r="Y122" i="50158"/>
  <c r="Y123" i="50158"/>
  <c r="Y124" i="50158"/>
  <c r="Y125" i="50158"/>
  <c r="Y126" i="50158"/>
  <c r="Y127" i="50158"/>
  <c r="Y128" i="50158"/>
  <c r="Y129" i="50158"/>
  <c r="Y130" i="50158"/>
  <c r="Y131" i="50158"/>
  <c r="Y132" i="50158"/>
  <c r="Y133" i="50158"/>
  <c r="Y134" i="50158"/>
  <c r="Y135" i="50158"/>
  <c r="Y136" i="50158"/>
  <c r="Y137" i="50158"/>
  <c r="Y138" i="50158"/>
  <c r="Y139" i="50158"/>
  <c r="Y140" i="50158"/>
  <c r="Y141" i="50158"/>
  <c r="Y142" i="50158"/>
  <c r="Y143" i="50158"/>
  <c r="Y144" i="50158"/>
  <c r="Y145" i="50158"/>
  <c r="Y146" i="50158"/>
  <c r="Y147" i="50158"/>
  <c r="Y148" i="50158"/>
  <c r="Y149" i="50158"/>
  <c r="Y150" i="50158"/>
  <c r="Y151" i="50158"/>
  <c r="Y152" i="50158"/>
  <c r="Y153" i="50158"/>
  <c r="Y154" i="50158"/>
  <c r="Y155" i="50158"/>
  <c r="Y156" i="50158"/>
  <c r="Y157" i="50158"/>
  <c r="Y158" i="50158"/>
  <c r="Y159" i="50158"/>
  <c r="Y160" i="50158"/>
  <c r="Y161" i="50158"/>
  <c r="Y162" i="50158"/>
  <c r="Y163" i="50158"/>
  <c r="Y164" i="50158"/>
  <c r="Y165" i="50158"/>
  <c r="Y166" i="50158"/>
  <c r="Y167" i="50158"/>
  <c r="Y168" i="50158"/>
  <c r="Y169" i="50158"/>
  <c r="Y170" i="50158"/>
  <c r="Y171" i="50158"/>
  <c r="Y172" i="50158"/>
  <c r="Y173" i="50158"/>
  <c r="Y174" i="50158"/>
  <c r="Y175" i="50158"/>
  <c r="Y176" i="50158"/>
  <c r="Y177" i="50158"/>
  <c r="Y178" i="50158"/>
  <c r="Y179" i="50158"/>
  <c r="Y180" i="50158"/>
  <c r="Y181" i="50158"/>
  <c r="Y182" i="50158"/>
  <c r="Y183" i="50158"/>
  <c r="Y184" i="50158"/>
  <c r="Y185" i="50158"/>
  <c r="Y186" i="50158"/>
  <c r="Y187" i="50158"/>
  <c r="Y188" i="50158"/>
  <c r="Y189" i="50158"/>
  <c r="Y190" i="50158"/>
  <c r="Y191" i="50158"/>
  <c r="Y192" i="50158"/>
  <c r="Y193" i="50158"/>
  <c r="Y194" i="50158"/>
  <c r="Y195" i="50158"/>
  <c r="Y196" i="50158"/>
  <c r="Y197" i="50158"/>
  <c r="Y198" i="50158"/>
  <c r="Y199" i="50158"/>
  <c r="Y200" i="50158"/>
  <c r="Y201" i="50158"/>
  <c r="Y202" i="50158"/>
  <c r="Y203" i="50158"/>
  <c r="Y204" i="50158"/>
  <c r="Y205" i="50158"/>
  <c r="Y206" i="50158"/>
  <c r="Y207" i="50158"/>
  <c r="Y208" i="50158"/>
  <c r="Y209" i="50158"/>
  <c r="Y210" i="50158"/>
  <c r="Y211" i="50158"/>
  <c r="Y212" i="50158"/>
  <c r="Y213" i="50158"/>
  <c r="Y214" i="50158"/>
  <c r="Y215" i="50158"/>
  <c r="Y216" i="50158"/>
  <c r="Y217" i="50158"/>
  <c r="Y218" i="50158"/>
  <c r="Y219" i="50158"/>
  <c r="Y220" i="50158"/>
  <c r="Y221" i="50158"/>
  <c r="Y222" i="50158"/>
  <c r="Y223" i="50158"/>
  <c r="Y224" i="50158"/>
  <c r="Y225" i="50158"/>
  <c r="Y226" i="50158"/>
  <c r="Y227" i="50158"/>
  <c r="Y228" i="50158"/>
  <c r="Y229" i="50158"/>
  <c r="Y230" i="50158"/>
  <c r="Y231" i="50158"/>
  <c r="Y232" i="50158"/>
  <c r="Y233" i="50158"/>
  <c r="Y234" i="50158"/>
  <c r="Y235" i="50158"/>
  <c r="Y236" i="50158"/>
  <c r="Y237" i="50158"/>
  <c r="Y238" i="50158"/>
  <c r="Y239" i="50158"/>
  <c r="Y240" i="50158"/>
  <c r="Y241" i="50158"/>
  <c r="Y242" i="50158"/>
  <c r="Y243" i="50158"/>
  <c r="Y244" i="50158"/>
  <c r="Y245" i="50158"/>
  <c r="Y246" i="50158"/>
  <c r="Y247" i="50158"/>
  <c r="Y248" i="50158"/>
  <c r="Y249" i="50158"/>
  <c r="Y250" i="50158"/>
  <c r="Y251" i="50158"/>
  <c r="Y252" i="50158"/>
  <c r="Y253" i="50158"/>
  <c r="Y254" i="50158"/>
  <c r="Y255" i="50158"/>
  <c r="Y256" i="50158"/>
  <c r="Y257" i="50158"/>
  <c r="Y258" i="50158"/>
  <c r="Y259" i="50158"/>
  <c r="Y260" i="50158"/>
  <c r="Y261" i="50158"/>
  <c r="Y262" i="50158"/>
  <c r="Y263" i="50158"/>
  <c r="Y264" i="50158"/>
  <c r="Y265" i="50158"/>
  <c r="Y266" i="50158"/>
  <c r="Y267" i="50158"/>
  <c r="Y268" i="50158"/>
  <c r="Y269" i="50158"/>
  <c r="Y270" i="50158"/>
  <c r="Y271" i="50158"/>
  <c r="Y272" i="50158"/>
  <c r="Y273" i="50158"/>
  <c r="Y274" i="50158"/>
  <c r="Y275" i="50158"/>
  <c r="Y276" i="50158"/>
  <c r="Y277" i="50158"/>
  <c r="Y278" i="50158"/>
  <c r="Y279" i="50158"/>
  <c r="Y280" i="50158"/>
  <c r="Y281" i="50158"/>
  <c r="Y282" i="50158"/>
  <c r="Y283" i="50158"/>
  <c r="Y284" i="50158"/>
  <c r="Y285" i="50158"/>
  <c r="Y286" i="50158"/>
  <c r="Y287" i="50158"/>
  <c r="Y288" i="50158"/>
  <c r="Y289" i="50158"/>
  <c r="Y290" i="50158"/>
  <c r="Y291" i="50158"/>
  <c r="Y292" i="50158"/>
  <c r="Y293" i="50158"/>
  <c r="Y294" i="50158"/>
  <c r="Y295" i="50158"/>
  <c r="Y296" i="50158"/>
  <c r="Y297" i="50158"/>
  <c r="Y298" i="50158"/>
  <c r="Y299" i="50158"/>
  <c r="Y300" i="50158"/>
  <c r="Y301" i="50158"/>
  <c r="Y302" i="50158"/>
  <c r="Y303" i="50158"/>
  <c r="Y304" i="50158"/>
  <c r="AA6" i="50158"/>
  <c r="AB6" i="50158"/>
  <c r="AA7" i="50158"/>
  <c r="AB7" i="50158"/>
  <c r="AA8" i="50158"/>
  <c r="AB8" i="50158"/>
  <c r="AA9" i="50158"/>
  <c r="AB9" i="50158"/>
  <c r="AA10" i="50158"/>
  <c r="AB10" i="50158"/>
  <c r="AA11" i="50158"/>
  <c r="AB11" i="50158"/>
  <c r="AA12" i="50158"/>
  <c r="AB12" i="50158"/>
  <c r="A13" i="50158"/>
  <c r="D13" i="50158"/>
  <c r="G13" i="50158"/>
  <c r="J13" i="50158"/>
  <c r="M13" i="50158"/>
  <c r="P13" i="50158"/>
  <c r="AA13" i="50158"/>
  <c r="AB13" i="50158"/>
  <c r="AU13" i="50158"/>
  <c r="AV13" i="50158"/>
  <c r="AW13" i="50158"/>
  <c r="AX13" i="50158"/>
  <c r="AY13" i="50158"/>
  <c r="AZ13" i="50158"/>
  <c r="BA13" i="50158"/>
  <c r="BB13" i="50158"/>
  <c r="BC13" i="50158"/>
  <c r="BD13" i="50158"/>
  <c r="BE13" i="50158"/>
  <c r="BF13" i="50158"/>
  <c r="BG13" i="50158"/>
  <c r="BH13" i="50158"/>
  <c r="BI13" i="50158"/>
  <c r="BJ13" i="50158"/>
  <c r="BK13" i="50158"/>
  <c r="BL13" i="50158"/>
  <c r="A14" i="50158"/>
  <c r="D14" i="50158"/>
  <c r="G14" i="50158"/>
  <c r="J14" i="50158"/>
  <c r="M14" i="50158"/>
  <c r="P14" i="50158"/>
  <c r="AA14" i="50158"/>
  <c r="AB14" i="50158"/>
  <c r="AU14" i="50158"/>
  <c r="AV14" i="50158"/>
  <c r="AW14" i="50158"/>
  <c r="AX14" i="50158"/>
  <c r="AY14" i="50158"/>
  <c r="AZ14" i="50158"/>
  <c r="BA14" i="50158"/>
  <c r="BB14" i="50158"/>
  <c r="BC14" i="50158"/>
  <c r="BD14" i="50158"/>
  <c r="BE14" i="50158"/>
  <c r="BF14" i="50158"/>
  <c r="BG14" i="50158"/>
  <c r="BH14" i="50158"/>
  <c r="BI14" i="50158"/>
  <c r="BJ14" i="50158"/>
  <c r="BK14" i="50158"/>
  <c r="BL14" i="50158"/>
  <c r="A15" i="50158"/>
  <c r="D15" i="50158"/>
  <c r="G15" i="50158"/>
  <c r="J15" i="50158"/>
  <c r="M15" i="50158"/>
  <c r="P15" i="50158"/>
  <c r="AA15" i="50158"/>
  <c r="AB15" i="50158"/>
  <c r="AU15" i="50158"/>
  <c r="AV15" i="50158"/>
  <c r="AW15" i="50158"/>
  <c r="AX15" i="50158"/>
  <c r="AY15" i="50158"/>
  <c r="AZ15" i="50158"/>
  <c r="BA15" i="50158"/>
  <c r="BB15" i="50158"/>
  <c r="BC15" i="50158"/>
  <c r="BD15" i="50158"/>
  <c r="BE15" i="50158"/>
  <c r="BF15" i="50158"/>
  <c r="BG15" i="50158"/>
  <c r="BH15" i="50158"/>
  <c r="BI15" i="50158"/>
  <c r="BJ15" i="50158"/>
  <c r="BK15" i="50158"/>
  <c r="BL15" i="50158"/>
  <c r="A16" i="50158"/>
  <c r="D16" i="50158"/>
  <c r="G16" i="50158"/>
  <c r="J16" i="50158"/>
  <c r="M16" i="50158"/>
  <c r="P16" i="50158"/>
  <c r="AA16" i="50158"/>
  <c r="AB16" i="50158"/>
  <c r="AU16" i="50158"/>
  <c r="AV16" i="50158"/>
  <c r="AW16" i="50158"/>
  <c r="AX16" i="50158"/>
  <c r="AY16" i="50158"/>
  <c r="AZ16" i="50158"/>
  <c r="BA16" i="50158"/>
  <c r="BB16" i="50158"/>
  <c r="BC16" i="50158"/>
  <c r="BD16" i="50158"/>
  <c r="BE16" i="50158"/>
  <c r="BF16" i="50158"/>
  <c r="BG16" i="50158"/>
  <c r="BH16" i="50158"/>
  <c r="BI16" i="50158"/>
  <c r="BJ16" i="50158"/>
  <c r="BK16" i="50158"/>
  <c r="BL16" i="50158"/>
  <c r="A17" i="50158"/>
  <c r="D17" i="50158"/>
  <c r="G17" i="50158"/>
  <c r="J17" i="50158"/>
  <c r="M17" i="50158"/>
  <c r="P17" i="50158"/>
  <c r="AA17" i="50158"/>
  <c r="AB17" i="50158"/>
  <c r="AU17" i="50158"/>
  <c r="AV17" i="50158"/>
  <c r="AW17" i="50158"/>
  <c r="AX17" i="50158"/>
  <c r="AY17" i="50158"/>
  <c r="AZ17" i="50158"/>
  <c r="BA17" i="50158"/>
  <c r="BB17" i="50158"/>
  <c r="BC17" i="50158"/>
  <c r="BD17" i="50158"/>
  <c r="BE17" i="50158"/>
  <c r="BF17" i="50158"/>
  <c r="BG17" i="50158"/>
  <c r="BH17" i="50158"/>
  <c r="BI17" i="50158"/>
  <c r="BJ17" i="50158"/>
  <c r="BK17" i="50158"/>
  <c r="BL17" i="50158"/>
  <c r="A18" i="50158"/>
  <c r="D18" i="50158"/>
  <c r="G18" i="50158"/>
  <c r="J18" i="50158"/>
  <c r="M18" i="50158"/>
  <c r="P18" i="50158"/>
  <c r="AA18" i="50158"/>
  <c r="AB18" i="50158"/>
  <c r="AU18" i="50158"/>
  <c r="AV18" i="50158"/>
  <c r="AW18" i="50158"/>
  <c r="AX18" i="50158"/>
  <c r="AY18" i="50158"/>
  <c r="AZ18" i="50158"/>
  <c r="BA18" i="50158"/>
  <c r="BB18" i="50158"/>
  <c r="BC18" i="50158"/>
  <c r="BD18" i="50158"/>
  <c r="BE18" i="50158"/>
  <c r="BF18" i="50158"/>
  <c r="BG18" i="50158"/>
  <c r="BH18" i="50158"/>
  <c r="BI18" i="50158"/>
  <c r="BJ18" i="50158"/>
  <c r="BK18" i="50158"/>
  <c r="BL18" i="50158"/>
  <c r="A19" i="50158"/>
  <c r="D19" i="50158"/>
  <c r="G19" i="50158"/>
  <c r="J19" i="50158"/>
  <c r="M19" i="50158"/>
  <c r="P19" i="50158"/>
  <c r="AA19" i="50158"/>
  <c r="AB19" i="50158"/>
  <c r="AU19" i="50158"/>
  <c r="AV19" i="50158"/>
  <c r="AW19" i="50158"/>
  <c r="AX19" i="50158"/>
  <c r="AY19" i="50158"/>
  <c r="AZ19" i="50158"/>
  <c r="BA19" i="50158"/>
  <c r="BB19" i="50158"/>
  <c r="BC19" i="50158"/>
  <c r="BD19" i="50158"/>
  <c r="BE19" i="50158"/>
  <c r="BF19" i="50158"/>
  <c r="BG19" i="50158"/>
  <c r="BH19" i="50158"/>
  <c r="BI19" i="50158"/>
  <c r="BJ19" i="50158"/>
  <c r="BK19" i="50158"/>
  <c r="BL19" i="50158"/>
  <c r="A20" i="50158"/>
  <c r="D20" i="50158"/>
  <c r="G20" i="50158"/>
  <c r="J20" i="50158"/>
  <c r="M20" i="50158"/>
  <c r="P20" i="50158"/>
  <c r="AA20" i="50158"/>
  <c r="AB20" i="50158"/>
  <c r="AU20" i="50158"/>
  <c r="AV20" i="50158"/>
  <c r="AW20" i="50158"/>
  <c r="AX20" i="50158"/>
  <c r="AY20" i="50158"/>
  <c r="AZ20" i="50158"/>
  <c r="BA20" i="50158"/>
  <c r="BB20" i="50158"/>
  <c r="BC20" i="50158"/>
  <c r="BD20" i="50158"/>
  <c r="BE20" i="50158"/>
  <c r="BF20" i="50158"/>
  <c r="BG20" i="50158"/>
  <c r="BH20" i="50158"/>
  <c r="BI20" i="50158"/>
  <c r="BJ20" i="50158"/>
  <c r="BK20" i="50158"/>
  <c r="BL20" i="50158"/>
  <c r="A21" i="50158"/>
  <c r="D21" i="50158"/>
  <c r="G21" i="50158"/>
  <c r="J21" i="50158"/>
  <c r="M21" i="50158"/>
  <c r="P21" i="50158"/>
  <c r="AA21" i="50158"/>
  <c r="AB21" i="50158"/>
  <c r="AU21" i="50158"/>
  <c r="AV21" i="50158"/>
  <c r="AW21" i="50158"/>
  <c r="AX21" i="50158"/>
  <c r="AY21" i="50158"/>
  <c r="AZ21" i="50158"/>
  <c r="BA21" i="50158"/>
  <c r="BB21" i="50158"/>
  <c r="BC21" i="50158"/>
  <c r="BD21" i="50158"/>
  <c r="BE21" i="50158"/>
  <c r="BF21" i="50158"/>
  <c r="BG21" i="50158"/>
  <c r="BH21" i="50158"/>
  <c r="BI21" i="50158"/>
  <c r="BJ21" i="50158"/>
  <c r="BK21" i="50158"/>
  <c r="BL21" i="50158"/>
  <c r="A22" i="50158"/>
  <c r="D22" i="50158"/>
  <c r="G22" i="50158"/>
  <c r="J22" i="50158"/>
  <c r="M22" i="50158"/>
  <c r="P22" i="50158"/>
  <c r="AA22" i="50158"/>
  <c r="AB22" i="50158"/>
  <c r="AU22" i="50158"/>
  <c r="AV22" i="50158"/>
  <c r="AW22" i="50158"/>
  <c r="AX22" i="50158"/>
  <c r="AY22" i="50158"/>
  <c r="AZ22" i="50158"/>
  <c r="BA22" i="50158"/>
  <c r="BB22" i="50158"/>
  <c r="BC22" i="50158"/>
  <c r="BD22" i="50158"/>
  <c r="BE22" i="50158"/>
  <c r="BF22" i="50158"/>
  <c r="BG22" i="50158"/>
  <c r="BH22" i="50158"/>
  <c r="BI22" i="50158"/>
  <c r="BJ22" i="50158"/>
  <c r="BK22" i="50158"/>
  <c r="BL22" i="50158"/>
  <c r="A23" i="50158"/>
  <c r="D23" i="50158"/>
  <c r="G23" i="50158"/>
  <c r="J23" i="50158"/>
  <c r="M23" i="50158"/>
  <c r="P23" i="50158"/>
  <c r="AA23" i="50158"/>
  <c r="AB23" i="50158"/>
  <c r="AU23" i="50158"/>
  <c r="AV23" i="50158"/>
  <c r="AW23" i="50158"/>
  <c r="AX23" i="50158"/>
  <c r="AY23" i="50158"/>
  <c r="AZ23" i="50158"/>
  <c r="BA23" i="50158"/>
  <c r="BB23" i="50158"/>
  <c r="BC23" i="50158"/>
  <c r="BD23" i="50158"/>
  <c r="BE23" i="50158"/>
  <c r="BF23" i="50158"/>
  <c r="BG23" i="50158"/>
  <c r="BH23" i="50158"/>
  <c r="BI23" i="50158"/>
  <c r="BJ23" i="50158"/>
  <c r="BK23" i="50158"/>
  <c r="BL23" i="50158"/>
  <c r="A24" i="50158"/>
  <c r="D24" i="50158"/>
  <c r="G24" i="50158"/>
  <c r="J24" i="50158"/>
  <c r="M24" i="50158"/>
  <c r="P24" i="50158"/>
  <c r="AA24" i="50158"/>
  <c r="AB24" i="50158"/>
  <c r="AU24" i="50158"/>
  <c r="AV24" i="50158"/>
  <c r="AW24" i="50158"/>
  <c r="AX24" i="50158"/>
  <c r="AY24" i="50158"/>
  <c r="AZ24" i="50158"/>
  <c r="BA24" i="50158"/>
  <c r="BB24" i="50158"/>
  <c r="BC24" i="50158"/>
  <c r="BD24" i="50158"/>
  <c r="BE24" i="50158"/>
  <c r="BF24" i="50158"/>
  <c r="BG24" i="50158"/>
  <c r="BH24" i="50158"/>
  <c r="BI24" i="50158"/>
  <c r="BJ24" i="50158"/>
  <c r="BK24" i="50158"/>
  <c r="BL24" i="50158"/>
  <c r="A25" i="50158"/>
  <c r="D25" i="50158"/>
  <c r="G25" i="50158"/>
  <c r="J25" i="50158"/>
  <c r="M25" i="50158"/>
  <c r="P25" i="50158"/>
  <c r="AA25" i="50158"/>
  <c r="AB25" i="50158"/>
  <c r="AU25" i="50158"/>
  <c r="AV25" i="50158"/>
  <c r="AW25" i="50158"/>
  <c r="AX25" i="50158"/>
  <c r="AY25" i="50158"/>
  <c r="AZ25" i="50158"/>
  <c r="BA25" i="50158"/>
  <c r="BB25" i="50158"/>
  <c r="BC25" i="50158"/>
  <c r="BD25" i="50158"/>
  <c r="BE25" i="50158"/>
  <c r="BF25" i="50158"/>
  <c r="BG25" i="50158"/>
  <c r="BH25" i="50158"/>
  <c r="BI25" i="50158"/>
  <c r="BJ25" i="50158"/>
  <c r="BK25" i="50158"/>
  <c r="BL25" i="50158"/>
  <c r="A26" i="50158"/>
  <c r="D26" i="50158"/>
  <c r="G26" i="50158"/>
  <c r="J26" i="50158"/>
  <c r="M26" i="50158"/>
  <c r="P26" i="50158"/>
  <c r="AA26" i="50158"/>
  <c r="AB26" i="50158"/>
  <c r="AU26" i="50158"/>
  <c r="AV26" i="50158"/>
  <c r="AW26" i="50158"/>
  <c r="AX26" i="50158"/>
  <c r="AY26" i="50158"/>
  <c r="AZ26" i="50158"/>
  <c r="BA26" i="50158"/>
  <c r="BB26" i="50158"/>
  <c r="BC26" i="50158"/>
  <c r="BD26" i="50158"/>
  <c r="BE26" i="50158"/>
  <c r="BF26" i="50158"/>
  <c r="BG26" i="50158"/>
  <c r="BH26" i="50158"/>
  <c r="BI26" i="50158"/>
  <c r="BJ26" i="50158"/>
  <c r="BK26" i="50158"/>
  <c r="BL26" i="50158"/>
  <c r="A27" i="50158"/>
  <c r="D27" i="50158"/>
  <c r="G27" i="50158"/>
  <c r="J27" i="50158"/>
  <c r="M27" i="50158"/>
  <c r="P27" i="50158"/>
  <c r="AA27" i="50158"/>
  <c r="AB27" i="50158"/>
  <c r="AU27" i="50158"/>
  <c r="AV27" i="50158"/>
  <c r="AW27" i="50158"/>
  <c r="AX27" i="50158"/>
  <c r="AY27" i="50158"/>
  <c r="AZ27" i="50158"/>
  <c r="BA27" i="50158"/>
  <c r="BB27" i="50158"/>
  <c r="BC27" i="50158"/>
  <c r="BD27" i="50158"/>
  <c r="BE27" i="50158"/>
  <c r="BF27" i="50158"/>
  <c r="BG27" i="50158"/>
  <c r="BH27" i="50158"/>
  <c r="BI27" i="50158"/>
  <c r="BJ27" i="50158"/>
  <c r="BK27" i="50158"/>
  <c r="BL27" i="50158"/>
  <c r="A28" i="50158"/>
  <c r="D28" i="50158"/>
  <c r="G28" i="50158"/>
  <c r="J28" i="50158"/>
  <c r="M28" i="50158"/>
  <c r="P28" i="50158"/>
  <c r="AA28" i="50158"/>
  <c r="AB28" i="50158"/>
  <c r="AU28" i="50158"/>
  <c r="AV28" i="50158"/>
  <c r="AW28" i="50158"/>
  <c r="AX28" i="50158"/>
  <c r="AY28" i="50158"/>
  <c r="AZ28" i="50158"/>
  <c r="BA28" i="50158"/>
  <c r="BB28" i="50158"/>
  <c r="BC28" i="50158"/>
  <c r="BD28" i="50158"/>
  <c r="BE28" i="50158"/>
  <c r="BF28" i="50158"/>
  <c r="BG28" i="50158"/>
  <c r="BH28" i="50158"/>
  <c r="BI28" i="50158"/>
  <c r="BJ28" i="50158"/>
  <c r="BK28" i="50158"/>
  <c r="BL28" i="50158"/>
  <c r="A29" i="50158"/>
  <c r="D29" i="50158"/>
  <c r="G29" i="50158"/>
  <c r="J29" i="50158"/>
  <c r="M29" i="50158"/>
  <c r="P29" i="50158"/>
  <c r="AA29" i="50158"/>
  <c r="AB29" i="50158"/>
  <c r="AU29" i="50158"/>
  <c r="AV29" i="50158"/>
  <c r="AW29" i="50158"/>
  <c r="AX29" i="50158"/>
  <c r="AY29" i="50158"/>
  <c r="AZ29" i="50158"/>
  <c r="BA29" i="50158"/>
  <c r="BB29" i="50158"/>
  <c r="BC29" i="50158"/>
  <c r="BD29" i="50158"/>
  <c r="BE29" i="50158"/>
  <c r="BF29" i="50158"/>
  <c r="BG29" i="50158"/>
  <c r="BH29" i="50158"/>
  <c r="BI29" i="50158"/>
  <c r="BJ29" i="50158"/>
  <c r="BK29" i="50158"/>
  <c r="BL29" i="50158"/>
  <c r="A30" i="50158"/>
  <c r="D30" i="50158"/>
  <c r="G30" i="50158"/>
  <c r="J30" i="50158"/>
  <c r="M30" i="50158"/>
  <c r="P30" i="50158"/>
  <c r="AA30" i="50158"/>
  <c r="AB30" i="50158"/>
  <c r="AU30" i="50158"/>
  <c r="AV30" i="50158"/>
  <c r="AW30" i="50158"/>
  <c r="AX30" i="50158"/>
  <c r="AY30" i="50158"/>
  <c r="AZ30" i="50158"/>
  <c r="BA30" i="50158"/>
  <c r="BB30" i="50158"/>
  <c r="BC30" i="50158"/>
  <c r="BD30" i="50158"/>
  <c r="BE30" i="50158"/>
  <c r="BF30" i="50158"/>
  <c r="BG30" i="50158"/>
  <c r="BH30" i="50158"/>
  <c r="BI30" i="50158"/>
  <c r="BJ30" i="50158"/>
  <c r="BK30" i="50158"/>
  <c r="BL30" i="50158"/>
  <c r="A31" i="50158"/>
  <c r="D31" i="50158"/>
  <c r="G31" i="50158"/>
  <c r="J31" i="50158"/>
  <c r="M31" i="50158"/>
  <c r="P31" i="50158"/>
  <c r="AA31" i="50158"/>
  <c r="AB31" i="50158"/>
  <c r="AU31" i="50158"/>
  <c r="AV31" i="50158"/>
  <c r="AW31" i="50158"/>
  <c r="AX31" i="50158"/>
  <c r="AY31" i="50158"/>
  <c r="AZ31" i="50158"/>
  <c r="BA31" i="50158"/>
  <c r="BB31" i="50158"/>
  <c r="BC31" i="50158"/>
  <c r="BD31" i="50158"/>
  <c r="BE31" i="50158"/>
  <c r="BF31" i="50158"/>
  <c r="BG31" i="50158"/>
  <c r="BH31" i="50158"/>
  <c r="BI31" i="50158"/>
  <c r="BJ31" i="50158"/>
  <c r="BK31" i="50158"/>
  <c r="BL31" i="50158"/>
  <c r="A32" i="50158"/>
  <c r="D32" i="50158"/>
  <c r="G32" i="50158"/>
  <c r="J32" i="50158"/>
  <c r="M32" i="50158"/>
  <c r="P32" i="50158"/>
  <c r="AA32" i="50158"/>
  <c r="AB32" i="50158"/>
  <c r="AU32" i="50158"/>
  <c r="AV32" i="50158"/>
  <c r="AW32" i="50158"/>
  <c r="AX32" i="50158"/>
  <c r="AY32" i="50158"/>
  <c r="AZ32" i="50158"/>
  <c r="BA32" i="50158"/>
  <c r="BB32" i="50158"/>
  <c r="BC32" i="50158"/>
  <c r="BD32" i="50158"/>
  <c r="BE32" i="50158"/>
  <c r="BF32" i="50158"/>
  <c r="BG32" i="50158"/>
  <c r="BH32" i="50158"/>
  <c r="BI32" i="50158"/>
  <c r="BJ32" i="50158"/>
  <c r="BK32" i="50158"/>
  <c r="BL32" i="50158"/>
  <c r="A33" i="50158"/>
  <c r="D33" i="50158"/>
  <c r="G33" i="50158"/>
  <c r="J33" i="50158"/>
  <c r="M33" i="50158"/>
  <c r="P33" i="50158"/>
  <c r="AA33" i="50158"/>
  <c r="AB33" i="50158"/>
  <c r="AU33" i="50158"/>
  <c r="AV33" i="50158"/>
  <c r="AW33" i="50158"/>
  <c r="AX33" i="50158"/>
  <c r="AY33" i="50158"/>
  <c r="AZ33" i="50158"/>
  <c r="BA33" i="50158"/>
  <c r="BB33" i="50158"/>
  <c r="BC33" i="50158"/>
  <c r="BD33" i="50158"/>
  <c r="BE33" i="50158"/>
  <c r="BF33" i="50158"/>
  <c r="BG33" i="50158"/>
  <c r="BH33" i="50158"/>
  <c r="BI33" i="50158"/>
  <c r="BJ33" i="50158"/>
  <c r="BK33" i="50158"/>
  <c r="BL33" i="50158"/>
  <c r="A34" i="50158"/>
  <c r="D34" i="50158"/>
  <c r="G34" i="50158"/>
  <c r="J34" i="50158"/>
  <c r="M34" i="50158"/>
  <c r="P34" i="50158"/>
  <c r="AA34" i="50158"/>
  <c r="AB34" i="50158"/>
  <c r="AU34" i="50158"/>
  <c r="AV34" i="50158"/>
  <c r="AW34" i="50158"/>
  <c r="AX34" i="50158"/>
  <c r="AY34" i="50158"/>
  <c r="AZ34" i="50158"/>
  <c r="BA34" i="50158"/>
  <c r="BB34" i="50158"/>
  <c r="BC34" i="50158"/>
  <c r="BD34" i="50158"/>
  <c r="BE34" i="50158"/>
  <c r="BF34" i="50158"/>
  <c r="BG34" i="50158"/>
  <c r="BH34" i="50158"/>
  <c r="BI34" i="50158"/>
  <c r="BJ34" i="50158"/>
  <c r="BK34" i="50158"/>
  <c r="BL34" i="50158"/>
  <c r="A35" i="50158"/>
  <c r="D35" i="50158"/>
  <c r="G35" i="50158"/>
  <c r="J35" i="50158"/>
  <c r="M35" i="50158"/>
  <c r="P35" i="50158"/>
  <c r="AA35" i="50158"/>
  <c r="AB35" i="50158"/>
  <c r="AU35" i="50158"/>
  <c r="AV35" i="50158"/>
  <c r="AW35" i="50158"/>
  <c r="AX35" i="50158"/>
  <c r="AY35" i="50158"/>
  <c r="AZ35" i="50158"/>
  <c r="BA35" i="50158"/>
  <c r="BB35" i="50158"/>
  <c r="BC35" i="50158"/>
  <c r="BD35" i="50158"/>
  <c r="BE35" i="50158"/>
  <c r="BF35" i="50158"/>
  <c r="BG35" i="50158"/>
  <c r="BH35" i="50158"/>
  <c r="BI35" i="50158"/>
  <c r="BJ35" i="50158"/>
  <c r="BK35" i="50158"/>
  <c r="BL35" i="50158"/>
  <c r="A36" i="50158"/>
  <c r="D36" i="50158"/>
  <c r="G36" i="50158"/>
  <c r="J36" i="50158"/>
  <c r="M36" i="50158"/>
  <c r="P36" i="50158"/>
  <c r="AA36" i="50158"/>
  <c r="AB36" i="50158"/>
  <c r="AU36" i="50158"/>
  <c r="AV36" i="50158"/>
  <c r="AW36" i="50158"/>
  <c r="AX36" i="50158"/>
  <c r="AY36" i="50158"/>
  <c r="AZ36" i="50158"/>
  <c r="BA36" i="50158"/>
  <c r="BB36" i="50158"/>
  <c r="BC36" i="50158"/>
  <c r="BD36" i="50158"/>
  <c r="BE36" i="50158"/>
  <c r="BF36" i="50158"/>
  <c r="BG36" i="50158"/>
  <c r="BH36" i="50158"/>
  <c r="BI36" i="50158"/>
  <c r="BJ36" i="50158"/>
  <c r="BK36" i="50158"/>
  <c r="BL36" i="50158"/>
  <c r="A37" i="50158"/>
  <c r="D37" i="50158"/>
  <c r="G37" i="50158"/>
  <c r="J37" i="50158"/>
  <c r="M37" i="50158"/>
  <c r="P37" i="50158"/>
  <c r="AA37" i="50158"/>
  <c r="AB37" i="50158"/>
  <c r="AU37" i="50158"/>
  <c r="AV37" i="50158"/>
  <c r="AW37" i="50158"/>
  <c r="AX37" i="50158"/>
  <c r="AY37" i="50158"/>
  <c r="AZ37" i="50158"/>
  <c r="BA37" i="50158"/>
  <c r="BB37" i="50158"/>
  <c r="BC37" i="50158"/>
  <c r="BD37" i="50158"/>
  <c r="BE37" i="50158"/>
  <c r="BF37" i="50158"/>
  <c r="BG37" i="50158"/>
  <c r="BH37" i="50158"/>
  <c r="BI37" i="50158"/>
  <c r="BJ37" i="50158"/>
  <c r="BK37" i="50158"/>
  <c r="BL37" i="50158"/>
  <c r="A38" i="50158"/>
  <c r="D38" i="50158"/>
  <c r="G38" i="50158"/>
  <c r="J38" i="50158"/>
  <c r="M38" i="50158"/>
  <c r="P38" i="50158"/>
  <c r="AA38" i="50158"/>
  <c r="AB38" i="50158"/>
  <c r="AU38" i="50158"/>
  <c r="AV38" i="50158"/>
  <c r="AW38" i="50158"/>
  <c r="AX38" i="50158"/>
  <c r="AY38" i="50158"/>
  <c r="AZ38" i="50158"/>
  <c r="BA38" i="50158"/>
  <c r="BB38" i="50158"/>
  <c r="BC38" i="50158"/>
  <c r="BD38" i="50158"/>
  <c r="BE38" i="50158"/>
  <c r="BF38" i="50158"/>
  <c r="BG38" i="50158"/>
  <c r="BH38" i="50158"/>
  <c r="BI38" i="50158"/>
  <c r="BJ38" i="50158"/>
  <c r="BK38" i="50158"/>
  <c r="BL38" i="50158"/>
  <c r="A39" i="50158"/>
  <c r="D39" i="50158"/>
  <c r="G39" i="50158"/>
  <c r="J39" i="50158"/>
  <c r="M39" i="50158"/>
  <c r="P39" i="50158"/>
  <c r="AA39" i="50158"/>
  <c r="AB39" i="50158"/>
  <c r="AU39" i="50158"/>
  <c r="AV39" i="50158"/>
  <c r="AW39" i="50158"/>
  <c r="AX39" i="50158"/>
  <c r="AY39" i="50158"/>
  <c r="AZ39" i="50158"/>
  <c r="BA39" i="50158"/>
  <c r="BB39" i="50158"/>
  <c r="BC39" i="50158"/>
  <c r="BD39" i="50158"/>
  <c r="BE39" i="50158"/>
  <c r="BF39" i="50158"/>
  <c r="BG39" i="50158"/>
  <c r="BH39" i="50158"/>
  <c r="BI39" i="50158"/>
  <c r="BJ39" i="50158"/>
  <c r="BK39" i="50158"/>
  <c r="BL39" i="50158"/>
  <c r="A40" i="50158"/>
  <c r="D40" i="50158"/>
  <c r="G40" i="50158"/>
  <c r="J40" i="50158"/>
  <c r="M40" i="50158"/>
  <c r="P40" i="50158"/>
  <c r="AA40" i="50158"/>
  <c r="AB40" i="50158"/>
  <c r="AU40" i="50158"/>
  <c r="AV40" i="50158"/>
  <c r="AW40" i="50158"/>
  <c r="AX40" i="50158"/>
  <c r="AY40" i="50158"/>
  <c r="AZ40" i="50158"/>
  <c r="BA40" i="50158"/>
  <c r="BB40" i="50158"/>
  <c r="BC40" i="50158"/>
  <c r="BD40" i="50158"/>
  <c r="BE40" i="50158"/>
  <c r="BF40" i="50158"/>
  <c r="BG40" i="50158"/>
  <c r="BH40" i="50158"/>
  <c r="BI40" i="50158"/>
  <c r="BJ40" i="50158"/>
  <c r="BK40" i="50158"/>
  <c r="BL40" i="50158"/>
  <c r="A41" i="50158"/>
  <c r="D41" i="50158"/>
  <c r="G41" i="50158"/>
  <c r="J41" i="50158"/>
  <c r="M41" i="50158"/>
  <c r="P41" i="50158"/>
  <c r="AA41" i="50158"/>
  <c r="AB41" i="50158"/>
  <c r="AU41" i="50158"/>
  <c r="AV41" i="50158"/>
  <c r="AW41" i="50158"/>
  <c r="AX41" i="50158"/>
  <c r="AY41" i="50158"/>
  <c r="AZ41" i="50158"/>
  <c r="BA41" i="50158"/>
  <c r="BB41" i="50158"/>
  <c r="BC41" i="50158"/>
  <c r="BD41" i="50158"/>
  <c r="BE41" i="50158"/>
  <c r="BF41" i="50158"/>
  <c r="BG41" i="50158"/>
  <c r="BH41" i="50158"/>
  <c r="BI41" i="50158"/>
  <c r="BJ41" i="50158"/>
  <c r="BK41" i="50158"/>
  <c r="BL41" i="50158"/>
  <c r="A42" i="50158"/>
  <c r="D42" i="50158"/>
  <c r="G42" i="50158"/>
  <c r="J42" i="50158"/>
  <c r="M42" i="50158"/>
  <c r="P42" i="50158"/>
  <c r="AA42" i="50158"/>
  <c r="AB42" i="50158"/>
  <c r="AU42" i="50158"/>
  <c r="AV42" i="50158"/>
  <c r="AW42" i="50158"/>
  <c r="AX42" i="50158"/>
  <c r="AY42" i="50158"/>
  <c r="AZ42" i="50158"/>
  <c r="BA42" i="50158"/>
  <c r="BB42" i="50158"/>
  <c r="BC42" i="50158"/>
  <c r="BD42" i="50158"/>
  <c r="BE42" i="50158"/>
  <c r="BF42" i="50158"/>
  <c r="BG42" i="50158"/>
  <c r="BH42" i="50158"/>
  <c r="BI42" i="50158"/>
  <c r="BJ42" i="50158"/>
  <c r="BK42" i="50158"/>
  <c r="BL42" i="50158"/>
  <c r="A43" i="50158"/>
  <c r="D43" i="50158"/>
  <c r="G43" i="50158"/>
  <c r="J43" i="50158"/>
  <c r="M43" i="50158"/>
  <c r="P43" i="50158"/>
  <c r="AA43" i="50158"/>
  <c r="AB43" i="50158"/>
  <c r="AU43" i="50158"/>
  <c r="AV43" i="50158"/>
  <c r="AW43" i="50158"/>
  <c r="AX43" i="50158"/>
  <c r="AY43" i="50158"/>
  <c r="AZ43" i="50158"/>
  <c r="BA43" i="50158"/>
  <c r="BB43" i="50158"/>
  <c r="BC43" i="50158"/>
  <c r="BD43" i="50158"/>
  <c r="BE43" i="50158"/>
  <c r="BF43" i="50158"/>
  <c r="BG43" i="50158"/>
  <c r="BH43" i="50158"/>
  <c r="BI43" i="50158"/>
  <c r="BJ43" i="50158"/>
  <c r="BK43" i="50158"/>
  <c r="BL43" i="50158"/>
  <c r="A44" i="50158"/>
  <c r="D44" i="50158"/>
  <c r="G44" i="50158"/>
  <c r="J44" i="50158"/>
  <c r="M44" i="50158"/>
  <c r="P44" i="50158"/>
  <c r="AA44" i="50158"/>
  <c r="AB44" i="50158"/>
  <c r="AU44" i="50158"/>
  <c r="AV44" i="50158"/>
  <c r="AW44" i="50158"/>
  <c r="AX44" i="50158"/>
  <c r="AY44" i="50158"/>
  <c r="AZ44" i="50158"/>
  <c r="BA44" i="50158"/>
  <c r="BB44" i="50158"/>
  <c r="BC44" i="50158"/>
  <c r="BD44" i="50158"/>
  <c r="BE44" i="50158"/>
  <c r="BF44" i="50158"/>
  <c r="BG44" i="50158"/>
  <c r="BH44" i="50158"/>
  <c r="BI44" i="50158"/>
  <c r="BJ44" i="50158"/>
  <c r="BK44" i="50158"/>
  <c r="BL44" i="50158"/>
  <c r="A45" i="50158"/>
  <c r="D45" i="50158"/>
  <c r="G45" i="50158"/>
  <c r="J45" i="50158"/>
  <c r="M45" i="50158"/>
  <c r="P45" i="50158"/>
  <c r="V45" i="50158"/>
  <c r="W45" i="50158"/>
  <c r="AA45" i="50158"/>
  <c r="AB45" i="50158"/>
  <c r="AC45" i="50158"/>
  <c r="AD45" i="50158"/>
  <c r="AU45" i="50158"/>
  <c r="AV45" i="50158"/>
  <c r="AW45" i="50158"/>
  <c r="AX45" i="50158"/>
  <c r="AY45" i="50158"/>
  <c r="AZ45" i="50158"/>
  <c r="BA45" i="50158"/>
  <c r="BB45" i="50158"/>
  <c r="BC45" i="50158"/>
  <c r="BD45" i="50158"/>
  <c r="BE45" i="50158"/>
  <c r="BF45" i="50158"/>
  <c r="BG45" i="50158"/>
  <c r="BH45" i="50158"/>
  <c r="BI45" i="50158"/>
  <c r="BJ45" i="50158"/>
  <c r="BK45" i="50158"/>
  <c r="BL45" i="50158"/>
  <c r="A46" i="50158"/>
  <c r="D46" i="50158"/>
  <c r="G46" i="50158"/>
  <c r="J46" i="50158"/>
  <c r="M46" i="50158"/>
  <c r="P46" i="50158"/>
  <c r="V46" i="50158"/>
  <c r="W46" i="50158"/>
  <c r="AA46" i="50158"/>
  <c r="AB46" i="50158"/>
  <c r="AC46" i="50158"/>
  <c r="B184" i="50158" s="1"/>
  <c r="AD46" i="50158"/>
  <c r="AU46" i="50158"/>
  <c r="AV46" i="50158"/>
  <c r="AW46" i="50158"/>
  <c r="AX46" i="50158"/>
  <c r="AY46" i="50158"/>
  <c r="AZ46" i="50158"/>
  <c r="BA46" i="50158"/>
  <c r="BB46" i="50158"/>
  <c r="BC46" i="50158"/>
  <c r="BD46" i="50158"/>
  <c r="BE46" i="50158"/>
  <c r="BF46" i="50158"/>
  <c r="BG46" i="50158"/>
  <c r="BH46" i="50158"/>
  <c r="BI46" i="50158"/>
  <c r="BJ46" i="50158"/>
  <c r="BK46" i="50158"/>
  <c r="BL46" i="50158"/>
  <c r="A47" i="50158"/>
  <c r="D47" i="50158"/>
  <c r="G47" i="50158"/>
  <c r="J47" i="50158"/>
  <c r="M47" i="50158"/>
  <c r="P47" i="50158"/>
  <c r="V47" i="50158"/>
  <c r="W47" i="50158"/>
  <c r="AA47" i="50158"/>
  <c r="AB47" i="50158"/>
  <c r="AC47" i="50158"/>
  <c r="AD47" i="50158"/>
  <c r="AU47" i="50158"/>
  <c r="AV47" i="50158"/>
  <c r="AW47" i="50158"/>
  <c r="AX47" i="50158"/>
  <c r="AY47" i="50158"/>
  <c r="AZ47" i="50158"/>
  <c r="BA47" i="50158"/>
  <c r="BB47" i="50158"/>
  <c r="BC47" i="50158"/>
  <c r="BD47" i="50158"/>
  <c r="BE47" i="50158"/>
  <c r="BF47" i="50158"/>
  <c r="BG47" i="50158"/>
  <c r="BH47" i="50158"/>
  <c r="BI47" i="50158"/>
  <c r="BJ47" i="50158"/>
  <c r="BK47" i="50158"/>
  <c r="BL47" i="50158"/>
  <c r="A48" i="50158"/>
  <c r="D48" i="50158"/>
  <c r="G48" i="50158"/>
  <c r="J48" i="50158"/>
  <c r="M48" i="50158"/>
  <c r="P48" i="50158"/>
  <c r="V48" i="50158"/>
  <c r="W48" i="50158"/>
  <c r="AA48" i="50158"/>
  <c r="AB48" i="50158"/>
  <c r="AC48" i="50158"/>
  <c r="AD48" i="50158"/>
  <c r="AU48" i="50158"/>
  <c r="AV48" i="50158"/>
  <c r="AW48" i="50158"/>
  <c r="AX48" i="50158"/>
  <c r="AY48" i="50158"/>
  <c r="AZ48" i="50158"/>
  <c r="BA48" i="50158"/>
  <c r="BB48" i="50158"/>
  <c r="BC48" i="50158"/>
  <c r="BD48" i="50158"/>
  <c r="BE48" i="50158"/>
  <c r="BF48" i="50158"/>
  <c r="BG48" i="50158"/>
  <c r="BH48" i="50158"/>
  <c r="BI48" i="50158"/>
  <c r="BJ48" i="50158"/>
  <c r="BK48" i="50158"/>
  <c r="BL48" i="50158"/>
  <c r="A49" i="50158"/>
  <c r="D49" i="50158"/>
  <c r="G49" i="50158"/>
  <c r="J49" i="50158"/>
  <c r="M49" i="50158"/>
  <c r="P49" i="50158"/>
  <c r="V49" i="50158"/>
  <c r="W49" i="50158"/>
  <c r="AA49" i="50158"/>
  <c r="AB49" i="50158"/>
  <c r="AC49" i="50158"/>
  <c r="AD49" i="50158"/>
  <c r="AU49" i="50158"/>
  <c r="AV49" i="50158"/>
  <c r="AW49" i="50158"/>
  <c r="AX49" i="50158"/>
  <c r="AY49" i="50158"/>
  <c r="AZ49" i="50158"/>
  <c r="BA49" i="50158"/>
  <c r="BB49" i="50158"/>
  <c r="BC49" i="50158"/>
  <c r="BD49" i="50158"/>
  <c r="BE49" i="50158"/>
  <c r="BF49" i="50158"/>
  <c r="BG49" i="50158"/>
  <c r="BH49" i="50158"/>
  <c r="BI49" i="50158"/>
  <c r="BJ49" i="50158"/>
  <c r="BK49" i="50158"/>
  <c r="BL49" i="50158"/>
  <c r="A50" i="50158"/>
  <c r="D50" i="50158"/>
  <c r="G50" i="50158"/>
  <c r="J50" i="50158"/>
  <c r="M50" i="50158"/>
  <c r="P50" i="50158"/>
  <c r="V50" i="50158"/>
  <c r="W50" i="50158"/>
  <c r="AA50" i="50158"/>
  <c r="AB50" i="50158"/>
  <c r="AC50" i="50158"/>
  <c r="B188" i="50158" s="1"/>
  <c r="AD50" i="50158"/>
  <c r="AU50" i="50158"/>
  <c r="AV50" i="50158"/>
  <c r="AW50" i="50158"/>
  <c r="AX50" i="50158"/>
  <c r="AY50" i="50158"/>
  <c r="AZ50" i="50158"/>
  <c r="BA50" i="50158"/>
  <c r="BB50" i="50158"/>
  <c r="BC50" i="50158"/>
  <c r="BD50" i="50158"/>
  <c r="BE50" i="50158"/>
  <c r="BF50" i="50158"/>
  <c r="BG50" i="50158"/>
  <c r="BH50" i="50158"/>
  <c r="BI50" i="50158"/>
  <c r="BJ50" i="50158"/>
  <c r="BK50" i="50158"/>
  <c r="BL50" i="50158"/>
  <c r="A51" i="50158"/>
  <c r="D51" i="50158"/>
  <c r="G51" i="50158"/>
  <c r="J51" i="50158"/>
  <c r="M51" i="50158"/>
  <c r="P51" i="50158"/>
  <c r="V51" i="50158"/>
  <c r="W51" i="50158"/>
  <c r="AA51" i="50158"/>
  <c r="AB51" i="50158"/>
  <c r="AC51" i="50158"/>
  <c r="AD51" i="50158"/>
  <c r="AU51" i="50158"/>
  <c r="AV51" i="50158"/>
  <c r="AW51" i="50158"/>
  <c r="AX51" i="50158"/>
  <c r="AY51" i="50158"/>
  <c r="AZ51" i="50158"/>
  <c r="BA51" i="50158"/>
  <c r="BB51" i="50158"/>
  <c r="BC51" i="50158"/>
  <c r="BD51" i="50158"/>
  <c r="BE51" i="50158"/>
  <c r="BF51" i="50158"/>
  <c r="BG51" i="50158"/>
  <c r="BH51" i="50158"/>
  <c r="BI51" i="50158"/>
  <c r="BJ51" i="50158"/>
  <c r="BK51" i="50158"/>
  <c r="BL51" i="50158"/>
  <c r="A52" i="50158"/>
  <c r="D52" i="50158"/>
  <c r="G52" i="50158"/>
  <c r="J52" i="50158"/>
  <c r="M52" i="50158"/>
  <c r="P52" i="50158"/>
  <c r="V52" i="50158"/>
  <c r="W52" i="50158"/>
  <c r="AA52" i="50158"/>
  <c r="AB52" i="50158"/>
  <c r="AC52" i="50158"/>
  <c r="AD52" i="50158"/>
  <c r="AU52" i="50158"/>
  <c r="AV52" i="50158"/>
  <c r="AW52" i="50158"/>
  <c r="AX52" i="50158"/>
  <c r="AY52" i="50158"/>
  <c r="AZ52" i="50158"/>
  <c r="BA52" i="50158"/>
  <c r="BB52" i="50158"/>
  <c r="BC52" i="50158"/>
  <c r="BD52" i="50158"/>
  <c r="BE52" i="50158"/>
  <c r="BF52" i="50158"/>
  <c r="BG52" i="50158"/>
  <c r="BH52" i="50158"/>
  <c r="BI52" i="50158"/>
  <c r="BJ52" i="50158"/>
  <c r="BK52" i="50158"/>
  <c r="BL52" i="50158"/>
  <c r="A53" i="50158"/>
  <c r="D53" i="50158"/>
  <c r="G53" i="50158"/>
  <c r="J53" i="50158"/>
  <c r="M53" i="50158"/>
  <c r="P53" i="50158"/>
  <c r="V53" i="50158"/>
  <c r="W53" i="50158"/>
  <c r="AA53" i="50158"/>
  <c r="AB53" i="50158"/>
  <c r="AC53" i="50158"/>
  <c r="AD53" i="50158"/>
  <c r="AU53" i="50158"/>
  <c r="AV53" i="50158"/>
  <c r="AW53" i="50158"/>
  <c r="AX53" i="50158"/>
  <c r="AY53" i="50158"/>
  <c r="AZ53" i="50158"/>
  <c r="BA53" i="50158"/>
  <c r="BB53" i="50158"/>
  <c r="BC53" i="50158"/>
  <c r="BD53" i="50158"/>
  <c r="BE53" i="50158"/>
  <c r="BF53" i="50158"/>
  <c r="BG53" i="50158"/>
  <c r="BH53" i="50158"/>
  <c r="BI53" i="50158"/>
  <c r="BJ53" i="50158"/>
  <c r="BK53" i="50158"/>
  <c r="BL53" i="50158"/>
  <c r="A54" i="50158"/>
  <c r="D54" i="50158"/>
  <c r="G54" i="50158"/>
  <c r="J54" i="50158"/>
  <c r="M54" i="50158"/>
  <c r="P54" i="50158"/>
  <c r="V54" i="50158"/>
  <c r="W54" i="50158"/>
  <c r="AA54" i="50158"/>
  <c r="AB54" i="50158"/>
  <c r="AC54" i="50158"/>
  <c r="B192" i="50158" s="1"/>
  <c r="AD54" i="50158"/>
  <c r="AU54" i="50158"/>
  <c r="AV54" i="50158"/>
  <c r="AW54" i="50158"/>
  <c r="AX54" i="50158"/>
  <c r="AY54" i="50158"/>
  <c r="AZ54" i="50158"/>
  <c r="BA54" i="50158"/>
  <c r="BB54" i="50158"/>
  <c r="BC54" i="50158"/>
  <c r="BD54" i="50158"/>
  <c r="BE54" i="50158"/>
  <c r="BF54" i="50158"/>
  <c r="BG54" i="50158"/>
  <c r="BH54" i="50158"/>
  <c r="BI54" i="50158"/>
  <c r="BJ54" i="50158"/>
  <c r="BK54" i="50158"/>
  <c r="BL54" i="50158"/>
  <c r="A55" i="50158"/>
  <c r="D55" i="50158"/>
  <c r="G55" i="50158"/>
  <c r="J55" i="50158"/>
  <c r="M55" i="50158"/>
  <c r="P55" i="50158"/>
  <c r="V55" i="50158"/>
  <c r="W55" i="50158"/>
  <c r="AA55" i="50158"/>
  <c r="AB55" i="50158"/>
  <c r="AC55" i="50158"/>
  <c r="AD55" i="50158"/>
  <c r="AU55" i="50158"/>
  <c r="AV55" i="50158"/>
  <c r="AW55" i="50158"/>
  <c r="AX55" i="50158"/>
  <c r="AY55" i="50158"/>
  <c r="AZ55" i="50158"/>
  <c r="BA55" i="50158"/>
  <c r="BB55" i="50158"/>
  <c r="BC55" i="50158"/>
  <c r="BD55" i="50158"/>
  <c r="BE55" i="50158"/>
  <c r="BF55" i="50158"/>
  <c r="BG55" i="50158"/>
  <c r="BH55" i="50158"/>
  <c r="BI55" i="50158"/>
  <c r="BJ55" i="50158"/>
  <c r="BK55" i="50158"/>
  <c r="BL55" i="50158"/>
  <c r="A56" i="50158"/>
  <c r="D56" i="50158"/>
  <c r="G56" i="50158"/>
  <c r="J56" i="50158"/>
  <c r="M56" i="50158"/>
  <c r="P56" i="50158"/>
  <c r="V56" i="50158"/>
  <c r="W56" i="50158"/>
  <c r="AA56" i="50158"/>
  <c r="AB56" i="50158"/>
  <c r="AC56" i="50158"/>
  <c r="AD56" i="50158"/>
  <c r="AU56" i="50158"/>
  <c r="AV56" i="50158"/>
  <c r="AW56" i="50158"/>
  <c r="AX56" i="50158"/>
  <c r="AY56" i="50158"/>
  <c r="AZ56" i="50158"/>
  <c r="BA56" i="50158"/>
  <c r="BB56" i="50158"/>
  <c r="BC56" i="50158"/>
  <c r="BD56" i="50158"/>
  <c r="BE56" i="50158"/>
  <c r="BF56" i="50158"/>
  <c r="BG56" i="50158"/>
  <c r="BH56" i="50158"/>
  <c r="BI56" i="50158"/>
  <c r="BJ56" i="50158"/>
  <c r="BK56" i="50158"/>
  <c r="BL56" i="50158"/>
  <c r="A57" i="50158"/>
  <c r="D57" i="50158"/>
  <c r="G57" i="50158"/>
  <c r="J57" i="50158"/>
  <c r="M57" i="50158"/>
  <c r="P57" i="50158"/>
  <c r="V57" i="50158"/>
  <c r="W57" i="50158"/>
  <c r="AA57" i="50158"/>
  <c r="AB57" i="50158"/>
  <c r="AC57" i="50158"/>
  <c r="AD57" i="50158"/>
  <c r="AU57" i="50158"/>
  <c r="AV57" i="50158"/>
  <c r="AW57" i="50158"/>
  <c r="AX57" i="50158"/>
  <c r="AY57" i="50158"/>
  <c r="AZ57" i="50158"/>
  <c r="BA57" i="50158"/>
  <c r="BB57" i="50158"/>
  <c r="BC57" i="50158"/>
  <c r="BD57" i="50158"/>
  <c r="BE57" i="50158"/>
  <c r="BF57" i="50158"/>
  <c r="BG57" i="50158"/>
  <c r="BH57" i="50158"/>
  <c r="BI57" i="50158"/>
  <c r="BJ57" i="50158"/>
  <c r="BK57" i="50158"/>
  <c r="BL57" i="50158"/>
  <c r="A58" i="50158"/>
  <c r="D58" i="50158"/>
  <c r="G58" i="50158"/>
  <c r="J58" i="50158"/>
  <c r="M58" i="50158"/>
  <c r="P58" i="50158"/>
  <c r="V58" i="50158"/>
  <c r="W58" i="50158"/>
  <c r="AA58" i="50158"/>
  <c r="AB58" i="50158"/>
  <c r="AC58" i="50158"/>
  <c r="E146" i="50158" s="1"/>
  <c r="AD58" i="50158"/>
  <c r="AU58" i="50158"/>
  <c r="AV58" i="50158"/>
  <c r="AW58" i="50158"/>
  <c r="AX58" i="50158"/>
  <c r="AY58" i="50158"/>
  <c r="AZ58" i="50158"/>
  <c r="BA58" i="50158"/>
  <c r="BB58" i="50158"/>
  <c r="BC58" i="50158"/>
  <c r="BD58" i="50158"/>
  <c r="BE58" i="50158"/>
  <c r="BF58" i="50158"/>
  <c r="BG58" i="50158"/>
  <c r="BH58" i="50158"/>
  <c r="BI58" i="50158"/>
  <c r="BJ58" i="50158"/>
  <c r="BK58" i="50158"/>
  <c r="BL58" i="50158"/>
  <c r="A59" i="50158"/>
  <c r="D59" i="50158"/>
  <c r="G59" i="50158"/>
  <c r="J59" i="50158"/>
  <c r="M59" i="50158"/>
  <c r="P59" i="50158"/>
  <c r="V59" i="50158"/>
  <c r="W59" i="50158"/>
  <c r="AA59" i="50158"/>
  <c r="AB59" i="50158"/>
  <c r="AC59" i="50158"/>
  <c r="AD59" i="50158"/>
  <c r="AU59" i="50158"/>
  <c r="AV59" i="50158"/>
  <c r="AW59" i="50158"/>
  <c r="AX59" i="50158"/>
  <c r="AY59" i="50158"/>
  <c r="AZ59" i="50158"/>
  <c r="BA59" i="50158"/>
  <c r="BB59" i="50158"/>
  <c r="BC59" i="50158"/>
  <c r="BD59" i="50158"/>
  <c r="BE59" i="50158"/>
  <c r="BF59" i="50158"/>
  <c r="BG59" i="50158"/>
  <c r="BH59" i="50158"/>
  <c r="BI59" i="50158"/>
  <c r="BJ59" i="50158"/>
  <c r="BK59" i="50158"/>
  <c r="BL59" i="50158"/>
  <c r="A60" i="50158"/>
  <c r="D60" i="50158"/>
  <c r="G60" i="50158"/>
  <c r="J60" i="50158"/>
  <c r="M60" i="50158"/>
  <c r="P60" i="50158"/>
  <c r="V60" i="50158"/>
  <c r="W60" i="50158"/>
  <c r="AA60" i="50158"/>
  <c r="AB60" i="50158"/>
  <c r="AC60" i="50158"/>
  <c r="AD60" i="50158"/>
  <c r="AU60" i="50158"/>
  <c r="AV60" i="50158"/>
  <c r="AW60" i="50158"/>
  <c r="AX60" i="50158"/>
  <c r="AY60" i="50158"/>
  <c r="AZ60" i="50158"/>
  <c r="BA60" i="50158"/>
  <c r="BB60" i="50158"/>
  <c r="BC60" i="50158"/>
  <c r="BD60" i="50158"/>
  <c r="BE60" i="50158"/>
  <c r="BF60" i="50158"/>
  <c r="BG60" i="50158"/>
  <c r="BH60" i="50158"/>
  <c r="BI60" i="50158"/>
  <c r="BJ60" i="50158"/>
  <c r="BK60" i="50158"/>
  <c r="BL60" i="50158"/>
  <c r="A61" i="50158"/>
  <c r="D61" i="50158"/>
  <c r="G61" i="50158"/>
  <c r="J61" i="50158"/>
  <c r="M61" i="50158"/>
  <c r="P61" i="50158"/>
  <c r="V61" i="50158"/>
  <c r="W61" i="50158"/>
  <c r="AA61" i="50158"/>
  <c r="AB61" i="50158"/>
  <c r="AC61" i="50158"/>
  <c r="AD61" i="50158"/>
  <c r="AU61" i="50158"/>
  <c r="AV61" i="50158"/>
  <c r="AW61" i="50158"/>
  <c r="AX61" i="50158"/>
  <c r="AY61" i="50158"/>
  <c r="AZ61" i="50158"/>
  <c r="BA61" i="50158"/>
  <c r="BB61" i="50158"/>
  <c r="BC61" i="50158"/>
  <c r="BD61" i="50158"/>
  <c r="BE61" i="50158"/>
  <c r="BF61" i="50158"/>
  <c r="BG61" i="50158"/>
  <c r="BH61" i="50158"/>
  <c r="BI61" i="50158"/>
  <c r="BJ61" i="50158"/>
  <c r="BK61" i="50158"/>
  <c r="BL61" i="50158"/>
  <c r="A62" i="50158"/>
  <c r="D62" i="50158"/>
  <c r="G62" i="50158"/>
  <c r="J62" i="50158"/>
  <c r="M62" i="50158"/>
  <c r="P62" i="50158"/>
  <c r="V62" i="50158"/>
  <c r="W62" i="50158"/>
  <c r="AA62" i="50158"/>
  <c r="AB62" i="50158"/>
  <c r="AC62" i="50158"/>
  <c r="E150" i="50158" s="1"/>
  <c r="AD62" i="50158"/>
  <c r="AU62" i="50158"/>
  <c r="AV62" i="50158"/>
  <c r="AW62" i="50158"/>
  <c r="AX62" i="50158"/>
  <c r="AY62" i="50158"/>
  <c r="AZ62" i="50158"/>
  <c r="BA62" i="50158"/>
  <c r="BB62" i="50158"/>
  <c r="BC62" i="50158"/>
  <c r="BD62" i="50158"/>
  <c r="BE62" i="50158"/>
  <c r="BF62" i="50158"/>
  <c r="BG62" i="50158"/>
  <c r="BH62" i="50158"/>
  <c r="BI62" i="50158"/>
  <c r="BJ62" i="50158"/>
  <c r="BK62" i="50158"/>
  <c r="BL62" i="50158"/>
  <c r="V63" i="50158"/>
  <c r="W63" i="50158"/>
  <c r="AA63" i="50158"/>
  <c r="AB63" i="50158"/>
  <c r="AC63" i="50158"/>
  <c r="AD63" i="50158"/>
  <c r="V64" i="50158"/>
  <c r="W64" i="50158"/>
  <c r="AA64" i="50158"/>
  <c r="AB64" i="50158"/>
  <c r="AC64" i="50158"/>
  <c r="AD64" i="50158"/>
  <c r="V65" i="50158"/>
  <c r="W65" i="50158"/>
  <c r="AA65" i="50158"/>
  <c r="AB65" i="50158"/>
  <c r="AC65" i="50158"/>
  <c r="AD65" i="50158"/>
  <c r="B66" i="50158"/>
  <c r="C66" i="50158"/>
  <c r="D66" i="50158"/>
  <c r="E66" i="50158"/>
  <c r="F66" i="50158"/>
  <c r="G66" i="50158"/>
  <c r="H66" i="50158"/>
  <c r="I66" i="50158"/>
  <c r="J66" i="50158"/>
  <c r="K66" i="50158"/>
  <c r="L66" i="50158"/>
  <c r="M66" i="50158"/>
  <c r="N66" i="50158"/>
  <c r="O66" i="50158"/>
  <c r="P66" i="50158"/>
  <c r="V66" i="50158"/>
  <c r="W66" i="50158"/>
  <c r="AA66" i="50158"/>
  <c r="AB66" i="50158"/>
  <c r="AC66" i="50158"/>
  <c r="AD66" i="50158"/>
  <c r="AV66" i="50158"/>
  <c r="AW66" i="50158"/>
  <c r="AX66" i="50158"/>
  <c r="AY66" i="50158"/>
  <c r="AZ66" i="50158"/>
  <c r="BA66" i="50158"/>
  <c r="BB66" i="50158"/>
  <c r="BC66" i="50158"/>
  <c r="BD66" i="50158"/>
  <c r="BE66" i="50158"/>
  <c r="BF66" i="50158"/>
  <c r="BG66" i="50158"/>
  <c r="BH66" i="50158"/>
  <c r="BI66" i="50158"/>
  <c r="BJ66" i="50158"/>
  <c r="BK66" i="50158"/>
  <c r="V67" i="50158"/>
  <c r="W67" i="50158"/>
  <c r="AA67" i="50158"/>
  <c r="AB67" i="50158"/>
  <c r="AC67" i="50158"/>
  <c r="AD67" i="50158"/>
  <c r="F155" i="50158" s="1"/>
  <c r="AV67" i="50158"/>
  <c r="AW67" i="50158"/>
  <c r="AX67" i="50158"/>
  <c r="AY67" i="50158"/>
  <c r="AZ67" i="50158"/>
  <c r="BA67" i="50158"/>
  <c r="BB67" i="50158"/>
  <c r="BC67" i="50158"/>
  <c r="BD67" i="50158"/>
  <c r="BE67" i="50158"/>
  <c r="BF67" i="50158"/>
  <c r="BG67" i="50158"/>
  <c r="BH67" i="50158"/>
  <c r="BI67" i="50158"/>
  <c r="BJ67" i="50158"/>
  <c r="BK67" i="50158"/>
  <c r="V68" i="50158"/>
  <c r="W68" i="50158"/>
  <c r="AA68" i="50158"/>
  <c r="AB68" i="50158"/>
  <c r="AC68" i="50158"/>
  <c r="AD68" i="50158"/>
  <c r="AV68" i="50158"/>
  <c r="AW68" i="50158"/>
  <c r="AX68" i="50158"/>
  <c r="AY68" i="50158"/>
  <c r="AZ68" i="50158"/>
  <c r="BA68" i="50158"/>
  <c r="BB68" i="50158"/>
  <c r="BC68" i="50158"/>
  <c r="BD68" i="50158"/>
  <c r="BE68" i="50158"/>
  <c r="BF68" i="50158"/>
  <c r="BG68" i="50158"/>
  <c r="BH68" i="50158"/>
  <c r="BI68" i="50158"/>
  <c r="BJ68" i="50158"/>
  <c r="BK68" i="50158"/>
  <c r="V69" i="50158"/>
  <c r="W69" i="50158"/>
  <c r="AA69" i="50158"/>
  <c r="AB69" i="50158"/>
  <c r="AC69" i="50158"/>
  <c r="AD69" i="50158"/>
  <c r="AV69" i="50158"/>
  <c r="AW69" i="50158"/>
  <c r="AX69" i="50158"/>
  <c r="AY69" i="50158"/>
  <c r="AZ69" i="50158"/>
  <c r="BA69" i="50158"/>
  <c r="BB69" i="50158"/>
  <c r="BC69" i="50158"/>
  <c r="BD69" i="50158"/>
  <c r="BE69" i="50158"/>
  <c r="BF69" i="50158"/>
  <c r="BG69" i="50158"/>
  <c r="BH69" i="50158"/>
  <c r="BI69" i="50158"/>
  <c r="BJ69" i="50158"/>
  <c r="BK69" i="50158"/>
  <c r="V70" i="50158"/>
  <c r="W70" i="50158"/>
  <c r="AA70" i="50158"/>
  <c r="AB70" i="50158"/>
  <c r="AC70" i="50158"/>
  <c r="AD70" i="50158"/>
  <c r="AV70" i="50158"/>
  <c r="AW70" i="50158"/>
  <c r="AX70" i="50158"/>
  <c r="AY70" i="50158"/>
  <c r="AZ70" i="50158"/>
  <c r="BA70" i="50158"/>
  <c r="BB70" i="50158"/>
  <c r="BC70" i="50158"/>
  <c r="BD70" i="50158"/>
  <c r="BE70" i="50158"/>
  <c r="BF70" i="50158"/>
  <c r="BG70" i="50158"/>
  <c r="BH70" i="50158"/>
  <c r="BI70" i="50158"/>
  <c r="BJ70" i="50158"/>
  <c r="BK70" i="50158"/>
  <c r="V71" i="50158"/>
  <c r="W71" i="50158"/>
  <c r="AA71" i="50158"/>
  <c r="AB71" i="50158"/>
  <c r="AC71" i="50158"/>
  <c r="AD71" i="50158"/>
  <c r="F159" i="50158" s="1"/>
  <c r="AV71" i="50158"/>
  <c r="AW71" i="50158"/>
  <c r="AX71" i="50158"/>
  <c r="AY71" i="50158"/>
  <c r="AZ71" i="50158"/>
  <c r="BA71" i="50158"/>
  <c r="BB71" i="50158"/>
  <c r="BC71" i="50158"/>
  <c r="BD71" i="50158"/>
  <c r="BE71" i="50158"/>
  <c r="BF71" i="50158"/>
  <c r="BG71" i="50158"/>
  <c r="BH71" i="50158"/>
  <c r="BI71" i="50158"/>
  <c r="BJ71" i="50158"/>
  <c r="BK71" i="50158"/>
  <c r="V72" i="50158"/>
  <c r="W72" i="50158"/>
  <c r="AA72" i="50158"/>
  <c r="AB72" i="50158"/>
  <c r="AC72" i="50158"/>
  <c r="AD72" i="50158"/>
  <c r="AV72" i="50158"/>
  <c r="AW72" i="50158"/>
  <c r="AX72" i="50158"/>
  <c r="AY72" i="50158"/>
  <c r="AZ72" i="50158"/>
  <c r="BA72" i="50158"/>
  <c r="BB72" i="50158"/>
  <c r="BC72" i="50158"/>
  <c r="BD72" i="50158"/>
  <c r="BE72" i="50158"/>
  <c r="BF72" i="50158"/>
  <c r="BG72" i="50158"/>
  <c r="BH72" i="50158"/>
  <c r="BI72" i="50158"/>
  <c r="BJ72" i="50158"/>
  <c r="BK72" i="50158"/>
  <c r="V73" i="50158"/>
  <c r="W73" i="50158"/>
  <c r="AA73" i="50158"/>
  <c r="AB73" i="50158"/>
  <c r="AC73" i="50158"/>
  <c r="AD73" i="50158"/>
  <c r="AV73" i="50158"/>
  <c r="AW73" i="50158"/>
  <c r="AX73" i="50158"/>
  <c r="AY73" i="50158"/>
  <c r="AZ73" i="50158"/>
  <c r="BA73" i="50158"/>
  <c r="BB73" i="50158"/>
  <c r="BC73" i="50158"/>
  <c r="BD73" i="50158"/>
  <c r="BE73" i="50158"/>
  <c r="BF73" i="50158"/>
  <c r="BG73" i="50158"/>
  <c r="BH73" i="50158"/>
  <c r="BI73" i="50158"/>
  <c r="BJ73" i="50158"/>
  <c r="BK73" i="50158"/>
  <c r="V74" i="50158"/>
  <c r="W74" i="50158"/>
  <c r="AA74" i="50158"/>
  <c r="AB74" i="50158"/>
  <c r="AC74" i="50158"/>
  <c r="AD74" i="50158"/>
  <c r="AV74" i="50158"/>
  <c r="AW74" i="50158"/>
  <c r="AX74" i="50158"/>
  <c r="AY74" i="50158"/>
  <c r="AZ74" i="50158"/>
  <c r="BA74" i="50158"/>
  <c r="BB74" i="50158"/>
  <c r="BC74" i="50158"/>
  <c r="BD74" i="50158"/>
  <c r="BE74" i="50158"/>
  <c r="BF74" i="50158"/>
  <c r="BG74" i="50158"/>
  <c r="BH74" i="50158"/>
  <c r="BI74" i="50158"/>
  <c r="BJ74" i="50158"/>
  <c r="BK74" i="50158"/>
  <c r="V75" i="50158"/>
  <c r="W75" i="50158"/>
  <c r="AA75" i="50158"/>
  <c r="AB75" i="50158"/>
  <c r="AC75" i="50158"/>
  <c r="AD75" i="50158"/>
  <c r="F163" i="50158" s="1"/>
  <c r="AV75" i="50158"/>
  <c r="AW75" i="50158"/>
  <c r="AX75" i="50158"/>
  <c r="AY75" i="50158"/>
  <c r="AZ75" i="50158"/>
  <c r="BA75" i="50158"/>
  <c r="BB75" i="50158"/>
  <c r="BC75" i="50158"/>
  <c r="BD75" i="50158"/>
  <c r="BE75" i="50158"/>
  <c r="BF75" i="50158"/>
  <c r="BG75" i="50158"/>
  <c r="BH75" i="50158"/>
  <c r="BI75" i="50158"/>
  <c r="BJ75" i="50158"/>
  <c r="BK75" i="50158"/>
  <c r="V76" i="50158"/>
  <c r="W76" i="50158"/>
  <c r="AA76" i="50158"/>
  <c r="AB76" i="50158"/>
  <c r="AC76" i="50158"/>
  <c r="AD76" i="50158"/>
  <c r="V77" i="50158"/>
  <c r="W77" i="50158"/>
  <c r="AA77" i="50158"/>
  <c r="AB77" i="50158"/>
  <c r="AC77" i="50158"/>
  <c r="AD77" i="50158"/>
  <c r="V78" i="50158"/>
  <c r="W78" i="50158"/>
  <c r="AA78" i="50158"/>
  <c r="AB78" i="50158"/>
  <c r="AC78" i="50158"/>
  <c r="AD78" i="50158"/>
  <c r="V79" i="50158"/>
  <c r="W79" i="50158"/>
  <c r="AA79" i="50158"/>
  <c r="AB79" i="50158"/>
  <c r="AC79" i="50158"/>
  <c r="AD79" i="50158"/>
  <c r="F167" i="50158" s="1"/>
  <c r="V80" i="50158"/>
  <c r="W80" i="50158"/>
  <c r="AA80" i="50158"/>
  <c r="AB80" i="50158"/>
  <c r="AC80" i="50158"/>
  <c r="AD80" i="50158"/>
  <c r="V81" i="50158"/>
  <c r="W81" i="50158"/>
  <c r="AA81" i="50158"/>
  <c r="AB81" i="50158"/>
  <c r="AC81" i="50158"/>
  <c r="AD81" i="50158"/>
  <c r="B82" i="50158"/>
  <c r="F82" i="50158"/>
  <c r="V82" i="50158"/>
  <c r="W82" i="50158"/>
  <c r="AA82" i="50158"/>
  <c r="AB82" i="50158"/>
  <c r="AC82" i="50158"/>
  <c r="AD82" i="50158"/>
  <c r="B83" i="50158"/>
  <c r="F83" i="50158"/>
  <c r="V83" i="50158"/>
  <c r="W83" i="50158"/>
  <c r="AA83" i="50158"/>
  <c r="AB83" i="50158"/>
  <c r="AC83" i="50158"/>
  <c r="AD83" i="50158"/>
  <c r="F84" i="50158"/>
  <c r="V84" i="50158"/>
  <c r="W84" i="50158"/>
  <c r="AA84" i="50158"/>
  <c r="AB84" i="50158"/>
  <c r="AC84" i="50158"/>
  <c r="AD84" i="50158"/>
  <c r="V85" i="50158"/>
  <c r="W85" i="50158"/>
  <c r="AA85" i="50158"/>
  <c r="AB85" i="50158"/>
  <c r="AC85" i="50158"/>
  <c r="AD85" i="50158"/>
  <c r="F173" i="50158" s="1"/>
  <c r="V86" i="50158"/>
  <c r="W86" i="50158"/>
  <c r="AA86" i="50158"/>
  <c r="AB86" i="50158"/>
  <c r="AC86" i="50158"/>
  <c r="AD86" i="50158"/>
  <c r="V87" i="50158"/>
  <c r="W87" i="50158"/>
  <c r="AA87" i="50158"/>
  <c r="AB87" i="50158"/>
  <c r="AC87" i="50158"/>
  <c r="AD87" i="50158"/>
  <c r="V88" i="50158"/>
  <c r="W88" i="50158"/>
  <c r="AA88" i="50158"/>
  <c r="AB88" i="50158"/>
  <c r="AC88" i="50158"/>
  <c r="AD88" i="50158"/>
  <c r="V89" i="50158"/>
  <c r="W89" i="50158"/>
  <c r="AA89" i="50158"/>
  <c r="AB89" i="50158"/>
  <c r="AC89" i="50158"/>
  <c r="AD89" i="50158"/>
  <c r="V90" i="50158"/>
  <c r="W90" i="50158"/>
  <c r="AA90" i="50158"/>
  <c r="AB90" i="50158"/>
  <c r="AC90" i="50158"/>
  <c r="AD90" i="50158"/>
  <c r="F178" i="50158" s="1"/>
  <c r="AC91" i="50158"/>
  <c r="AC92" i="50158"/>
  <c r="AC93" i="50158"/>
  <c r="AC94" i="50158"/>
  <c r="AC95" i="50158"/>
  <c r="AC96" i="50158"/>
  <c r="AC97" i="50158"/>
  <c r="AC98" i="50158"/>
  <c r="E186" i="50158" s="1"/>
  <c r="AC99" i="50158"/>
  <c r="AC100" i="50158"/>
  <c r="AC101" i="50158"/>
  <c r="AC102" i="50158"/>
  <c r="AC103" i="50158"/>
  <c r="AC104" i="50158"/>
  <c r="AC105" i="50158"/>
  <c r="AC106" i="50158"/>
  <c r="H144" i="50158" s="1"/>
  <c r="AC107" i="50158"/>
  <c r="AC108" i="50158"/>
  <c r="AC109" i="50158"/>
  <c r="AC110" i="50158"/>
  <c r="AC111" i="50158"/>
  <c r="AC112" i="50158"/>
  <c r="AC113" i="50158"/>
  <c r="AC114" i="50158"/>
  <c r="H152" i="50158" s="1"/>
  <c r="AC115" i="50158"/>
  <c r="AC116" i="50158"/>
  <c r="AC117" i="50158"/>
  <c r="AC118" i="50158"/>
  <c r="AC119" i="50158"/>
  <c r="AC120" i="50158"/>
  <c r="AC121" i="50158"/>
  <c r="AC122" i="50158"/>
  <c r="H160" i="50158" s="1"/>
  <c r="AC123" i="50158"/>
  <c r="AC124" i="50158"/>
  <c r="AC125" i="50158"/>
  <c r="AC126" i="50158"/>
  <c r="AC127" i="50158"/>
  <c r="AC128" i="50158"/>
  <c r="AC129" i="50158"/>
  <c r="AC130" i="50158"/>
  <c r="H168" i="50158" s="1"/>
  <c r="AC131" i="50158"/>
  <c r="AC132" i="50158"/>
  <c r="AC133" i="50158"/>
  <c r="AC134" i="50158"/>
  <c r="AC135" i="50158"/>
  <c r="AC136" i="50158"/>
  <c r="AC137" i="50158"/>
  <c r="AC138" i="50158"/>
  <c r="AC139" i="50158"/>
  <c r="AC140" i="50158"/>
  <c r="AC141" i="50158"/>
  <c r="AC142" i="50158"/>
  <c r="AC143" i="50158"/>
  <c r="AC144" i="50158"/>
  <c r="AC145" i="50158"/>
  <c r="AC146" i="50158"/>
  <c r="AC147" i="50158"/>
  <c r="AC148" i="50158"/>
  <c r="AC149" i="50158"/>
  <c r="AC150" i="50158"/>
  <c r="AC151" i="50158"/>
  <c r="AC152" i="50158"/>
  <c r="AC153" i="50158"/>
  <c r="AC154" i="50158"/>
  <c r="AC155" i="50158"/>
  <c r="AC156" i="50158"/>
  <c r="AC157" i="50158"/>
  <c r="AC158" i="50158"/>
  <c r="AC159" i="50158"/>
  <c r="AC160" i="50158"/>
  <c r="AC161" i="50158"/>
  <c r="AC162" i="50158"/>
  <c r="AC163" i="50158"/>
  <c r="AC164" i="50158"/>
  <c r="AC165" i="50158"/>
  <c r="AC166" i="50158"/>
  <c r="AC167" i="50158"/>
  <c r="AC168" i="50158"/>
  <c r="AC169" i="50158"/>
  <c r="AC170" i="50158"/>
  <c r="AC171" i="50158"/>
  <c r="AC172" i="50158"/>
  <c r="AC173" i="50158"/>
  <c r="AC174" i="50158"/>
  <c r="AC175" i="50158"/>
  <c r="AC176" i="50158"/>
  <c r="AC177" i="50158"/>
  <c r="AC178" i="50158"/>
  <c r="AC179" i="50158"/>
  <c r="AC180" i="50158"/>
  <c r="AC181" i="50158"/>
  <c r="AC182" i="50158"/>
  <c r="AC183" i="50158"/>
  <c r="AC184" i="50158"/>
  <c r="AC185" i="50158"/>
  <c r="AC186" i="50158"/>
  <c r="AC187" i="50158"/>
  <c r="AC188" i="50158"/>
  <c r="AC189" i="50158"/>
  <c r="AC190" i="50158"/>
  <c r="AC191" i="50158"/>
  <c r="AC192" i="50158"/>
  <c r="AC193" i="50158"/>
  <c r="AC194" i="50158"/>
  <c r="AC195" i="50158"/>
  <c r="AC196" i="50158"/>
  <c r="AC197" i="50158"/>
  <c r="AC198" i="50158"/>
  <c r="AC199" i="50158"/>
  <c r="AC200" i="50158"/>
  <c r="AC201" i="50158"/>
  <c r="AC202" i="50158"/>
  <c r="AC203" i="50158"/>
  <c r="AC204" i="50158"/>
  <c r="AC205" i="50158"/>
  <c r="AC206" i="50158"/>
  <c r="AC207" i="50158"/>
  <c r="AC208" i="50158"/>
  <c r="AC209" i="50158"/>
  <c r="AC210" i="50158"/>
  <c r="AC211" i="50158"/>
  <c r="N149" i="50158" s="1"/>
  <c r="AC212" i="50158"/>
  <c r="AC213" i="50158"/>
  <c r="AC214" i="50158"/>
  <c r="AC215" i="50158"/>
  <c r="AC216" i="50158"/>
  <c r="AC217" i="50158"/>
  <c r="AC218" i="50158"/>
  <c r="AC219" i="50158"/>
  <c r="AC220" i="50158"/>
  <c r="AC221" i="50158"/>
  <c r="AC222" i="50158"/>
  <c r="AC223" i="50158"/>
  <c r="AC224" i="50158"/>
  <c r="AC225" i="50158"/>
  <c r="AC226" i="50158"/>
  <c r="AC227" i="50158"/>
  <c r="N165" i="50158" s="1"/>
  <c r="AC228" i="50158"/>
  <c r="AC229" i="50158"/>
  <c r="AC230" i="50158"/>
  <c r="AC231" i="50158"/>
  <c r="AC232" i="50158"/>
  <c r="AC233" i="50158"/>
  <c r="AC234" i="50158"/>
  <c r="AC235" i="50158"/>
  <c r="N173" i="50158" s="1"/>
  <c r="AC236" i="50158"/>
  <c r="AC237" i="50158"/>
  <c r="AC238" i="50158"/>
  <c r="AC239" i="50158"/>
  <c r="AC240" i="50158"/>
  <c r="AC241" i="50158"/>
  <c r="AC242" i="50158"/>
  <c r="AC243" i="50158"/>
  <c r="AC244" i="50158"/>
  <c r="AC245" i="50158"/>
  <c r="AC246" i="50158"/>
  <c r="AC247" i="50158"/>
  <c r="AC248" i="50158"/>
  <c r="AC249" i="50158"/>
  <c r="AC250" i="50158"/>
  <c r="AC251" i="50158"/>
  <c r="AC252" i="50158"/>
  <c r="AC253" i="50158"/>
  <c r="AC254" i="50158"/>
  <c r="AC255" i="50158"/>
  <c r="AC256" i="50158"/>
  <c r="AC257" i="50158"/>
  <c r="AC258" i="50158"/>
  <c r="Q146" i="50158" s="1"/>
  <c r="AC259" i="50158"/>
  <c r="Q147" i="50158" s="1"/>
  <c r="AC260" i="50158"/>
  <c r="AC261" i="50158"/>
  <c r="AC262" i="50158"/>
  <c r="AC263" i="50158"/>
  <c r="AC264" i="50158"/>
  <c r="AC265" i="50158"/>
  <c r="AC266" i="50158"/>
  <c r="Q154" i="50158" s="1"/>
  <c r="AC267" i="50158"/>
  <c r="AC268" i="50158"/>
  <c r="AC269" i="50158"/>
  <c r="AC270" i="50158"/>
  <c r="AC271" i="50158"/>
  <c r="AC272" i="50158"/>
  <c r="AC273" i="50158"/>
  <c r="AC274" i="50158"/>
  <c r="Q162" i="50158" s="1"/>
  <c r="AC275" i="50158"/>
  <c r="AC276" i="50158"/>
  <c r="AC277" i="50158"/>
  <c r="AC278" i="50158"/>
  <c r="AC279" i="50158"/>
  <c r="AC280" i="50158"/>
  <c r="AC281" i="50158"/>
  <c r="AC282" i="50158"/>
  <c r="Q170" i="50158" s="1"/>
  <c r="AC283" i="50158"/>
  <c r="AC284" i="50158"/>
  <c r="AC285" i="50158"/>
  <c r="AC286" i="50158"/>
  <c r="AC287" i="50158"/>
  <c r="AC288" i="50158"/>
  <c r="AC289" i="50158"/>
  <c r="AC290" i="50158"/>
  <c r="Q178" i="50158" s="1"/>
  <c r="AC291" i="50158"/>
  <c r="AC292" i="50158"/>
  <c r="AC293" i="50158"/>
  <c r="AC294" i="50158"/>
  <c r="AC295" i="50158"/>
  <c r="AC296" i="50158"/>
  <c r="AC297" i="50158"/>
  <c r="AC298" i="50158"/>
  <c r="Q186" i="50158" s="1"/>
  <c r="AC299" i="50158"/>
  <c r="AC300" i="50158"/>
  <c r="AC301" i="50158"/>
  <c r="AC302" i="50158"/>
  <c r="AC303" i="50158"/>
  <c r="AC304" i="50158"/>
  <c r="V91" i="50158"/>
  <c r="W91" i="50158"/>
  <c r="AA91" i="50158"/>
  <c r="AB91" i="50158"/>
  <c r="AD91" i="50158"/>
  <c r="V92" i="50158"/>
  <c r="W92" i="50158"/>
  <c r="AA92" i="50158"/>
  <c r="AB92" i="50158"/>
  <c r="AD92" i="50158"/>
  <c r="AU92" i="50158"/>
  <c r="AV92" i="50158" s="1"/>
  <c r="AX92" i="50158"/>
  <c r="AZ92" i="50158" s="1"/>
  <c r="BA92" i="50158"/>
  <c r="BC92" i="50158" s="1"/>
  <c r="BD92" i="50158"/>
  <c r="BE92" i="50158" s="1"/>
  <c r="BF92" i="50158"/>
  <c r="BG92" i="50158"/>
  <c r="BJ92" i="50158"/>
  <c r="BK92" i="50158" s="1"/>
  <c r="AD93" i="50158"/>
  <c r="AD94" i="50158"/>
  <c r="AD95" i="50158"/>
  <c r="AD96" i="50158"/>
  <c r="AD97" i="50158"/>
  <c r="F185" i="50158" s="1"/>
  <c r="AD98" i="50158"/>
  <c r="AD99" i="50158"/>
  <c r="AD100" i="50158"/>
  <c r="AD101" i="50158"/>
  <c r="AD102" i="50158"/>
  <c r="AD103" i="50158"/>
  <c r="AD104" i="50158"/>
  <c r="AD105" i="50158"/>
  <c r="I143" i="50158" s="1"/>
  <c r="AD106" i="50158"/>
  <c r="AD107" i="50158"/>
  <c r="AD108" i="50158"/>
  <c r="AD109" i="50158"/>
  <c r="AD110" i="50158"/>
  <c r="AD111" i="50158"/>
  <c r="AD112" i="50158"/>
  <c r="I150" i="50158" s="1"/>
  <c r="AD113" i="50158"/>
  <c r="AD114" i="50158"/>
  <c r="AD115" i="50158"/>
  <c r="AD116" i="50158"/>
  <c r="AD117" i="50158"/>
  <c r="AD118" i="50158"/>
  <c r="AD119" i="50158"/>
  <c r="AD120" i="50158"/>
  <c r="I158" i="50158" s="1"/>
  <c r="AD121" i="50158"/>
  <c r="I159" i="50158" s="1"/>
  <c r="AD122" i="50158"/>
  <c r="AD123" i="50158"/>
  <c r="AD124" i="50158"/>
  <c r="AD125" i="50158"/>
  <c r="AD126" i="50158"/>
  <c r="AD127" i="50158"/>
  <c r="AD128" i="50158"/>
  <c r="I166" i="50158" s="1"/>
  <c r="AD129" i="50158"/>
  <c r="I167" i="50158" s="1"/>
  <c r="AD130" i="50158"/>
  <c r="AD131" i="50158"/>
  <c r="AD132" i="50158"/>
  <c r="AD133" i="50158"/>
  <c r="AD134" i="50158"/>
  <c r="AD135" i="50158"/>
  <c r="AD136" i="50158"/>
  <c r="I174" i="50158" s="1"/>
  <c r="AD137" i="50158"/>
  <c r="AD138" i="50158"/>
  <c r="AD139" i="50158"/>
  <c r="AD140" i="50158"/>
  <c r="AD141" i="50158"/>
  <c r="AD142" i="50158"/>
  <c r="AD143" i="50158"/>
  <c r="AD144" i="50158"/>
  <c r="I182" i="50158" s="1"/>
  <c r="AD145" i="50158"/>
  <c r="I183" i="50158" s="1"/>
  <c r="AD146" i="50158"/>
  <c r="AD147" i="50158"/>
  <c r="AD148" i="50158"/>
  <c r="AD149" i="50158"/>
  <c r="AD150" i="50158"/>
  <c r="AD151" i="50158"/>
  <c r="AD152" i="50158"/>
  <c r="I190" i="50158" s="1"/>
  <c r="AD153" i="50158"/>
  <c r="I191" i="50158" s="1"/>
  <c r="AD154" i="50158"/>
  <c r="AD155" i="50158"/>
  <c r="AD156" i="50158"/>
  <c r="AD157" i="50158"/>
  <c r="AD158" i="50158"/>
  <c r="AD159" i="50158"/>
  <c r="AD160" i="50158"/>
  <c r="L148" i="50158" s="1"/>
  <c r="AD161" i="50158"/>
  <c r="L149" i="50158" s="1"/>
  <c r="AD162" i="50158"/>
  <c r="L150" i="50158" s="1"/>
  <c r="AD163" i="50158"/>
  <c r="AD164" i="50158"/>
  <c r="AD165" i="50158"/>
  <c r="AD166" i="50158"/>
  <c r="AD167" i="50158"/>
  <c r="AD168" i="50158"/>
  <c r="L156" i="50158" s="1"/>
  <c r="AD169" i="50158"/>
  <c r="L157" i="50158" s="1"/>
  <c r="AD170" i="50158"/>
  <c r="AD171" i="50158"/>
  <c r="AD172" i="50158"/>
  <c r="AD173" i="50158"/>
  <c r="AD174" i="50158"/>
  <c r="AD175" i="50158"/>
  <c r="AD176" i="50158"/>
  <c r="L164" i="50158" s="1"/>
  <c r="AD177" i="50158"/>
  <c r="L165" i="50158" s="1"/>
  <c r="AD178" i="50158"/>
  <c r="AD179" i="50158"/>
  <c r="AD180" i="50158"/>
  <c r="AD181" i="50158"/>
  <c r="AD182" i="50158"/>
  <c r="AD183" i="50158"/>
  <c r="AD184" i="50158"/>
  <c r="L172" i="50158" s="1"/>
  <c r="AD185" i="50158"/>
  <c r="L173" i="50158" s="1"/>
  <c r="AD186" i="50158"/>
  <c r="AD187" i="50158"/>
  <c r="AD188" i="50158"/>
  <c r="AD189" i="50158"/>
  <c r="AD190" i="50158"/>
  <c r="AD191" i="50158"/>
  <c r="AD192" i="50158"/>
  <c r="L180" i="50158" s="1"/>
  <c r="AD193" i="50158"/>
  <c r="L181" i="50158" s="1"/>
  <c r="AD194" i="50158"/>
  <c r="AD195" i="50158"/>
  <c r="AD196" i="50158"/>
  <c r="AD197" i="50158"/>
  <c r="AD198" i="50158"/>
  <c r="AD199" i="50158"/>
  <c r="AD200" i="50158"/>
  <c r="AD201" i="50158"/>
  <c r="L189" i="50158" s="1"/>
  <c r="AD202" i="50158"/>
  <c r="AD203" i="50158"/>
  <c r="AD204" i="50158"/>
  <c r="AD205" i="50158"/>
  <c r="AD206" i="50158"/>
  <c r="AD207" i="50158"/>
  <c r="O145" i="50158" s="1"/>
  <c r="AD208" i="50158"/>
  <c r="O146" i="50158" s="1"/>
  <c r="AD209" i="50158"/>
  <c r="O147" i="50158" s="1"/>
  <c r="AD210" i="50158"/>
  <c r="AD211" i="50158"/>
  <c r="AD212" i="50158"/>
  <c r="AD213" i="50158"/>
  <c r="AD214" i="50158"/>
  <c r="AD215" i="50158"/>
  <c r="O153" i="50158" s="1"/>
  <c r="AD216" i="50158"/>
  <c r="O154" i="50158" s="1"/>
  <c r="AD217" i="50158"/>
  <c r="O155" i="50158" s="1"/>
  <c r="AD218" i="50158"/>
  <c r="AD219" i="50158"/>
  <c r="AD220" i="50158"/>
  <c r="AD221" i="50158"/>
  <c r="AD222" i="50158"/>
  <c r="AD223" i="50158"/>
  <c r="O161" i="50158" s="1"/>
  <c r="AD224" i="50158"/>
  <c r="O162" i="50158" s="1"/>
  <c r="AD225" i="50158"/>
  <c r="O163" i="50158" s="1"/>
  <c r="AD226" i="50158"/>
  <c r="AD227" i="50158"/>
  <c r="AD228" i="50158"/>
  <c r="AD229" i="50158"/>
  <c r="AD230" i="50158"/>
  <c r="AD231" i="50158"/>
  <c r="O169" i="50158" s="1"/>
  <c r="AD232" i="50158"/>
  <c r="O170" i="50158" s="1"/>
  <c r="AD233" i="50158"/>
  <c r="O171" i="50158" s="1"/>
  <c r="AD234" i="50158"/>
  <c r="AD235" i="50158"/>
  <c r="AD236" i="50158"/>
  <c r="AD237" i="50158"/>
  <c r="AD238" i="50158"/>
  <c r="AD239" i="50158"/>
  <c r="AD240" i="50158"/>
  <c r="O178" i="50158" s="1"/>
  <c r="AD241" i="50158"/>
  <c r="O179" i="50158" s="1"/>
  <c r="AD242" i="50158"/>
  <c r="AD243" i="50158"/>
  <c r="AD244" i="50158"/>
  <c r="AD245" i="50158"/>
  <c r="AD246" i="50158"/>
  <c r="AD247" i="50158"/>
  <c r="AD248" i="50158"/>
  <c r="O186" i="50158" s="1"/>
  <c r="AD249" i="50158"/>
  <c r="O187" i="50158" s="1"/>
  <c r="AD250" i="50158"/>
  <c r="AD251" i="50158"/>
  <c r="AD252" i="50158"/>
  <c r="AD253" i="50158"/>
  <c r="AD254" i="50158"/>
  <c r="AD255" i="50158"/>
  <c r="R143" i="50158" s="1"/>
  <c r="AD256" i="50158"/>
  <c r="R144" i="50158" s="1"/>
  <c r="AD257" i="50158"/>
  <c r="R145" i="50158" s="1"/>
  <c r="AD258" i="50158"/>
  <c r="AD259" i="50158"/>
  <c r="AD260" i="50158"/>
  <c r="AD261" i="50158"/>
  <c r="AD262" i="50158"/>
  <c r="AD263" i="50158"/>
  <c r="R151" i="50158" s="1"/>
  <c r="AD264" i="50158"/>
  <c r="R152" i="50158" s="1"/>
  <c r="AD265" i="50158"/>
  <c r="R153" i="50158" s="1"/>
  <c r="AD266" i="50158"/>
  <c r="AD267" i="50158"/>
  <c r="AD268" i="50158"/>
  <c r="AD269" i="50158"/>
  <c r="AD270" i="50158"/>
  <c r="AD271" i="50158"/>
  <c r="R159" i="50158" s="1"/>
  <c r="AD272" i="50158"/>
  <c r="R160" i="50158" s="1"/>
  <c r="AD273" i="50158"/>
  <c r="R161" i="50158" s="1"/>
  <c r="AD274" i="50158"/>
  <c r="AD275" i="50158"/>
  <c r="AD276" i="50158"/>
  <c r="AD277" i="50158"/>
  <c r="AD278" i="50158"/>
  <c r="AD279" i="50158"/>
  <c r="AD280" i="50158"/>
  <c r="R168" i="50158" s="1"/>
  <c r="AD281" i="50158"/>
  <c r="R169" i="50158" s="1"/>
  <c r="AD282" i="50158"/>
  <c r="AD283" i="50158"/>
  <c r="AD284" i="50158"/>
  <c r="AD285" i="50158"/>
  <c r="AD286" i="50158"/>
  <c r="AD287" i="50158"/>
  <c r="AD288" i="50158"/>
  <c r="R176" i="50158" s="1"/>
  <c r="AD289" i="50158"/>
  <c r="AD290" i="50158"/>
  <c r="AD291" i="50158"/>
  <c r="AD292" i="50158"/>
  <c r="AD293" i="50158"/>
  <c r="AD294" i="50158"/>
  <c r="AD295" i="50158"/>
  <c r="AD296" i="50158"/>
  <c r="R184" i="50158" s="1"/>
  <c r="AD297" i="50158"/>
  <c r="R185" i="50158" s="1"/>
  <c r="AD298" i="50158"/>
  <c r="AD299" i="50158"/>
  <c r="AD300" i="50158"/>
  <c r="AD301" i="50158"/>
  <c r="AD302" i="50158"/>
  <c r="AD303" i="50158"/>
  <c r="AD304" i="50158"/>
  <c r="V93" i="50158"/>
  <c r="W93" i="50158"/>
  <c r="AA93" i="50158"/>
  <c r="AB93" i="50158"/>
  <c r="AU93" i="50158"/>
  <c r="AW93" i="50158" s="1"/>
  <c r="AV93" i="50158"/>
  <c r="AX93" i="50158"/>
  <c r="AZ93" i="50158" s="1"/>
  <c r="BA93" i="50158"/>
  <c r="BC93" i="50158" s="1"/>
  <c r="BB93" i="50158"/>
  <c r="BD93" i="50158"/>
  <c r="BF93" i="50158" s="1"/>
  <c r="BE93" i="50158"/>
  <c r="BG93" i="50158"/>
  <c r="BH93" i="50158" s="1"/>
  <c r="BJ93" i="50158"/>
  <c r="BK93" i="50158" s="1"/>
  <c r="V94" i="50158"/>
  <c r="W94" i="50158"/>
  <c r="AA94" i="50158"/>
  <c r="AB94" i="50158"/>
  <c r="AU94" i="50158"/>
  <c r="AW94" i="50158" s="1"/>
  <c r="AV94" i="50158"/>
  <c r="AX94" i="50158"/>
  <c r="AZ94" i="50158" s="1"/>
  <c r="AY94" i="50158"/>
  <c r="BA94" i="50158"/>
  <c r="BB94" i="50158" s="1"/>
  <c r="BD94" i="50158"/>
  <c r="BE94" i="50158" s="1"/>
  <c r="BG94" i="50158"/>
  <c r="BJ94" i="50158"/>
  <c r="BK94" i="50158" s="1"/>
  <c r="V95" i="50158"/>
  <c r="W95" i="50158"/>
  <c r="AA95" i="50158"/>
  <c r="AB95" i="50158"/>
  <c r="AU95" i="50158"/>
  <c r="AV95" i="50158" s="1"/>
  <c r="AX95" i="50158"/>
  <c r="AY95" i="50158" s="1"/>
  <c r="AZ95" i="50158"/>
  <c r="BA95" i="50158"/>
  <c r="BD95" i="50158"/>
  <c r="BE95" i="50158" s="1"/>
  <c r="BF95" i="50158"/>
  <c r="BG95" i="50158"/>
  <c r="BJ95" i="50158"/>
  <c r="BL95" i="50158" s="1"/>
  <c r="V96" i="50158"/>
  <c r="W96" i="50158"/>
  <c r="AA96" i="50158"/>
  <c r="AB96" i="50158"/>
  <c r="AU96" i="50158"/>
  <c r="AX96" i="50158"/>
  <c r="AY96" i="50158" s="1"/>
  <c r="BA96" i="50158"/>
  <c r="BC96" i="50158" s="1"/>
  <c r="BB96" i="50158"/>
  <c r="BD96" i="50158"/>
  <c r="BF96" i="50158" s="1"/>
  <c r="BG96" i="50158"/>
  <c r="BI96" i="50158" s="1"/>
  <c r="BJ96" i="50158"/>
  <c r="BL96" i="50158" s="1"/>
  <c r="BK96" i="50158"/>
  <c r="V97" i="50158"/>
  <c r="W97" i="50158"/>
  <c r="AA97" i="50158"/>
  <c r="AB97" i="50158"/>
  <c r="AU97" i="50158"/>
  <c r="AX97" i="50158"/>
  <c r="AZ97" i="50158" s="1"/>
  <c r="BA97" i="50158"/>
  <c r="BB97" i="50158" s="1"/>
  <c r="BD97" i="50158"/>
  <c r="BF97" i="50158" s="1"/>
  <c r="BG97" i="50158"/>
  <c r="BH97" i="50158" s="1"/>
  <c r="BJ97" i="50158"/>
  <c r="BK97" i="50158" s="1"/>
  <c r="BL97" i="50158"/>
  <c r="V98" i="50158"/>
  <c r="W98" i="50158"/>
  <c r="AA98" i="50158"/>
  <c r="AB98" i="50158"/>
  <c r="AU98" i="50158"/>
  <c r="AX98" i="50158"/>
  <c r="AZ98" i="50158" s="1"/>
  <c r="AY98" i="50158"/>
  <c r="BA98" i="50158"/>
  <c r="BB98" i="50158" s="1"/>
  <c r="BD98" i="50158"/>
  <c r="BE98" i="50158" s="1"/>
  <c r="BF98" i="50158"/>
  <c r="BG98" i="50158"/>
  <c r="BJ98" i="50158"/>
  <c r="BK98" i="50158" s="1"/>
  <c r="V99" i="50158"/>
  <c r="W99" i="50158"/>
  <c r="AA99" i="50158"/>
  <c r="AB99" i="50158"/>
  <c r="AU99" i="50158"/>
  <c r="AV99" i="50158" s="1"/>
  <c r="AX99" i="50158"/>
  <c r="BA99" i="50158"/>
  <c r="BD99" i="50158"/>
  <c r="BE99" i="50158" s="1"/>
  <c r="BF99" i="50158"/>
  <c r="BG99" i="50158"/>
  <c r="BH99" i="50158" s="1"/>
  <c r="BI99" i="50158"/>
  <c r="BJ99" i="50158"/>
  <c r="BL99" i="50158" s="1"/>
  <c r="V100" i="50158"/>
  <c r="W100" i="50158"/>
  <c r="AA100" i="50158"/>
  <c r="AB100" i="50158"/>
  <c r="AU100" i="50158"/>
  <c r="AX100" i="50158"/>
  <c r="AY100" i="50158" s="1"/>
  <c r="AZ100" i="50158"/>
  <c r="BA100" i="50158"/>
  <c r="BD100" i="50158"/>
  <c r="BF100" i="50158" s="1"/>
  <c r="BG100" i="50158"/>
  <c r="BH100" i="50158" s="1"/>
  <c r="BJ100" i="50158"/>
  <c r="V101" i="50158"/>
  <c r="W101" i="50158"/>
  <c r="AA101" i="50158"/>
  <c r="AB101" i="50158"/>
  <c r="AU101" i="50158"/>
  <c r="AV101" i="50158" s="1"/>
  <c r="AW101" i="50158"/>
  <c r="AX101" i="50158"/>
  <c r="AZ101" i="50158" s="1"/>
  <c r="BA101" i="50158"/>
  <c r="BC101" i="50158" s="1"/>
  <c r="BD101" i="50158"/>
  <c r="BF101" i="50158" s="1"/>
  <c r="BG101" i="50158"/>
  <c r="BH101" i="50158" s="1"/>
  <c r="BJ101" i="50158"/>
  <c r="BK101" i="50158" s="1"/>
  <c r="V102" i="50158"/>
  <c r="W102" i="50158"/>
  <c r="AA102" i="50158"/>
  <c r="AB102" i="50158"/>
  <c r="AU102" i="50158"/>
  <c r="AV102" i="50158" s="1"/>
  <c r="AW102" i="50158"/>
  <c r="AX102" i="50158"/>
  <c r="BA102" i="50158"/>
  <c r="BB102" i="50158" s="1"/>
  <c r="BD102" i="50158"/>
  <c r="BE102" i="50158" s="1"/>
  <c r="BF102" i="50158"/>
  <c r="BG102" i="50158"/>
  <c r="BJ102" i="50158"/>
  <c r="BK102" i="50158" s="1"/>
  <c r="BL102" i="50158"/>
  <c r="V103" i="50158"/>
  <c r="W103" i="50158"/>
  <c r="AA103" i="50158"/>
  <c r="AB103" i="50158"/>
  <c r="AU103" i="50158"/>
  <c r="AV103" i="50158" s="1"/>
  <c r="AX103" i="50158"/>
  <c r="AY103" i="50158" s="1"/>
  <c r="BA103" i="50158"/>
  <c r="BD103" i="50158"/>
  <c r="BG103" i="50158"/>
  <c r="BH103" i="50158"/>
  <c r="BI103" i="50158"/>
  <c r="BJ103" i="50158"/>
  <c r="BL103" i="50158" s="1"/>
  <c r="V104" i="50158"/>
  <c r="W104" i="50158"/>
  <c r="AA104" i="50158"/>
  <c r="AB104" i="50158"/>
  <c r="AU104" i="50158"/>
  <c r="AX104" i="50158"/>
  <c r="AY104" i="50158" s="1"/>
  <c r="AZ104" i="50158"/>
  <c r="BA104" i="50158"/>
  <c r="BB104" i="50158" s="1"/>
  <c r="BC104" i="50158"/>
  <c r="BD104" i="50158"/>
  <c r="BF104" i="50158" s="1"/>
  <c r="BG104" i="50158"/>
  <c r="BI104" i="50158" s="1"/>
  <c r="BJ104" i="50158"/>
  <c r="BL104" i="50158" s="1"/>
  <c r="V105" i="50158"/>
  <c r="W105" i="50158"/>
  <c r="AA105" i="50158"/>
  <c r="AB105" i="50158"/>
  <c r="AU105" i="50158"/>
  <c r="AV105" i="50158"/>
  <c r="AW105" i="50158"/>
  <c r="AX105" i="50158"/>
  <c r="AZ105" i="50158" s="1"/>
  <c r="BA105" i="50158"/>
  <c r="BB105" i="50158"/>
  <c r="BC105" i="50158"/>
  <c r="BD105" i="50158"/>
  <c r="BF105" i="50158" s="1"/>
  <c r="BG105" i="50158"/>
  <c r="BH105" i="50158" s="1"/>
  <c r="BJ105" i="50158"/>
  <c r="BK105" i="50158" s="1"/>
  <c r="V106" i="50158"/>
  <c r="W106" i="50158"/>
  <c r="AA106" i="50158"/>
  <c r="AB106" i="50158"/>
  <c r="AU106" i="50158"/>
  <c r="AV106" i="50158"/>
  <c r="AW106" i="50158"/>
  <c r="AX106" i="50158"/>
  <c r="AZ106" i="50158" s="1"/>
  <c r="BA106" i="50158"/>
  <c r="BB106" i="50158" s="1"/>
  <c r="BD106" i="50158"/>
  <c r="BG106" i="50158"/>
  <c r="BJ106" i="50158"/>
  <c r="BK106" i="50158" s="1"/>
  <c r="BL106" i="50158"/>
  <c r="V107" i="50158"/>
  <c r="W107" i="50158"/>
  <c r="AA107" i="50158"/>
  <c r="AB107" i="50158"/>
  <c r="AU107" i="50158"/>
  <c r="AV107" i="50158" s="1"/>
  <c r="AX107" i="50158"/>
  <c r="AY107" i="50158" s="1"/>
  <c r="AZ107" i="50158"/>
  <c r="BA107" i="50158"/>
  <c r="BD107" i="50158"/>
  <c r="BE107" i="50158" s="1"/>
  <c r="BG107" i="50158"/>
  <c r="BH107" i="50158"/>
  <c r="BI107" i="50158"/>
  <c r="BJ107" i="50158"/>
  <c r="BL107" i="50158" s="1"/>
  <c r="V108" i="50158"/>
  <c r="W108" i="50158"/>
  <c r="AA108" i="50158"/>
  <c r="AB108" i="50158"/>
  <c r="AU108" i="50158"/>
  <c r="AX108" i="50158"/>
  <c r="BA108" i="50158"/>
  <c r="BB108" i="50158"/>
  <c r="BC108" i="50158"/>
  <c r="BD108" i="50158"/>
  <c r="BF108" i="50158" s="1"/>
  <c r="BG108" i="50158"/>
  <c r="BH108" i="50158"/>
  <c r="BI108" i="50158"/>
  <c r="BJ108" i="50158"/>
  <c r="V109" i="50158"/>
  <c r="W109" i="50158"/>
  <c r="AA109" i="50158"/>
  <c r="AB109" i="50158"/>
  <c r="AU109" i="50158"/>
  <c r="AV109" i="50158" s="1"/>
  <c r="AW109" i="50158"/>
  <c r="AX109" i="50158"/>
  <c r="AZ109" i="50158" s="1"/>
  <c r="BA109" i="50158"/>
  <c r="BC109" i="50158" s="1"/>
  <c r="BB109" i="50158"/>
  <c r="BD109" i="50158"/>
  <c r="BF109" i="50158" s="1"/>
  <c r="BE109" i="50158"/>
  <c r="BG109" i="50158"/>
  <c r="BH109" i="50158" s="1"/>
  <c r="BJ109" i="50158"/>
  <c r="V110" i="50158"/>
  <c r="W110" i="50158"/>
  <c r="AA110" i="50158"/>
  <c r="AB110" i="50158"/>
  <c r="AU110" i="50158"/>
  <c r="AV110" i="50158" s="1"/>
  <c r="AX110" i="50158"/>
  <c r="AZ110" i="50158" s="1"/>
  <c r="AY110" i="50158"/>
  <c r="BA110" i="50158"/>
  <c r="BB110" i="50158" s="1"/>
  <c r="BD110" i="50158"/>
  <c r="BE110" i="50158" s="1"/>
  <c r="BG110" i="50158"/>
  <c r="BJ110" i="50158"/>
  <c r="BK110" i="50158" s="1"/>
  <c r="V111" i="50158"/>
  <c r="W111" i="50158"/>
  <c r="AA111" i="50158"/>
  <c r="AB111" i="50158"/>
  <c r="AU111" i="50158"/>
  <c r="AV111" i="50158" s="1"/>
  <c r="AX111" i="50158"/>
  <c r="AY111" i="50158" s="1"/>
  <c r="AZ111" i="50158"/>
  <c r="BA111" i="50158"/>
  <c r="BD111" i="50158"/>
  <c r="BE111" i="50158" s="1"/>
  <c r="BF111" i="50158"/>
  <c r="BG111" i="50158"/>
  <c r="BH111" i="50158" s="1"/>
  <c r="BJ111" i="50158"/>
  <c r="BL111" i="50158" s="1"/>
  <c r="V112" i="50158"/>
  <c r="W112" i="50158"/>
  <c r="AA112" i="50158"/>
  <c r="AB112" i="50158"/>
  <c r="AU112" i="50158"/>
  <c r="AX112" i="50158"/>
  <c r="AY112" i="50158" s="1"/>
  <c r="BA112" i="50158"/>
  <c r="BD112" i="50158"/>
  <c r="BF112" i="50158" s="1"/>
  <c r="BG112" i="50158"/>
  <c r="BI112" i="50158" s="1"/>
  <c r="BH112" i="50158"/>
  <c r="BJ112" i="50158"/>
  <c r="BL112" i="50158" s="1"/>
  <c r="BK112" i="50158"/>
  <c r="V113" i="50158"/>
  <c r="W113" i="50158"/>
  <c r="AA113" i="50158"/>
  <c r="AB113" i="50158"/>
  <c r="AU113" i="50158"/>
  <c r="AX113" i="50158"/>
  <c r="AZ113" i="50158" s="1"/>
  <c r="BA113" i="50158"/>
  <c r="BC113" i="50158" s="1"/>
  <c r="BD113" i="50158"/>
  <c r="BF113" i="50158" s="1"/>
  <c r="BE113" i="50158"/>
  <c r="BG113" i="50158"/>
  <c r="BH113" i="50158" s="1"/>
  <c r="BJ113" i="50158"/>
  <c r="BK113" i="50158" s="1"/>
  <c r="BL113" i="50158"/>
  <c r="V114" i="50158"/>
  <c r="W114" i="50158"/>
  <c r="AA114" i="50158"/>
  <c r="AB114" i="50158"/>
  <c r="AU114" i="50158"/>
  <c r="AX114" i="50158"/>
  <c r="AZ114" i="50158" s="1"/>
  <c r="BA114" i="50158"/>
  <c r="BB114" i="50158" s="1"/>
  <c r="BD114" i="50158"/>
  <c r="BG114" i="50158"/>
  <c r="BJ114" i="50158"/>
  <c r="V115" i="50158"/>
  <c r="W115" i="50158"/>
  <c r="AA115" i="50158"/>
  <c r="AB115" i="50158"/>
  <c r="AU115" i="50158"/>
  <c r="AV115" i="50158" s="1"/>
  <c r="AX115" i="50158"/>
  <c r="AY115" i="50158" s="1"/>
  <c r="AZ115" i="50158"/>
  <c r="BA115" i="50158"/>
  <c r="BD115" i="50158"/>
  <c r="BE115" i="50158" s="1"/>
  <c r="BF115" i="50158"/>
  <c r="BG115" i="50158"/>
  <c r="BI115" i="50158" s="1"/>
  <c r="BJ115" i="50158"/>
  <c r="BL115" i="50158" s="1"/>
  <c r="V116" i="50158"/>
  <c r="W116" i="50158"/>
  <c r="AA116" i="50158"/>
  <c r="AB116" i="50158"/>
  <c r="AU116" i="50158"/>
  <c r="AX116" i="50158"/>
  <c r="BA116" i="50158"/>
  <c r="BC116" i="50158" s="1"/>
  <c r="BB116" i="50158"/>
  <c r="BD116" i="50158"/>
  <c r="BF116" i="50158" s="1"/>
  <c r="BG116" i="50158"/>
  <c r="BI116" i="50158" s="1"/>
  <c r="BH116" i="50158"/>
  <c r="BJ116" i="50158"/>
  <c r="BL116" i="50158" s="1"/>
  <c r="BK116" i="50158"/>
  <c r="V117" i="50158"/>
  <c r="W117" i="50158"/>
  <c r="AA117" i="50158"/>
  <c r="AB117" i="50158"/>
  <c r="AU117" i="50158"/>
  <c r="AW117" i="50158" s="1"/>
  <c r="AX117" i="50158"/>
  <c r="AZ117" i="50158" s="1"/>
  <c r="BA117" i="50158"/>
  <c r="BD117" i="50158"/>
  <c r="BF117" i="50158" s="1"/>
  <c r="BG117" i="50158"/>
  <c r="BH117" i="50158" s="1"/>
  <c r="BJ117" i="50158"/>
  <c r="V118" i="50158"/>
  <c r="W118" i="50158"/>
  <c r="AA118" i="50158"/>
  <c r="AB118" i="50158"/>
  <c r="AU118" i="50158"/>
  <c r="AV118" i="50158" s="1"/>
  <c r="AX118" i="50158"/>
  <c r="AZ118" i="50158" s="1"/>
  <c r="BA118" i="50158"/>
  <c r="BB118" i="50158" s="1"/>
  <c r="BD118" i="50158"/>
  <c r="BG118" i="50158"/>
  <c r="BJ118" i="50158"/>
  <c r="V119" i="50158"/>
  <c r="W119" i="50158"/>
  <c r="AA119" i="50158"/>
  <c r="AB119" i="50158"/>
  <c r="AU119" i="50158"/>
  <c r="AV119" i="50158" s="1"/>
  <c r="AX119" i="50158"/>
  <c r="AY119" i="50158" s="1"/>
  <c r="AZ119" i="50158"/>
  <c r="BA119" i="50158"/>
  <c r="BD119" i="50158"/>
  <c r="BG119" i="50158"/>
  <c r="BI119" i="50158" s="1"/>
  <c r="BH119" i="50158"/>
  <c r="BJ119" i="50158"/>
  <c r="BL119" i="50158" s="1"/>
  <c r="V120" i="50158"/>
  <c r="W120" i="50158"/>
  <c r="AA120" i="50158"/>
  <c r="AB120" i="50158"/>
  <c r="AU120" i="50158"/>
  <c r="AX120" i="50158"/>
  <c r="BA120" i="50158"/>
  <c r="BB120" i="50158"/>
  <c r="BC120" i="50158"/>
  <c r="BD120" i="50158"/>
  <c r="BF120" i="50158" s="1"/>
  <c r="BG120" i="50158"/>
  <c r="BH120" i="50158"/>
  <c r="BI120" i="50158"/>
  <c r="BJ120" i="50158"/>
  <c r="BL120" i="50158" s="1"/>
  <c r="V121" i="50158"/>
  <c r="W121" i="50158"/>
  <c r="AA121" i="50158"/>
  <c r="AB121" i="50158"/>
  <c r="AU121" i="50158"/>
  <c r="AV121" i="50158"/>
  <c r="AW121" i="50158"/>
  <c r="AX121" i="50158"/>
  <c r="AZ121" i="50158" s="1"/>
  <c r="BA121" i="50158"/>
  <c r="BB121" i="50158"/>
  <c r="BC121" i="50158"/>
  <c r="BD121" i="50158"/>
  <c r="BG121" i="50158"/>
  <c r="BH121" i="50158" s="1"/>
  <c r="BJ121" i="50158"/>
  <c r="V122" i="50158"/>
  <c r="W122" i="50158"/>
  <c r="AA122" i="50158"/>
  <c r="AB122" i="50158"/>
  <c r="AU122" i="50158"/>
  <c r="AV122" i="50158"/>
  <c r="AW122" i="50158"/>
  <c r="AX122" i="50158"/>
  <c r="AZ122" i="50158" s="1"/>
  <c r="BA122" i="50158"/>
  <c r="BB122" i="50158" s="1"/>
  <c r="BD122" i="50158"/>
  <c r="BE122" i="50158" s="1"/>
  <c r="BF122" i="50158"/>
  <c r="BG122" i="50158"/>
  <c r="BJ122" i="50158"/>
  <c r="BK122" i="50158" s="1"/>
  <c r="BL122" i="50158"/>
  <c r="V123" i="50158"/>
  <c r="W123" i="50158"/>
  <c r="AA123" i="50158"/>
  <c r="AB123" i="50158"/>
  <c r="AU123" i="50158"/>
  <c r="AV123" i="50158" s="1"/>
  <c r="AX123" i="50158"/>
  <c r="AY123" i="50158" s="1"/>
  <c r="AZ123" i="50158"/>
  <c r="BA123" i="50158"/>
  <c r="BD123" i="50158"/>
  <c r="BE123" i="50158" s="1"/>
  <c r="BG123" i="50158"/>
  <c r="BH123" i="50158" s="1"/>
  <c r="BI123" i="50158"/>
  <c r="BJ123" i="50158"/>
  <c r="BL123" i="50158" s="1"/>
  <c r="V124" i="50158"/>
  <c r="W124" i="50158"/>
  <c r="AA124" i="50158"/>
  <c r="AB124" i="50158"/>
  <c r="AU124" i="50158"/>
  <c r="AX124" i="50158"/>
  <c r="AY124" i="50158" s="1"/>
  <c r="AZ124" i="50158"/>
  <c r="BA124" i="50158"/>
  <c r="BB124" i="50158"/>
  <c r="BC124" i="50158"/>
  <c r="BD124" i="50158"/>
  <c r="BF124" i="50158" s="1"/>
  <c r="BG124" i="50158"/>
  <c r="BH124" i="50158"/>
  <c r="BI124" i="50158"/>
  <c r="BJ124" i="50158"/>
  <c r="V125" i="50158"/>
  <c r="W125" i="50158"/>
  <c r="AA125" i="50158"/>
  <c r="AB125" i="50158"/>
  <c r="AU125" i="50158"/>
  <c r="AX125" i="50158"/>
  <c r="AZ125" i="50158" s="1"/>
  <c r="BA125" i="50158"/>
  <c r="BC125" i="50158" s="1"/>
  <c r="BD125" i="50158"/>
  <c r="BG125" i="50158"/>
  <c r="BH125" i="50158" s="1"/>
  <c r="BJ125" i="50158"/>
  <c r="V126" i="50158"/>
  <c r="W126" i="50158"/>
  <c r="AA126" i="50158"/>
  <c r="AB126" i="50158"/>
  <c r="AU126" i="50158"/>
  <c r="AV126" i="50158"/>
  <c r="AW126" i="50158"/>
  <c r="AX126" i="50158"/>
  <c r="BA126" i="50158"/>
  <c r="BB126" i="50158" s="1"/>
  <c r="BD126" i="50158"/>
  <c r="BG126" i="50158"/>
  <c r="BJ126" i="50158"/>
  <c r="BL126" i="50158" s="1"/>
  <c r="BK126" i="50158"/>
  <c r="V127" i="50158"/>
  <c r="W127" i="50158"/>
  <c r="AA127" i="50158"/>
  <c r="AB127" i="50158"/>
  <c r="AU127" i="50158"/>
  <c r="AV127" i="50158" s="1"/>
  <c r="AX127" i="50158"/>
  <c r="AY127" i="50158" s="1"/>
  <c r="AZ127" i="50158"/>
  <c r="BA127" i="50158"/>
  <c r="BD127" i="50158"/>
  <c r="BE127" i="50158"/>
  <c r="BF127" i="50158"/>
  <c r="BG127" i="50158"/>
  <c r="BH127" i="50158" s="1"/>
  <c r="BI127" i="50158"/>
  <c r="BJ127" i="50158"/>
  <c r="BL127" i="50158" s="1"/>
  <c r="V128" i="50158"/>
  <c r="W128" i="50158"/>
  <c r="AA128" i="50158"/>
  <c r="AB128" i="50158"/>
  <c r="AU128" i="50158"/>
  <c r="AX128" i="50158"/>
  <c r="AY128" i="50158"/>
  <c r="AZ128" i="50158"/>
  <c r="BA128" i="50158"/>
  <c r="BB128" i="50158" s="1"/>
  <c r="BD128" i="50158"/>
  <c r="BF128" i="50158" s="1"/>
  <c r="BG128" i="50158"/>
  <c r="BH128" i="50158" s="1"/>
  <c r="BI128" i="50158"/>
  <c r="BJ128" i="50158"/>
  <c r="BL128" i="50158" s="1"/>
  <c r="BK128" i="50158"/>
  <c r="V129" i="50158"/>
  <c r="W129" i="50158"/>
  <c r="AA129" i="50158"/>
  <c r="AB129" i="50158"/>
  <c r="AU129" i="50158"/>
  <c r="AV129" i="50158"/>
  <c r="AW129" i="50158"/>
  <c r="AX129" i="50158"/>
  <c r="AZ129" i="50158" s="1"/>
  <c r="BA129" i="50158"/>
  <c r="BB129" i="50158"/>
  <c r="BC129" i="50158"/>
  <c r="BD129" i="50158"/>
  <c r="BG129" i="50158"/>
  <c r="BH129" i="50158" s="1"/>
  <c r="BI129" i="50158"/>
  <c r="BJ129" i="50158"/>
  <c r="BK129" i="50158" s="1"/>
  <c r="BL129" i="50158"/>
  <c r="V130" i="50158"/>
  <c r="W130" i="50158"/>
  <c r="AA130" i="50158"/>
  <c r="AB130" i="50158"/>
  <c r="AU130" i="50158"/>
  <c r="AV130" i="50158"/>
  <c r="AW130" i="50158"/>
  <c r="AX130" i="50158"/>
  <c r="AZ130" i="50158" s="1"/>
  <c r="BA130" i="50158"/>
  <c r="BB130" i="50158" s="1"/>
  <c r="BC130" i="50158"/>
  <c r="BD130" i="50158"/>
  <c r="BG130" i="50158"/>
  <c r="BJ130" i="50158"/>
  <c r="BK130" i="50158" s="1"/>
  <c r="BL130" i="50158"/>
  <c r="V131" i="50158"/>
  <c r="W131" i="50158"/>
  <c r="AA131" i="50158"/>
  <c r="AB131" i="50158"/>
  <c r="AU131" i="50158"/>
  <c r="AV131" i="50158" s="1"/>
  <c r="AW131" i="50158"/>
  <c r="AX131" i="50158"/>
  <c r="AY131" i="50158" s="1"/>
  <c r="AZ131" i="50158"/>
  <c r="BA131" i="50158"/>
  <c r="BD131" i="50158"/>
  <c r="BF131" i="50158" s="1"/>
  <c r="BE131" i="50158"/>
  <c r="BG131" i="50158"/>
  <c r="BH131" i="50158"/>
  <c r="BI131" i="50158"/>
  <c r="BJ131" i="50158"/>
  <c r="BL131" i="50158" s="1"/>
  <c r="V132" i="50158"/>
  <c r="W132" i="50158"/>
  <c r="AA132" i="50158"/>
  <c r="AB132" i="50158"/>
  <c r="AU132" i="50158"/>
  <c r="AX132" i="50158"/>
  <c r="BA132" i="50158"/>
  <c r="BB132" i="50158"/>
  <c r="BC132" i="50158"/>
  <c r="BD132" i="50158"/>
  <c r="BF132" i="50158" s="1"/>
  <c r="BG132" i="50158"/>
  <c r="BH132" i="50158"/>
  <c r="BI132" i="50158"/>
  <c r="BJ132" i="50158"/>
  <c r="BL132" i="50158" s="1"/>
  <c r="V133" i="50158"/>
  <c r="W133" i="50158"/>
  <c r="AA133" i="50158"/>
  <c r="AB133" i="50158"/>
  <c r="AU133" i="50158"/>
  <c r="AV133" i="50158"/>
  <c r="AW133" i="50158"/>
  <c r="AX133" i="50158"/>
  <c r="AZ133" i="50158" s="1"/>
  <c r="BA133" i="50158"/>
  <c r="BB133" i="50158"/>
  <c r="BC133" i="50158"/>
  <c r="BD133" i="50158"/>
  <c r="BF133" i="50158" s="1"/>
  <c r="BG133" i="50158"/>
  <c r="BH133" i="50158" s="1"/>
  <c r="BI133" i="50158"/>
  <c r="BJ133" i="50158"/>
  <c r="V134" i="50158"/>
  <c r="W134" i="50158"/>
  <c r="AA134" i="50158"/>
  <c r="AB134" i="50158"/>
  <c r="AU134" i="50158"/>
  <c r="AV134" i="50158" s="1"/>
  <c r="AW134" i="50158"/>
  <c r="AX134" i="50158"/>
  <c r="BA134" i="50158"/>
  <c r="BB134" i="50158" s="1"/>
  <c r="BC134" i="50158"/>
  <c r="BD134" i="50158"/>
  <c r="BE134" i="50158" s="1"/>
  <c r="BG134" i="50158"/>
  <c r="BJ134" i="50158"/>
  <c r="BL134" i="50158" s="1"/>
  <c r="V135" i="50158"/>
  <c r="W135" i="50158"/>
  <c r="AA135" i="50158"/>
  <c r="AB135" i="50158"/>
  <c r="AU135" i="50158"/>
  <c r="AV135" i="50158" s="1"/>
  <c r="AX135" i="50158"/>
  <c r="BA135" i="50158"/>
  <c r="BD135" i="50158"/>
  <c r="BG135" i="50158"/>
  <c r="BH135" i="50158" s="1"/>
  <c r="BI135" i="50158"/>
  <c r="BJ135" i="50158"/>
  <c r="BL135" i="50158" s="1"/>
  <c r="V136" i="50158"/>
  <c r="W136" i="50158"/>
  <c r="AA136" i="50158"/>
  <c r="AB136" i="50158"/>
  <c r="AU136" i="50158"/>
  <c r="AX136" i="50158"/>
  <c r="AZ136" i="50158" s="1"/>
  <c r="AY136" i="50158"/>
  <c r="BA136" i="50158"/>
  <c r="BC136" i="50158" s="1"/>
  <c r="BD136" i="50158"/>
  <c r="BF136" i="50158" s="1"/>
  <c r="BG136" i="50158"/>
  <c r="BH136" i="50158"/>
  <c r="BI136" i="50158"/>
  <c r="BJ136" i="50158"/>
  <c r="BL136" i="50158" s="1"/>
  <c r="BK136" i="50158"/>
  <c r="V137" i="50158"/>
  <c r="W137" i="50158"/>
  <c r="AA137" i="50158"/>
  <c r="AB137" i="50158"/>
  <c r="AU137" i="50158"/>
  <c r="AX137" i="50158"/>
  <c r="AZ137" i="50158" s="1"/>
  <c r="BA137" i="50158"/>
  <c r="BD137" i="50158"/>
  <c r="BF137" i="50158" s="1"/>
  <c r="BG137" i="50158"/>
  <c r="BH137" i="50158" s="1"/>
  <c r="BI137" i="50158"/>
  <c r="BJ137" i="50158"/>
  <c r="BK137" i="50158" s="1"/>
  <c r="BL137" i="50158"/>
  <c r="V138" i="50158"/>
  <c r="W138" i="50158"/>
  <c r="AA138" i="50158"/>
  <c r="AB138" i="50158"/>
  <c r="AU138" i="50158"/>
  <c r="AW138" i="50158" s="1"/>
  <c r="AV138" i="50158"/>
  <c r="AX138" i="50158"/>
  <c r="AZ138" i="50158" s="1"/>
  <c r="AY138" i="50158"/>
  <c r="BA138" i="50158"/>
  <c r="BB138" i="50158" s="1"/>
  <c r="BD138" i="50158"/>
  <c r="BE138" i="50158" s="1"/>
  <c r="BF138" i="50158"/>
  <c r="BG138" i="50158"/>
  <c r="BJ138" i="50158"/>
  <c r="BK138" i="50158"/>
  <c r="BL138" i="50158"/>
  <c r="V139" i="50158"/>
  <c r="W139" i="50158"/>
  <c r="AA139" i="50158"/>
  <c r="AB139" i="50158"/>
  <c r="AU139" i="50158"/>
  <c r="AX139" i="50158"/>
  <c r="AY139" i="50158" s="1"/>
  <c r="AZ139" i="50158"/>
  <c r="BA139" i="50158"/>
  <c r="BD139" i="50158"/>
  <c r="BE139" i="50158"/>
  <c r="BF139" i="50158"/>
  <c r="BG139" i="50158"/>
  <c r="BH139" i="50158" s="1"/>
  <c r="BI139" i="50158"/>
  <c r="BJ139" i="50158"/>
  <c r="BL139" i="50158" s="1"/>
  <c r="V140" i="50158"/>
  <c r="W140" i="50158"/>
  <c r="AA140" i="50158"/>
  <c r="AB140" i="50158"/>
  <c r="AU140" i="50158"/>
  <c r="AX140" i="50158"/>
  <c r="AY140" i="50158"/>
  <c r="AZ140" i="50158"/>
  <c r="BA140" i="50158"/>
  <c r="BB140" i="50158" s="1"/>
  <c r="BD140" i="50158"/>
  <c r="BF140" i="50158" s="1"/>
  <c r="BG140" i="50158"/>
  <c r="BH140" i="50158" s="1"/>
  <c r="BJ140" i="50158"/>
  <c r="BL140" i="50158" s="1"/>
  <c r="BK140" i="50158"/>
  <c r="V141" i="50158"/>
  <c r="W141" i="50158"/>
  <c r="AA141" i="50158"/>
  <c r="AB141" i="50158"/>
  <c r="AU141" i="50158"/>
  <c r="AV141" i="50158"/>
  <c r="AW141" i="50158"/>
  <c r="AX141" i="50158"/>
  <c r="AZ141" i="50158" s="1"/>
  <c r="BA141" i="50158"/>
  <c r="BB141" i="50158"/>
  <c r="BC141" i="50158"/>
  <c r="BD141" i="50158"/>
  <c r="BG141" i="50158"/>
  <c r="BH141" i="50158" s="1"/>
  <c r="BJ141" i="50158"/>
  <c r="V142" i="50158"/>
  <c r="W142" i="50158"/>
  <c r="AA142" i="50158"/>
  <c r="AB142" i="50158"/>
  <c r="A143" i="50158"/>
  <c r="D143" i="50158"/>
  <c r="E143" i="50158"/>
  <c r="F143" i="50158"/>
  <c r="G143" i="50158"/>
  <c r="H143" i="50158"/>
  <c r="J143" i="50158"/>
  <c r="K143" i="50158"/>
  <c r="L143" i="50158"/>
  <c r="M143" i="50158"/>
  <c r="N143" i="50158"/>
  <c r="O143" i="50158"/>
  <c r="P143" i="50158"/>
  <c r="Q143" i="50158"/>
  <c r="V143" i="50158"/>
  <c r="W143" i="50158"/>
  <c r="AA143" i="50158"/>
  <c r="AB143" i="50158"/>
  <c r="A144" i="50158"/>
  <c r="D144" i="50158"/>
  <c r="E144" i="50158"/>
  <c r="F144" i="50158"/>
  <c r="G144" i="50158"/>
  <c r="I144" i="50158"/>
  <c r="J144" i="50158"/>
  <c r="K144" i="50158"/>
  <c r="L144" i="50158"/>
  <c r="M144" i="50158"/>
  <c r="N144" i="50158"/>
  <c r="O144" i="50158"/>
  <c r="P144" i="50158"/>
  <c r="Q144" i="50158"/>
  <c r="V144" i="50158"/>
  <c r="W144" i="50158"/>
  <c r="AA144" i="50158"/>
  <c r="AB144" i="50158"/>
  <c r="A145" i="50158"/>
  <c r="D145" i="50158"/>
  <c r="E145" i="50158"/>
  <c r="F145" i="50158"/>
  <c r="G145" i="50158"/>
  <c r="H145" i="50158"/>
  <c r="I145" i="50158"/>
  <c r="J145" i="50158"/>
  <c r="K145" i="50158"/>
  <c r="L145" i="50158"/>
  <c r="M145" i="50158"/>
  <c r="N145" i="50158"/>
  <c r="P145" i="50158"/>
  <c r="Q145" i="50158"/>
  <c r="V145" i="50158"/>
  <c r="W145" i="50158"/>
  <c r="AA145" i="50158"/>
  <c r="AB145" i="50158"/>
  <c r="A146" i="50158"/>
  <c r="D146" i="50158"/>
  <c r="F146" i="50158"/>
  <c r="G146" i="50158"/>
  <c r="H146" i="50158"/>
  <c r="I146" i="50158"/>
  <c r="J146" i="50158"/>
  <c r="K146" i="50158"/>
  <c r="L146" i="50158"/>
  <c r="M146" i="50158"/>
  <c r="N146" i="50158"/>
  <c r="P146" i="50158"/>
  <c r="R146" i="50158"/>
  <c r="V146" i="50158"/>
  <c r="W146" i="50158"/>
  <c r="AA146" i="50158"/>
  <c r="AB146" i="50158"/>
  <c r="A147" i="50158"/>
  <c r="D147" i="50158"/>
  <c r="E147" i="50158"/>
  <c r="F147" i="50158"/>
  <c r="G147" i="50158"/>
  <c r="H147" i="50158"/>
  <c r="I147" i="50158"/>
  <c r="J147" i="50158"/>
  <c r="K147" i="50158"/>
  <c r="L147" i="50158"/>
  <c r="M147" i="50158"/>
  <c r="N147" i="50158"/>
  <c r="P147" i="50158"/>
  <c r="R147" i="50158"/>
  <c r="V147" i="50158"/>
  <c r="W147" i="50158"/>
  <c r="AA147" i="50158"/>
  <c r="AB147" i="50158"/>
  <c r="A148" i="50158"/>
  <c r="D148" i="50158"/>
  <c r="E148" i="50158"/>
  <c r="F148" i="50158"/>
  <c r="G148" i="50158"/>
  <c r="H148" i="50158"/>
  <c r="I148" i="50158"/>
  <c r="J148" i="50158"/>
  <c r="K148" i="50158"/>
  <c r="M148" i="50158"/>
  <c r="N148" i="50158"/>
  <c r="O148" i="50158"/>
  <c r="P148" i="50158"/>
  <c r="Q148" i="50158"/>
  <c r="R148" i="50158"/>
  <c r="V148" i="50158"/>
  <c r="W148" i="50158"/>
  <c r="AA148" i="50158"/>
  <c r="AB148" i="50158"/>
  <c r="A149" i="50158"/>
  <c r="D149" i="50158"/>
  <c r="E149" i="50158"/>
  <c r="F149" i="50158"/>
  <c r="G149" i="50158"/>
  <c r="H149" i="50158"/>
  <c r="I149" i="50158"/>
  <c r="J149" i="50158"/>
  <c r="K149" i="50158"/>
  <c r="M149" i="50158"/>
  <c r="O149" i="50158"/>
  <c r="P149" i="50158"/>
  <c r="Q149" i="50158"/>
  <c r="R149" i="50158"/>
  <c r="V149" i="50158"/>
  <c r="W149" i="50158"/>
  <c r="AA149" i="50158"/>
  <c r="AB149" i="50158"/>
  <c r="A150" i="50158"/>
  <c r="D150" i="50158"/>
  <c r="F150" i="50158"/>
  <c r="G150" i="50158"/>
  <c r="H150" i="50158"/>
  <c r="J150" i="50158"/>
  <c r="K150" i="50158"/>
  <c r="M150" i="50158"/>
  <c r="N150" i="50158"/>
  <c r="O150" i="50158"/>
  <c r="P150" i="50158"/>
  <c r="Q150" i="50158"/>
  <c r="R150" i="50158"/>
  <c r="V150" i="50158"/>
  <c r="W150" i="50158"/>
  <c r="AA150" i="50158"/>
  <c r="AB150" i="50158"/>
  <c r="A151" i="50158"/>
  <c r="D151" i="50158"/>
  <c r="E151" i="50158"/>
  <c r="F151" i="50158"/>
  <c r="G151" i="50158"/>
  <c r="H151" i="50158"/>
  <c r="I151" i="50158"/>
  <c r="J151" i="50158"/>
  <c r="K151" i="50158"/>
  <c r="L151" i="50158"/>
  <c r="M151" i="50158"/>
  <c r="N151" i="50158"/>
  <c r="O151" i="50158"/>
  <c r="P151" i="50158"/>
  <c r="Q151" i="50158"/>
  <c r="V151" i="50158"/>
  <c r="W151" i="50158"/>
  <c r="AA151" i="50158"/>
  <c r="AB151" i="50158"/>
  <c r="A152" i="50158"/>
  <c r="D152" i="50158"/>
  <c r="E152" i="50158"/>
  <c r="F152" i="50158"/>
  <c r="G152" i="50158"/>
  <c r="I152" i="50158"/>
  <c r="J152" i="50158"/>
  <c r="K152" i="50158"/>
  <c r="L152" i="50158"/>
  <c r="M152" i="50158"/>
  <c r="N152" i="50158"/>
  <c r="O152" i="50158"/>
  <c r="P152" i="50158"/>
  <c r="Q152" i="50158"/>
  <c r="V152" i="50158"/>
  <c r="W152" i="50158"/>
  <c r="AA152" i="50158"/>
  <c r="AB152" i="50158"/>
  <c r="A153" i="50158"/>
  <c r="D153" i="50158"/>
  <c r="E153" i="50158"/>
  <c r="F153" i="50158"/>
  <c r="G153" i="50158"/>
  <c r="H153" i="50158"/>
  <c r="I153" i="50158"/>
  <c r="J153" i="50158"/>
  <c r="K153" i="50158"/>
  <c r="L153" i="50158"/>
  <c r="M153" i="50158"/>
  <c r="N153" i="50158"/>
  <c r="P153" i="50158"/>
  <c r="Q153" i="50158"/>
  <c r="V153" i="50158"/>
  <c r="W153" i="50158"/>
  <c r="AA153" i="50158"/>
  <c r="AB153" i="50158"/>
  <c r="A154" i="50158"/>
  <c r="D154" i="50158"/>
  <c r="E154" i="50158"/>
  <c r="F154" i="50158"/>
  <c r="G154" i="50158"/>
  <c r="H154" i="50158"/>
  <c r="I154" i="50158"/>
  <c r="J154" i="50158"/>
  <c r="K154" i="50158"/>
  <c r="L154" i="50158"/>
  <c r="M154" i="50158"/>
  <c r="N154" i="50158"/>
  <c r="P154" i="50158"/>
  <c r="R154" i="50158"/>
  <c r="V154" i="50158"/>
  <c r="W154" i="50158"/>
  <c r="AA154" i="50158"/>
  <c r="AB154" i="50158"/>
  <c r="A155" i="50158"/>
  <c r="D155" i="50158"/>
  <c r="E155" i="50158"/>
  <c r="G155" i="50158"/>
  <c r="H155" i="50158"/>
  <c r="I155" i="50158"/>
  <c r="J155" i="50158"/>
  <c r="K155" i="50158"/>
  <c r="L155" i="50158"/>
  <c r="M155" i="50158"/>
  <c r="N155" i="50158"/>
  <c r="P155" i="50158"/>
  <c r="Q155" i="50158"/>
  <c r="R155" i="50158"/>
  <c r="V155" i="50158"/>
  <c r="W155" i="50158"/>
  <c r="AA155" i="50158"/>
  <c r="AB155" i="50158"/>
  <c r="A156" i="50158"/>
  <c r="D156" i="50158"/>
  <c r="E156" i="50158"/>
  <c r="F156" i="50158"/>
  <c r="G156" i="50158"/>
  <c r="H156" i="50158"/>
  <c r="I156" i="50158"/>
  <c r="J156" i="50158"/>
  <c r="K156" i="50158"/>
  <c r="M156" i="50158"/>
  <c r="N156" i="50158"/>
  <c r="O156" i="50158"/>
  <c r="P156" i="50158"/>
  <c r="Q156" i="50158"/>
  <c r="R156" i="50158"/>
  <c r="V156" i="50158"/>
  <c r="W156" i="50158"/>
  <c r="AA156" i="50158"/>
  <c r="AB156" i="50158"/>
  <c r="A157" i="50158"/>
  <c r="D157" i="50158"/>
  <c r="E157" i="50158"/>
  <c r="F157" i="50158"/>
  <c r="G157" i="50158"/>
  <c r="H157" i="50158"/>
  <c r="I157" i="50158"/>
  <c r="J157" i="50158"/>
  <c r="K157" i="50158"/>
  <c r="M157" i="50158"/>
  <c r="N157" i="50158"/>
  <c r="O157" i="50158"/>
  <c r="P157" i="50158"/>
  <c r="Q157" i="50158"/>
  <c r="R157" i="50158"/>
  <c r="V157" i="50158"/>
  <c r="W157" i="50158"/>
  <c r="AA157" i="50158"/>
  <c r="AB157" i="50158"/>
  <c r="A158" i="50158"/>
  <c r="D158" i="50158"/>
  <c r="E158" i="50158"/>
  <c r="F158" i="50158"/>
  <c r="G158" i="50158"/>
  <c r="H158" i="50158"/>
  <c r="J158" i="50158"/>
  <c r="K158" i="50158"/>
  <c r="L158" i="50158"/>
  <c r="M158" i="50158"/>
  <c r="N158" i="50158"/>
  <c r="O158" i="50158"/>
  <c r="P158" i="50158"/>
  <c r="Q158" i="50158"/>
  <c r="R158" i="50158"/>
  <c r="V158" i="50158"/>
  <c r="W158" i="50158"/>
  <c r="AA158" i="50158"/>
  <c r="AB158" i="50158"/>
  <c r="A159" i="50158"/>
  <c r="D159" i="50158"/>
  <c r="E159" i="50158"/>
  <c r="G159" i="50158"/>
  <c r="H159" i="50158"/>
  <c r="J159" i="50158"/>
  <c r="K159" i="50158"/>
  <c r="L159" i="50158"/>
  <c r="M159" i="50158"/>
  <c r="N159" i="50158"/>
  <c r="O159" i="50158"/>
  <c r="P159" i="50158"/>
  <c r="Q159" i="50158"/>
  <c r="V159" i="50158"/>
  <c r="W159" i="50158"/>
  <c r="AA159" i="50158"/>
  <c r="AB159" i="50158"/>
  <c r="A160" i="50158"/>
  <c r="D160" i="50158"/>
  <c r="E160" i="50158"/>
  <c r="F160" i="50158"/>
  <c r="G160" i="50158"/>
  <c r="I160" i="50158"/>
  <c r="J160" i="50158"/>
  <c r="K160" i="50158"/>
  <c r="L160" i="50158"/>
  <c r="M160" i="50158"/>
  <c r="N160" i="50158"/>
  <c r="O160" i="50158"/>
  <c r="P160" i="50158"/>
  <c r="Q160" i="50158"/>
  <c r="V160" i="50158"/>
  <c r="W160" i="50158"/>
  <c r="AA160" i="50158"/>
  <c r="AB160" i="50158"/>
  <c r="A161" i="50158"/>
  <c r="D161" i="50158"/>
  <c r="E161" i="50158"/>
  <c r="F161" i="50158"/>
  <c r="G161" i="50158"/>
  <c r="H161" i="50158"/>
  <c r="I161" i="50158"/>
  <c r="J161" i="50158"/>
  <c r="K161" i="50158"/>
  <c r="L161" i="50158"/>
  <c r="M161" i="50158"/>
  <c r="N161" i="50158"/>
  <c r="P161" i="50158"/>
  <c r="Q161" i="50158"/>
  <c r="V161" i="50158"/>
  <c r="W161" i="50158"/>
  <c r="AA161" i="50158"/>
  <c r="AB161" i="50158"/>
  <c r="A162" i="50158"/>
  <c r="D162" i="50158"/>
  <c r="E162" i="50158"/>
  <c r="F162" i="50158"/>
  <c r="G162" i="50158"/>
  <c r="H162" i="50158"/>
  <c r="I162" i="50158"/>
  <c r="J162" i="50158"/>
  <c r="K162" i="50158"/>
  <c r="L162" i="50158"/>
  <c r="M162" i="50158"/>
  <c r="N162" i="50158"/>
  <c r="P162" i="50158"/>
  <c r="R162" i="50158"/>
  <c r="V162" i="50158"/>
  <c r="W162" i="50158"/>
  <c r="AA162" i="50158"/>
  <c r="AB162" i="50158"/>
  <c r="A163" i="50158"/>
  <c r="D163" i="50158"/>
  <c r="E163" i="50158"/>
  <c r="G163" i="50158"/>
  <c r="H163" i="50158"/>
  <c r="I163" i="50158"/>
  <c r="J163" i="50158"/>
  <c r="K163" i="50158"/>
  <c r="L163" i="50158"/>
  <c r="M163" i="50158"/>
  <c r="N163" i="50158"/>
  <c r="P163" i="50158"/>
  <c r="Q163" i="50158"/>
  <c r="R163" i="50158"/>
  <c r="V163" i="50158"/>
  <c r="W163" i="50158"/>
  <c r="AA163" i="50158"/>
  <c r="AB163" i="50158"/>
  <c r="A164" i="50158"/>
  <c r="D164" i="50158"/>
  <c r="E164" i="50158"/>
  <c r="F164" i="50158"/>
  <c r="G164" i="50158"/>
  <c r="H164" i="50158"/>
  <c r="I164" i="50158"/>
  <c r="J164" i="50158"/>
  <c r="K164" i="50158"/>
  <c r="M164" i="50158"/>
  <c r="N164" i="50158"/>
  <c r="O164" i="50158"/>
  <c r="P164" i="50158"/>
  <c r="Q164" i="50158"/>
  <c r="R164" i="50158"/>
  <c r="V164" i="50158"/>
  <c r="W164" i="50158"/>
  <c r="AA164" i="50158"/>
  <c r="AB164" i="50158"/>
  <c r="A165" i="50158"/>
  <c r="D165" i="50158"/>
  <c r="E165" i="50158"/>
  <c r="F165" i="50158"/>
  <c r="G165" i="50158"/>
  <c r="H165" i="50158"/>
  <c r="I165" i="50158"/>
  <c r="J165" i="50158"/>
  <c r="K165" i="50158"/>
  <c r="M165" i="50158"/>
  <c r="O165" i="50158"/>
  <c r="P165" i="50158"/>
  <c r="Q165" i="50158"/>
  <c r="R165" i="50158"/>
  <c r="V165" i="50158"/>
  <c r="W165" i="50158"/>
  <c r="AA165" i="50158"/>
  <c r="AB165" i="50158"/>
  <c r="A166" i="50158"/>
  <c r="D166" i="50158"/>
  <c r="E166" i="50158"/>
  <c r="F166" i="50158"/>
  <c r="G166" i="50158"/>
  <c r="H166" i="50158"/>
  <c r="J166" i="50158"/>
  <c r="K166" i="50158"/>
  <c r="L166" i="50158"/>
  <c r="M166" i="50158"/>
  <c r="N166" i="50158"/>
  <c r="O166" i="50158"/>
  <c r="P166" i="50158"/>
  <c r="Q166" i="50158"/>
  <c r="R166" i="50158"/>
  <c r="V166" i="50158"/>
  <c r="W166" i="50158"/>
  <c r="AA166" i="50158"/>
  <c r="AB166" i="50158"/>
  <c r="A167" i="50158"/>
  <c r="D167" i="50158"/>
  <c r="E167" i="50158"/>
  <c r="G167" i="50158"/>
  <c r="H167" i="50158"/>
  <c r="J167" i="50158"/>
  <c r="K167" i="50158"/>
  <c r="L167" i="50158"/>
  <c r="M167" i="50158"/>
  <c r="N167" i="50158"/>
  <c r="O167" i="50158"/>
  <c r="P167" i="50158"/>
  <c r="Q167" i="50158"/>
  <c r="R167" i="50158"/>
  <c r="V167" i="50158"/>
  <c r="W167" i="50158"/>
  <c r="AA167" i="50158"/>
  <c r="AB167" i="50158"/>
  <c r="A168" i="50158"/>
  <c r="D168" i="50158"/>
  <c r="E168" i="50158"/>
  <c r="F168" i="50158"/>
  <c r="G168" i="50158"/>
  <c r="I168" i="50158"/>
  <c r="J168" i="50158"/>
  <c r="K168" i="50158"/>
  <c r="L168" i="50158"/>
  <c r="M168" i="50158"/>
  <c r="N168" i="50158"/>
  <c r="O168" i="50158"/>
  <c r="P168" i="50158"/>
  <c r="Q168" i="50158"/>
  <c r="V168" i="50158"/>
  <c r="W168" i="50158"/>
  <c r="AA168" i="50158"/>
  <c r="AB168" i="50158"/>
  <c r="A169" i="50158"/>
  <c r="D169" i="50158"/>
  <c r="E169" i="50158"/>
  <c r="F169" i="50158"/>
  <c r="G169" i="50158"/>
  <c r="H169" i="50158"/>
  <c r="I169" i="50158"/>
  <c r="J169" i="50158"/>
  <c r="K169" i="50158"/>
  <c r="L169" i="50158"/>
  <c r="M169" i="50158"/>
  <c r="N169" i="50158"/>
  <c r="P169" i="50158"/>
  <c r="Q169" i="50158"/>
  <c r="V169" i="50158"/>
  <c r="W169" i="50158"/>
  <c r="AA169" i="50158"/>
  <c r="AB169" i="50158"/>
  <c r="A170" i="50158"/>
  <c r="D170" i="50158"/>
  <c r="E170" i="50158"/>
  <c r="F170" i="50158"/>
  <c r="G170" i="50158"/>
  <c r="H170" i="50158"/>
  <c r="I170" i="50158"/>
  <c r="J170" i="50158"/>
  <c r="K170" i="50158"/>
  <c r="L170" i="50158"/>
  <c r="M170" i="50158"/>
  <c r="N170" i="50158"/>
  <c r="P170" i="50158"/>
  <c r="R170" i="50158"/>
  <c r="V170" i="50158"/>
  <c r="W170" i="50158"/>
  <c r="AA170" i="50158"/>
  <c r="AB170" i="50158"/>
  <c r="A171" i="50158"/>
  <c r="D171" i="50158"/>
  <c r="E171" i="50158"/>
  <c r="F171" i="50158"/>
  <c r="G171" i="50158"/>
  <c r="H171" i="50158"/>
  <c r="I171" i="50158"/>
  <c r="J171" i="50158"/>
  <c r="K171" i="50158"/>
  <c r="L171" i="50158"/>
  <c r="M171" i="50158"/>
  <c r="N171" i="50158"/>
  <c r="P171" i="50158"/>
  <c r="Q171" i="50158"/>
  <c r="R171" i="50158"/>
  <c r="V171" i="50158"/>
  <c r="W171" i="50158"/>
  <c r="AA171" i="50158"/>
  <c r="AB171" i="50158"/>
  <c r="A172" i="50158"/>
  <c r="D172" i="50158"/>
  <c r="E172" i="50158"/>
  <c r="F172" i="50158"/>
  <c r="G172" i="50158"/>
  <c r="H172" i="50158"/>
  <c r="I172" i="50158"/>
  <c r="J172" i="50158"/>
  <c r="K172" i="50158"/>
  <c r="M172" i="50158"/>
  <c r="N172" i="50158"/>
  <c r="O172" i="50158"/>
  <c r="P172" i="50158"/>
  <c r="Q172" i="50158"/>
  <c r="R172" i="50158"/>
  <c r="V172" i="50158"/>
  <c r="W172" i="50158"/>
  <c r="AA172" i="50158"/>
  <c r="AB172" i="50158"/>
  <c r="A173" i="50158"/>
  <c r="D173" i="50158"/>
  <c r="E173" i="50158"/>
  <c r="G173" i="50158"/>
  <c r="H173" i="50158"/>
  <c r="I173" i="50158"/>
  <c r="J173" i="50158"/>
  <c r="K173" i="50158"/>
  <c r="M173" i="50158"/>
  <c r="O173" i="50158"/>
  <c r="P173" i="50158"/>
  <c r="Q173" i="50158"/>
  <c r="R173" i="50158"/>
  <c r="V173" i="50158"/>
  <c r="W173" i="50158"/>
  <c r="AA173" i="50158"/>
  <c r="AB173" i="50158"/>
  <c r="A174" i="50158"/>
  <c r="D174" i="50158"/>
  <c r="E174" i="50158"/>
  <c r="F174" i="50158"/>
  <c r="G174" i="50158"/>
  <c r="H174" i="50158"/>
  <c r="J174" i="50158"/>
  <c r="K174" i="50158"/>
  <c r="L174" i="50158"/>
  <c r="M174" i="50158"/>
  <c r="N174" i="50158"/>
  <c r="O174" i="50158"/>
  <c r="P174" i="50158"/>
  <c r="Q174" i="50158"/>
  <c r="R174" i="50158"/>
  <c r="V174" i="50158"/>
  <c r="W174" i="50158"/>
  <c r="AA174" i="50158"/>
  <c r="AB174" i="50158"/>
  <c r="A175" i="50158"/>
  <c r="D175" i="50158"/>
  <c r="E175" i="50158"/>
  <c r="F175" i="50158"/>
  <c r="G175" i="50158"/>
  <c r="H175" i="50158"/>
  <c r="I175" i="50158"/>
  <c r="J175" i="50158"/>
  <c r="K175" i="50158"/>
  <c r="L175" i="50158"/>
  <c r="M175" i="50158"/>
  <c r="N175" i="50158"/>
  <c r="O175" i="50158"/>
  <c r="P175" i="50158"/>
  <c r="Q175" i="50158"/>
  <c r="R175" i="50158"/>
  <c r="V175" i="50158"/>
  <c r="W175" i="50158"/>
  <c r="AA175" i="50158"/>
  <c r="AB175" i="50158"/>
  <c r="A176" i="50158"/>
  <c r="D176" i="50158"/>
  <c r="E176" i="50158"/>
  <c r="F176" i="50158"/>
  <c r="G176" i="50158"/>
  <c r="H176" i="50158"/>
  <c r="I176" i="50158"/>
  <c r="J176" i="50158"/>
  <c r="K176" i="50158"/>
  <c r="L176" i="50158"/>
  <c r="M176" i="50158"/>
  <c r="N176" i="50158"/>
  <c r="O176" i="50158"/>
  <c r="P176" i="50158"/>
  <c r="Q176" i="50158"/>
  <c r="V176" i="50158"/>
  <c r="W176" i="50158"/>
  <c r="AA176" i="50158"/>
  <c r="AB176" i="50158"/>
  <c r="A177" i="50158"/>
  <c r="D177" i="50158"/>
  <c r="E177" i="50158"/>
  <c r="F177" i="50158"/>
  <c r="G177" i="50158"/>
  <c r="H177" i="50158"/>
  <c r="I177" i="50158"/>
  <c r="J177" i="50158"/>
  <c r="K177" i="50158"/>
  <c r="L177" i="50158"/>
  <c r="M177" i="50158"/>
  <c r="N177" i="50158"/>
  <c r="O177" i="50158"/>
  <c r="P177" i="50158"/>
  <c r="Q177" i="50158"/>
  <c r="R177" i="50158"/>
  <c r="V177" i="50158"/>
  <c r="W177" i="50158"/>
  <c r="AA177" i="50158"/>
  <c r="AB177" i="50158"/>
  <c r="A178" i="50158"/>
  <c r="D178" i="50158"/>
  <c r="E178" i="50158"/>
  <c r="G178" i="50158"/>
  <c r="H178" i="50158"/>
  <c r="I178" i="50158"/>
  <c r="J178" i="50158"/>
  <c r="K178" i="50158"/>
  <c r="L178" i="50158"/>
  <c r="M178" i="50158"/>
  <c r="N178" i="50158"/>
  <c r="P178" i="50158"/>
  <c r="R178" i="50158"/>
  <c r="V178" i="50158"/>
  <c r="W178" i="50158"/>
  <c r="AA178" i="50158"/>
  <c r="AB178" i="50158"/>
  <c r="A179" i="50158"/>
  <c r="D179" i="50158"/>
  <c r="E179" i="50158"/>
  <c r="F179" i="50158"/>
  <c r="G179" i="50158"/>
  <c r="H179" i="50158"/>
  <c r="I179" i="50158"/>
  <c r="J179" i="50158"/>
  <c r="K179" i="50158"/>
  <c r="L179" i="50158"/>
  <c r="M179" i="50158"/>
  <c r="N179" i="50158"/>
  <c r="P179" i="50158"/>
  <c r="Q179" i="50158"/>
  <c r="R179" i="50158"/>
  <c r="V179" i="50158"/>
  <c r="W179" i="50158"/>
  <c r="AA179" i="50158"/>
  <c r="AB179" i="50158"/>
  <c r="A180" i="50158"/>
  <c r="D180" i="50158"/>
  <c r="E180" i="50158"/>
  <c r="F180" i="50158"/>
  <c r="G180" i="50158"/>
  <c r="H180" i="50158"/>
  <c r="I180" i="50158"/>
  <c r="J180" i="50158"/>
  <c r="K180" i="50158"/>
  <c r="M180" i="50158"/>
  <c r="N180" i="50158"/>
  <c r="O180" i="50158"/>
  <c r="P180" i="50158"/>
  <c r="Q180" i="50158"/>
  <c r="R180" i="50158"/>
  <c r="V180" i="50158"/>
  <c r="W180" i="50158"/>
  <c r="AA180" i="50158"/>
  <c r="AB180" i="50158"/>
  <c r="A181" i="50158"/>
  <c r="D181" i="50158"/>
  <c r="E181" i="50158"/>
  <c r="F181" i="50158"/>
  <c r="G181" i="50158"/>
  <c r="H181" i="50158"/>
  <c r="I181" i="50158"/>
  <c r="J181" i="50158"/>
  <c r="K181" i="50158"/>
  <c r="M181" i="50158"/>
  <c r="N181" i="50158"/>
  <c r="O181" i="50158"/>
  <c r="P181" i="50158"/>
  <c r="Q181" i="50158"/>
  <c r="R181" i="50158"/>
  <c r="V181" i="50158"/>
  <c r="W181" i="50158"/>
  <c r="AA181" i="50158"/>
  <c r="AB181" i="50158"/>
  <c r="A182" i="50158"/>
  <c r="D182" i="50158"/>
  <c r="E182" i="50158"/>
  <c r="F182" i="50158"/>
  <c r="G182" i="50158"/>
  <c r="H182" i="50158"/>
  <c r="J182" i="50158"/>
  <c r="K182" i="50158"/>
  <c r="L182" i="50158"/>
  <c r="M182" i="50158"/>
  <c r="N182" i="50158"/>
  <c r="O182" i="50158"/>
  <c r="P182" i="50158"/>
  <c r="Q182" i="50158"/>
  <c r="R182" i="50158"/>
  <c r="V182" i="50158"/>
  <c r="W182" i="50158"/>
  <c r="AA182" i="50158"/>
  <c r="AB182" i="50158"/>
  <c r="A183" i="50158"/>
  <c r="B183" i="50158"/>
  <c r="C183" i="50158"/>
  <c r="D183" i="50158"/>
  <c r="E183" i="50158"/>
  <c r="F183" i="50158"/>
  <c r="G183" i="50158"/>
  <c r="H183" i="50158"/>
  <c r="J183" i="50158"/>
  <c r="K183" i="50158"/>
  <c r="L183" i="50158"/>
  <c r="M183" i="50158"/>
  <c r="N183" i="50158"/>
  <c r="O183" i="50158"/>
  <c r="P183" i="50158"/>
  <c r="Q183" i="50158"/>
  <c r="R183" i="50158"/>
  <c r="V183" i="50158"/>
  <c r="W183" i="50158"/>
  <c r="AA183" i="50158"/>
  <c r="AB183" i="50158"/>
  <c r="A184" i="50158"/>
  <c r="C184" i="50158"/>
  <c r="D184" i="50158"/>
  <c r="E184" i="50158"/>
  <c r="F184" i="50158"/>
  <c r="G184" i="50158"/>
  <c r="H184" i="50158"/>
  <c r="I184" i="50158"/>
  <c r="J184" i="50158"/>
  <c r="K184" i="50158"/>
  <c r="L184" i="50158"/>
  <c r="M184" i="50158"/>
  <c r="N184" i="50158"/>
  <c r="O184" i="50158"/>
  <c r="P184" i="50158"/>
  <c r="Q184" i="50158"/>
  <c r="V184" i="50158"/>
  <c r="W184" i="50158"/>
  <c r="AA184" i="50158"/>
  <c r="AB184" i="50158"/>
  <c r="A185" i="50158"/>
  <c r="B185" i="50158"/>
  <c r="C185" i="50158"/>
  <c r="D185" i="50158"/>
  <c r="E185" i="50158"/>
  <c r="G185" i="50158"/>
  <c r="H185" i="50158"/>
  <c r="I185" i="50158"/>
  <c r="J185" i="50158"/>
  <c r="K185" i="50158"/>
  <c r="L185" i="50158"/>
  <c r="M185" i="50158"/>
  <c r="N185" i="50158"/>
  <c r="O185" i="50158"/>
  <c r="P185" i="50158"/>
  <c r="Q185" i="50158"/>
  <c r="V185" i="50158"/>
  <c r="W185" i="50158"/>
  <c r="AA185" i="50158"/>
  <c r="AB185" i="50158"/>
  <c r="A186" i="50158"/>
  <c r="B186" i="50158"/>
  <c r="C186" i="50158"/>
  <c r="D186" i="50158"/>
  <c r="F186" i="50158"/>
  <c r="G186" i="50158"/>
  <c r="H186" i="50158"/>
  <c r="I186" i="50158"/>
  <c r="J186" i="50158"/>
  <c r="K186" i="50158"/>
  <c r="L186" i="50158"/>
  <c r="M186" i="50158"/>
  <c r="N186" i="50158"/>
  <c r="P186" i="50158"/>
  <c r="R186" i="50158"/>
  <c r="V186" i="50158"/>
  <c r="W186" i="50158"/>
  <c r="AA186" i="50158"/>
  <c r="AB186" i="50158"/>
  <c r="A187" i="50158"/>
  <c r="B187" i="50158"/>
  <c r="C187" i="50158"/>
  <c r="D187" i="50158"/>
  <c r="E187" i="50158"/>
  <c r="F187" i="50158"/>
  <c r="G187" i="50158"/>
  <c r="H187" i="50158"/>
  <c r="I187" i="50158"/>
  <c r="J187" i="50158"/>
  <c r="K187" i="50158"/>
  <c r="L187" i="50158"/>
  <c r="M187" i="50158"/>
  <c r="N187" i="50158"/>
  <c r="P187" i="50158"/>
  <c r="Q187" i="50158"/>
  <c r="R187" i="50158"/>
  <c r="V187" i="50158"/>
  <c r="W187" i="50158"/>
  <c r="AA187" i="50158"/>
  <c r="AB187" i="50158"/>
  <c r="A188" i="50158"/>
  <c r="C188" i="50158"/>
  <c r="D188" i="50158"/>
  <c r="E188" i="50158"/>
  <c r="F188" i="50158"/>
  <c r="G188" i="50158"/>
  <c r="H188" i="50158"/>
  <c r="I188" i="50158"/>
  <c r="J188" i="50158"/>
  <c r="K188" i="50158"/>
  <c r="L188" i="50158"/>
  <c r="M188" i="50158"/>
  <c r="N188" i="50158"/>
  <c r="O188" i="50158"/>
  <c r="P188" i="50158"/>
  <c r="Q188" i="50158"/>
  <c r="R188" i="50158"/>
  <c r="V188" i="50158"/>
  <c r="W188" i="50158"/>
  <c r="AA188" i="50158"/>
  <c r="AB188" i="50158"/>
  <c r="A189" i="50158"/>
  <c r="B189" i="50158"/>
  <c r="C189" i="50158"/>
  <c r="D189" i="50158"/>
  <c r="E189" i="50158"/>
  <c r="F189" i="50158"/>
  <c r="G189" i="50158"/>
  <c r="H189" i="50158"/>
  <c r="I189" i="50158"/>
  <c r="J189" i="50158"/>
  <c r="K189" i="50158"/>
  <c r="M189" i="50158"/>
  <c r="N189" i="50158"/>
  <c r="O189" i="50158"/>
  <c r="P189" i="50158"/>
  <c r="Q189" i="50158"/>
  <c r="R189" i="50158"/>
  <c r="V189" i="50158"/>
  <c r="W189" i="50158"/>
  <c r="AA189" i="50158"/>
  <c r="AB189" i="50158"/>
  <c r="A190" i="50158"/>
  <c r="B190" i="50158"/>
  <c r="C190" i="50158"/>
  <c r="D190" i="50158"/>
  <c r="E190" i="50158"/>
  <c r="F190" i="50158"/>
  <c r="G190" i="50158"/>
  <c r="H190" i="50158"/>
  <c r="J190" i="50158"/>
  <c r="K190" i="50158"/>
  <c r="L190" i="50158"/>
  <c r="M190" i="50158"/>
  <c r="N190" i="50158"/>
  <c r="O190" i="50158"/>
  <c r="P190" i="50158"/>
  <c r="Q190" i="50158"/>
  <c r="R190" i="50158"/>
  <c r="V190" i="50158"/>
  <c r="W190" i="50158"/>
  <c r="AA190" i="50158"/>
  <c r="AB190" i="50158"/>
  <c r="A191" i="50158"/>
  <c r="B191" i="50158"/>
  <c r="C191" i="50158"/>
  <c r="D191" i="50158"/>
  <c r="E191" i="50158"/>
  <c r="F191" i="50158"/>
  <c r="G191" i="50158"/>
  <c r="H191" i="50158"/>
  <c r="J191" i="50158"/>
  <c r="K191" i="50158"/>
  <c r="L191" i="50158"/>
  <c r="M191" i="50158"/>
  <c r="N191" i="50158"/>
  <c r="O191" i="50158"/>
  <c r="P191" i="50158"/>
  <c r="Q191" i="50158"/>
  <c r="R191" i="50158"/>
  <c r="V191" i="50158"/>
  <c r="W191" i="50158"/>
  <c r="AA191" i="50158"/>
  <c r="AB191" i="50158"/>
  <c r="A192" i="50158"/>
  <c r="C192" i="50158"/>
  <c r="D192" i="50158"/>
  <c r="E192" i="50158"/>
  <c r="F192" i="50158"/>
  <c r="G192" i="50158"/>
  <c r="H192" i="50158"/>
  <c r="I192" i="50158"/>
  <c r="J192" i="50158"/>
  <c r="K192" i="50158"/>
  <c r="L192" i="50158"/>
  <c r="M192" i="50158"/>
  <c r="N192" i="50158"/>
  <c r="O192" i="50158"/>
  <c r="P192" i="50158"/>
  <c r="Q192" i="50158"/>
  <c r="R192" i="50158"/>
  <c r="V192" i="50158"/>
  <c r="W192" i="50158"/>
  <c r="AA192" i="50158"/>
  <c r="AB192" i="50158"/>
  <c r="V193" i="50158"/>
  <c r="W193" i="50158"/>
  <c r="AA193" i="50158"/>
  <c r="AB193" i="50158"/>
  <c r="V194" i="50158"/>
  <c r="W194" i="50158"/>
  <c r="AA194" i="50158"/>
  <c r="AB194" i="50158"/>
  <c r="V195" i="50158"/>
  <c r="W195" i="50158"/>
  <c r="AA195" i="50158"/>
  <c r="AB195" i="50158"/>
  <c r="V196" i="50158"/>
  <c r="W196" i="50158"/>
  <c r="AA196" i="50158"/>
  <c r="AB196" i="50158"/>
  <c r="V197" i="50158"/>
  <c r="W197" i="50158"/>
  <c r="AA197" i="50158"/>
  <c r="AB197" i="50158"/>
  <c r="V198" i="50158"/>
  <c r="W198" i="50158"/>
  <c r="AA198" i="50158"/>
  <c r="AB198" i="50158"/>
  <c r="V199" i="50158"/>
  <c r="W199" i="50158"/>
  <c r="AA199" i="50158"/>
  <c r="AB199" i="50158"/>
  <c r="V200" i="50158"/>
  <c r="W200" i="50158"/>
  <c r="AA200" i="50158"/>
  <c r="AB200" i="50158"/>
  <c r="V201" i="50158"/>
  <c r="W201" i="50158"/>
  <c r="AA201" i="50158"/>
  <c r="AB201" i="50158"/>
  <c r="V202" i="50158"/>
  <c r="W202" i="50158"/>
  <c r="AA202" i="50158"/>
  <c r="AB202" i="50158"/>
  <c r="V203" i="50158"/>
  <c r="W203" i="50158"/>
  <c r="AA203" i="50158"/>
  <c r="AB203" i="50158"/>
  <c r="V204" i="50158"/>
  <c r="W204" i="50158"/>
  <c r="AA204" i="50158"/>
  <c r="AB204" i="50158"/>
  <c r="V205" i="50158"/>
  <c r="W205" i="50158"/>
  <c r="AA205" i="50158"/>
  <c r="AB205" i="50158"/>
  <c r="V206" i="50158"/>
  <c r="W206" i="50158"/>
  <c r="AA206" i="50158"/>
  <c r="AB206" i="50158"/>
  <c r="V207" i="50158"/>
  <c r="W207" i="50158"/>
  <c r="AA207" i="50158"/>
  <c r="AB207" i="50158"/>
  <c r="V208" i="50158"/>
  <c r="W208" i="50158"/>
  <c r="AA208" i="50158"/>
  <c r="AB208" i="50158"/>
  <c r="V209" i="50158"/>
  <c r="W209" i="50158"/>
  <c r="AA209" i="50158"/>
  <c r="AB209" i="50158"/>
  <c r="V210" i="50158"/>
  <c r="W210" i="50158"/>
  <c r="AA210" i="50158"/>
  <c r="AB210" i="50158"/>
  <c r="V211" i="50158"/>
  <c r="W211" i="50158"/>
  <c r="AA211" i="50158"/>
  <c r="AB211" i="50158"/>
  <c r="V212" i="50158"/>
  <c r="W212" i="50158"/>
  <c r="AA212" i="50158"/>
  <c r="AB212" i="50158"/>
  <c r="V213" i="50158"/>
  <c r="W213" i="50158"/>
  <c r="AA213" i="50158"/>
  <c r="AB213" i="50158"/>
  <c r="V214" i="50158"/>
  <c r="W214" i="50158"/>
  <c r="AA214" i="50158"/>
  <c r="AB214" i="50158"/>
  <c r="V215" i="50158"/>
  <c r="W215" i="50158"/>
  <c r="AA215" i="50158"/>
  <c r="AB215" i="50158"/>
  <c r="V216" i="50158"/>
  <c r="W216" i="50158"/>
  <c r="AA216" i="50158"/>
  <c r="AB216" i="50158"/>
  <c r="V217" i="50158"/>
  <c r="W217" i="50158"/>
  <c r="AA217" i="50158"/>
  <c r="AB217" i="50158"/>
  <c r="V218" i="50158"/>
  <c r="W218" i="50158"/>
  <c r="AA218" i="50158"/>
  <c r="AB218" i="50158"/>
  <c r="V219" i="50158"/>
  <c r="W219" i="50158"/>
  <c r="AA219" i="50158"/>
  <c r="AB219" i="50158"/>
  <c r="V220" i="50158"/>
  <c r="W220" i="50158"/>
  <c r="AA220" i="50158"/>
  <c r="AB220" i="50158"/>
  <c r="V221" i="50158"/>
  <c r="W221" i="50158"/>
  <c r="AA221" i="50158"/>
  <c r="AB221" i="50158"/>
  <c r="V222" i="50158"/>
  <c r="W222" i="50158"/>
  <c r="AA222" i="50158"/>
  <c r="AB222" i="50158"/>
  <c r="V223" i="50158"/>
  <c r="W223" i="50158"/>
  <c r="AA223" i="50158"/>
  <c r="AB223" i="50158"/>
  <c r="V224" i="50158"/>
  <c r="W224" i="50158"/>
  <c r="AA224" i="50158"/>
  <c r="AB224" i="50158"/>
  <c r="V225" i="50158"/>
  <c r="W225" i="50158"/>
  <c r="AA225" i="50158"/>
  <c r="AB225" i="50158"/>
  <c r="V226" i="50158"/>
  <c r="W226" i="50158"/>
  <c r="AA226" i="50158"/>
  <c r="AB226" i="50158"/>
  <c r="V227" i="50158"/>
  <c r="W227" i="50158"/>
  <c r="AA227" i="50158"/>
  <c r="AB227" i="50158"/>
  <c r="V228" i="50158"/>
  <c r="W228" i="50158"/>
  <c r="AA228" i="50158"/>
  <c r="AB228" i="50158"/>
  <c r="V229" i="50158"/>
  <c r="W229" i="50158"/>
  <c r="AA229" i="50158"/>
  <c r="AB229" i="50158"/>
  <c r="V230" i="50158"/>
  <c r="W230" i="50158"/>
  <c r="AA230" i="50158"/>
  <c r="AB230" i="50158"/>
  <c r="V231" i="50158"/>
  <c r="W231" i="50158"/>
  <c r="AA231" i="50158"/>
  <c r="AB231" i="50158"/>
  <c r="V232" i="50158"/>
  <c r="W232" i="50158"/>
  <c r="AA232" i="50158"/>
  <c r="AB232" i="50158"/>
  <c r="V233" i="50158"/>
  <c r="W233" i="50158"/>
  <c r="AA233" i="50158"/>
  <c r="AB233" i="50158"/>
  <c r="V234" i="50158"/>
  <c r="W234" i="50158"/>
  <c r="AA234" i="50158"/>
  <c r="AB234" i="50158"/>
  <c r="V235" i="50158"/>
  <c r="W235" i="50158"/>
  <c r="AA235" i="50158"/>
  <c r="AB235" i="50158"/>
  <c r="V236" i="50158"/>
  <c r="W236" i="50158"/>
  <c r="AA236" i="50158"/>
  <c r="AB236" i="50158"/>
  <c r="V237" i="50158"/>
  <c r="W237" i="50158"/>
  <c r="AA237" i="50158"/>
  <c r="AB237" i="50158"/>
  <c r="V238" i="50158"/>
  <c r="W238" i="50158"/>
  <c r="AA238" i="50158"/>
  <c r="AB238" i="50158"/>
  <c r="V239" i="50158"/>
  <c r="W239" i="50158"/>
  <c r="AA239" i="50158"/>
  <c r="AB239" i="50158"/>
  <c r="V240" i="50158"/>
  <c r="W240" i="50158"/>
  <c r="AA240" i="50158"/>
  <c r="AB240" i="50158"/>
  <c r="V241" i="50158"/>
  <c r="W241" i="50158"/>
  <c r="AA241" i="50158"/>
  <c r="AB241" i="50158"/>
  <c r="V242" i="50158"/>
  <c r="W242" i="50158"/>
  <c r="AA242" i="50158"/>
  <c r="AB242" i="50158"/>
  <c r="V243" i="50158"/>
  <c r="W243" i="50158"/>
  <c r="AA243" i="50158"/>
  <c r="AB243" i="50158"/>
  <c r="V244" i="50158"/>
  <c r="W244" i="50158"/>
  <c r="AA244" i="50158"/>
  <c r="AB244" i="50158"/>
  <c r="V245" i="50158"/>
  <c r="W245" i="50158"/>
  <c r="AA245" i="50158"/>
  <c r="AB245" i="50158"/>
  <c r="V246" i="50158"/>
  <c r="W246" i="50158"/>
  <c r="AA246" i="50158"/>
  <c r="AB246" i="50158"/>
  <c r="V247" i="50158"/>
  <c r="W247" i="50158"/>
  <c r="AA247" i="50158"/>
  <c r="AB247" i="50158"/>
  <c r="V248" i="50158"/>
  <c r="W248" i="50158"/>
  <c r="AA248" i="50158"/>
  <c r="AB248" i="50158"/>
  <c r="V249" i="50158"/>
  <c r="W249" i="50158"/>
  <c r="AA249" i="50158"/>
  <c r="AB249" i="50158"/>
  <c r="V250" i="50158"/>
  <c r="W250" i="50158"/>
  <c r="AA250" i="50158"/>
  <c r="AB250" i="50158"/>
  <c r="V251" i="50158"/>
  <c r="W251" i="50158"/>
  <c r="AA251" i="50158"/>
  <c r="AB251" i="50158"/>
  <c r="V252" i="50158"/>
  <c r="W252" i="50158"/>
  <c r="AA252" i="50158"/>
  <c r="AB252" i="50158"/>
  <c r="V253" i="50158"/>
  <c r="W253" i="50158"/>
  <c r="AA253" i="50158"/>
  <c r="AB253" i="50158"/>
  <c r="V254" i="50158"/>
  <c r="W254" i="50158"/>
  <c r="AA254" i="50158"/>
  <c r="AB254" i="50158"/>
  <c r="V255" i="50158"/>
  <c r="W255" i="50158"/>
  <c r="AA255" i="50158"/>
  <c r="AB255" i="50158"/>
  <c r="V256" i="50158"/>
  <c r="W256" i="50158"/>
  <c r="AA256" i="50158"/>
  <c r="AB256" i="50158"/>
  <c r="V257" i="50158"/>
  <c r="W257" i="50158"/>
  <c r="AA257" i="50158"/>
  <c r="AB257" i="50158"/>
  <c r="V258" i="50158"/>
  <c r="W258" i="50158"/>
  <c r="AA258" i="50158"/>
  <c r="AB258" i="50158"/>
  <c r="V259" i="50158"/>
  <c r="W259" i="50158"/>
  <c r="AA259" i="50158"/>
  <c r="AB259" i="50158"/>
  <c r="V260" i="50158"/>
  <c r="W260" i="50158"/>
  <c r="AA260" i="50158"/>
  <c r="AB260" i="50158"/>
  <c r="V261" i="50158"/>
  <c r="W261" i="50158"/>
  <c r="AA261" i="50158"/>
  <c r="AB261" i="50158"/>
  <c r="V262" i="50158"/>
  <c r="W262" i="50158"/>
  <c r="AA262" i="50158"/>
  <c r="AB262" i="50158"/>
  <c r="V263" i="50158"/>
  <c r="W263" i="50158"/>
  <c r="AA263" i="50158"/>
  <c r="AB263" i="50158"/>
  <c r="V264" i="50158"/>
  <c r="W264" i="50158"/>
  <c r="AA264" i="50158"/>
  <c r="AB264" i="50158"/>
  <c r="V265" i="50158"/>
  <c r="W265" i="50158"/>
  <c r="AA265" i="50158"/>
  <c r="AB265" i="50158"/>
  <c r="V266" i="50158"/>
  <c r="W266" i="50158"/>
  <c r="AA266" i="50158"/>
  <c r="AB266" i="50158"/>
  <c r="V267" i="50158"/>
  <c r="W267" i="50158"/>
  <c r="AA267" i="50158"/>
  <c r="AB267" i="50158"/>
  <c r="V268" i="50158"/>
  <c r="W268" i="50158"/>
  <c r="AA268" i="50158"/>
  <c r="AB268" i="50158"/>
  <c r="V269" i="50158"/>
  <c r="W269" i="50158"/>
  <c r="AA269" i="50158"/>
  <c r="AB269" i="50158"/>
  <c r="V270" i="50158"/>
  <c r="W270" i="50158"/>
  <c r="AA270" i="50158"/>
  <c r="AB270" i="50158"/>
  <c r="V271" i="50158"/>
  <c r="W271" i="50158"/>
  <c r="AA271" i="50158"/>
  <c r="AB271" i="50158"/>
  <c r="V272" i="50158"/>
  <c r="W272" i="50158"/>
  <c r="AA272" i="50158"/>
  <c r="AB272" i="50158"/>
  <c r="V273" i="50158"/>
  <c r="W273" i="50158"/>
  <c r="AA273" i="50158"/>
  <c r="AB273" i="50158"/>
  <c r="V274" i="50158"/>
  <c r="W274" i="50158"/>
  <c r="AA274" i="50158"/>
  <c r="AB274" i="50158"/>
  <c r="V275" i="50158"/>
  <c r="W275" i="50158"/>
  <c r="AA275" i="50158"/>
  <c r="AB275" i="50158"/>
  <c r="V276" i="50158"/>
  <c r="W276" i="50158"/>
  <c r="AA276" i="50158"/>
  <c r="AB276" i="50158"/>
  <c r="V277" i="50158"/>
  <c r="W277" i="50158"/>
  <c r="AA277" i="50158"/>
  <c r="AB277" i="50158"/>
  <c r="V278" i="50158"/>
  <c r="W278" i="50158"/>
  <c r="AA278" i="50158"/>
  <c r="AB278" i="50158"/>
  <c r="V279" i="50158"/>
  <c r="W279" i="50158"/>
  <c r="AA279" i="50158"/>
  <c r="AB279" i="50158"/>
  <c r="V280" i="50158"/>
  <c r="W280" i="50158"/>
  <c r="AA280" i="50158"/>
  <c r="AB280" i="50158"/>
  <c r="V281" i="50158"/>
  <c r="W281" i="50158"/>
  <c r="AA281" i="50158"/>
  <c r="AB281" i="50158"/>
  <c r="V282" i="50158"/>
  <c r="W282" i="50158"/>
  <c r="AA282" i="50158"/>
  <c r="AB282" i="50158"/>
  <c r="V283" i="50158"/>
  <c r="W283" i="50158"/>
  <c r="AA283" i="50158"/>
  <c r="AB283" i="50158"/>
  <c r="V284" i="50158"/>
  <c r="W284" i="50158"/>
  <c r="AA284" i="50158"/>
  <c r="AB284" i="50158"/>
  <c r="V285" i="50158"/>
  <c r="W285" i="50158"/>
  <c r="AA285" i="50158"/>
  <c r="AB285" i="50158"/>
  <c r="V286" i="50158"/>
  <c r="W286" i="50158"/>
  <c r="AA286" i="50158"/>
  <c r="AB286" i="50158"/>
  <c r="V287" i="50158"/>
  <c r="W287" i="50158"/>
  <c r="AA287" i="50158"/>
  <c r="AB287" i="50158"/>
  <c r="V288" i="50158"/>
  <c r="W288" i="50158"/>
  <c r="AA288" i="50158"/>
  <c r="AB288" i="50158"/>
  <c r="V289" i="50158"/>
  <c r="W289" i="50158"/>
  <c r="AA289" i="50158"/>
  <c r="AB289" i="50158"/>
  <c r="V290" i="50158"/>
  <c r="W290" i="50158"/>
  <c r="AA290" i="50158"/>
  <c r="AB290" i="50158"/>
  <c r="V291" i="50158"/>
  <c r="W291" i="50158"/>
  <c r="AA291" i="50158"/>
  <c r="AB291" i="50158"/>
  <c r="V292" i="50158"/>
  <c r="W292" i="50158"/>
  <c r="AA292" i="50158"/>
  <c r="AB292" i="50158"/>
  <c r="V293" i="50158"/>
  <c r="W293" i="50158"/>
  <c r="AA293" i="50158"/>
  <c r="AB293" i="50158"/>
  <c r="V294" i="50158"/>
  <c r="W294" i="50158"/>
  <c r="AA294" i="50158"/>
  <c r="AB294" i="50158"/>
  <c r="V295" i="50158"/>
  <c r="W295" i="50158"/>
  <c r="AA295" i="50158"/>
  <c r="AB295" i="50158"/>
  <c r="V296" i="50158"/>
  <c r="W296" i="50158"/>
  <c r="AA296" i="50158"/>
  <c r="AB296" i="50158"/>
  <c r="V297" i="50158"/>
  <c r="W297" i="50158"/>
  <c r="AA297" i="50158"/>
  <c r="AB297" i="50158"/>
  <c r="V298" i="50158"/>
  <c r="W298" i="50158"/>
  <c r="AA298" i="50158"/>
  <c r="AB298" i="50158"/>
  <c r="V299" i="50158"/>
  <c r="W299" i="50158"/>
  <c r="AA299" i="50158"/>
  <c r="AB299" i="50158"/>
  <c r="V300" i="50158"/>
  <c r="W300" i="50158"/>
  <c r="AA300" i="50158"/>
  <c r="AB300" i="50158"/>
  <c r="V301" i="50158"/>
  <c r="W301" i="50158"/>
  <c r="AA301" i="50158"/>
  <c r="AB301" i="50158"/>
  <c r="V302" i="50158"/>
  <c r="W302" i="50158"/>
  <c r="AA302" i="50158"/>
  <c r="AB302" i="50158"/>
  <c r="V303" i="50158"/>
  <c r="W303" i="50158"/>
  <c r="AA303" i="50158"/>
  <c r="AB303" i="50158"/>
  <c r="V304" i="50158"/>
  <c r="W304" i="50158"/>
  <c r="AA304" i="50158"/>
  <c r="AB304" i="50158"/>
  <c r="AE90" i="50149"/>
  <c r="AE89" i="50149"/>
  <c r="AG89" i="50149" s="1"/>
  <c r="AF89" i="50149"/>
  <c r="AE88" i="50149"/>
  <c r="AG88" i="50149" s="1"/>
  <c r="AE87" i="50149"/>
  <c r="AE86" i="50149"/>
  <c r="AG86" i="50149"/>
  <c r="AF86" i="50149"/>
  <c r="AE85" i="50149"/>
  <c r="AG85" i="50149" s="1"/>
  <c r="AE84" i="50149"/>
  <c r="AG84" i="50149" s="1"/>
  <c r="AE83" i="50149"/>
  <c r="AE82" i="50149"/>
  <c r="AE81" i="50149"/>
  <c r="AG81" i="50149" s="1"/>
  <c r="AF81" i="50149"/>
  <c r="AE80" i="50149"/>
  <c r="AG80" i="50149" s="1"/>
  <c r="AE79" i="50149"/>
  <c r="AE78" i="50149"/>
  <c r="AG78" i="50149"/>
  <c r="AF78" i="50149"/>
  <c r="AE77" i="50149"/>
  <c r="AG77" i="50149" s="1"/>
  <c r="AE76" i="50149"/>
  <c r="AG76" i="50149" s="1"/>
  <c r="AE75" i="50149"/>
  <c r="AE74" i="50149"/>
  <c r="AE73" i="50149"/>
  <c r="AG73" i="50149" s="1"/>
  <c r="AF73" i="50149"/>
  <c r="AE72" i="50149"/>
  <c r="AG72" i="50149" s="1"/>
  <c r="AE71" i="50149"/>
  <c r="AE70" i="50149"/>
  <c r="AG70" i="50149"/>
  <c r="AF70" i="50149"/>
  <c r="AE69" i="50149"/>
  <c r="AG69" i="50149" s="1"/>
  <c r="AE68" i="50149"/>
  <c r="AG68" i="50149" s="1"/>
  <c r="AE67" i="50149"/>
  <c r="AE66" i="50149"/>
  <c r="AI61" i="50149"/>
  <c r="AI60" i="50149"/>
  <c r="L32" i="50149"/>
  <c r="L34" i="50149" s="1"/>
  <c r="M9" i="50149" s="1"/>
  <c r="O9" i="50149" s="1"/>
  <c r="L33" i="50149"/>
  <c r="L35" i="50149" s="1"/>
  <c r="L5" i="50149" s="1"/>
  <c r="Q39" i="50149"/>
  <c r="R39" i="50149"/>
  <c r="S39" i="50149"/>
  <c r="Q40" i="50149"/>
  <c r="R40" i="50149"/>
  <c r="S40" i="50149"/>
  <c r="Q36" i="50149"/>
  <c r="R36" i="50149"/>
  <c r="S36" i="50149"/>
  <c r="P38" i="50149"/>
  <c r="Q38" i="50149"/>
  <c r="R38" i="50149"/>
  <c r="S38" i="50149"/>
  <c r="Q35" i="50149"/>
  <c r="R35" i="50149"/>
  <c r="S35" i="50149"/>
  <c r="P37" i="50149"/>
  <c r="Q37" i="50149"/>
  <c r="R37" i="50149"/>
  <c r="S37" i="50149"/>
  <c r="AD36" i="50149"/>
  <c r="AD35" i="50149"/>
  <c r="AD34" i="50149"/>
  <c r="AD33" i="50149"/>
  <c r="AD32" i="50149"/>
  <c r="AD31" i="50149"/>
  <c r="AD30" i="50149"/>
  <c r="AD29" i="50149"/>
  <c r="AD28" i="50149"/>
  <c r="AD27" i="50149"/>
  <c r="AD26" i="50149"/>
  <c r="AD25" i="50149"/>
  <c r="AD22" i="50149"/>
  <c r="AD21" i="50149"/>
  <c r="AD20" i="50149"/>
  <c r="AD19" i="50149"/>
  <c r="AD18" i="50149"/>
  <c r="AD17" i="50149"/>
  <c r="AD16" i="50149"/>
  <c r="AD15" i="50149"/>
  <c r="AD14" i="50149"/>
  <c r="AD13" i="50149"/>
  <c r="AD12" i="50149"/>
  <c r="D36" i="50149"/>
  <c r="D35" i="50149"/>
  <c r="D34" i="50149"/>
  <c r="D33" i="50149"/>
  <c r="D32" i="50149"/>
  <c r="D31" i="50149"/>
  <c r="D30" i="50149"/>
  <c r="D29" i="50149"/>
  <c r="D28" i="50149"/>
  <c r="D27" i="50149"/>
  <c r="D26" i="50149"/>
  <c r="D25" i="50149"/>
  <c r="D24" i="50149"/>
  <c r="D23" i="50149"/>
  <c r="D22" i="50149"/>
  <c r="D21" i="50149"/>
  <c r="D20" i="50149"/>
  <c r="D19" i="50149"/>
  <c r="D18" i="50149"/>
  <c r="D17" i="50149"/>
  <c r="D16" i="50149"/>
  <c r="D15" i="50149"/>
  <c r="D14" i="50149"/>
  <c r="D13" i="50149"/>
  <c r="D12" i="50149"/>
  <c r="A36" i="50149"/>
  <c r="A35" i="50149"/>
  <c r="A34" i="50149"/>
  <c r="A33" i="50149"/>
  <c r="A32" i="50149"/>
  <c r="A31" i="50149"/>
  <c r="A30" i="50149"/>
  <c r="A29" i="50149"/>
  <c r="A28" i="50149"/>
  <c r="A27" i="50149"/>
  <c r="A26" i="50149"/>
  <c r="A25" i="50149"/>
  <c r="A24" i="50149"/>
  <c r="A23" i="50149"/>
  <c r="A22" i="50149"/>
  <c r="A21" i="50149"/>
  <c r="A20" i="50149"/>
  <c r="A19" i="50149"/>
  <c r="A18" i="50149"/>
  <c r="A17" i="50149"/>
  <c r="A16" i="50149"/>
  <c r="A15" i="50149"/>
  <c r="A14" i="50149"/>
  <c r="A13" i="50149"/>
  <c r="A12" i="50149"/>
  <c r="AF36" i="50149"/>
  <c r="AE36" i="50149"/>
  <c r="AI49" i="50149"/>
  <c r="AI48" i="50149"/>
  <c r="AI47" i="50149"/>
  <c r="AI46" i="50149"/>
  <c r="AI45" i="50149"/>
  <c r="AI44" i="50149"/>
  <c r="AI43" i="50149"/>
  <c r="AI42" i="50149"/>
  <c r="AI41" i="50149"/>
  <c r="AH49" i="50149"/>
  <c r="AH48" i="50149"/>
  <c r="AH47" i="50149"/>
  <c r="AH46" i="50149"/>
  <c r="AH45" i="50149"/>
  <c r="AH44" i="50149"/>
  <c r="AH43" i="50149"/>
  <c r="AH42" i="50149"/>
  <c r="AH41" i="50149"/>
  <c r="AG49" i="50149"/>
  <c r="AG48" i="50149"/>
  <c r="AG47" i="50149"/>
  <c r="AG46" i="50149"/>
  <c r="AG45" i="50149"/>
  <c r="AG44" i="50149"/>
  <c r="AG43" i="50149"/>
  <c r="AG42" i="50149"/>
  <c r="AG41" i="50149"/>
  <c r="AF49" i="50149"/>
  <c r="AF48" i="50149"/>
  <c r="AF47" i="50149"/>
  <c r="AF46" i="50149"/>
  <c r="AF45" i="50149"/>
  <c r="AF44" i="50149"/>
  <c r="AF43" i="50149"/>
  <c r="AF42" i="50149"/>
  <c r="AF41" i="50149"/>
  <c r="AF40" i="50149"/>
  <c r="AI40" i="50149"/>
  <c r="AH40" i="50149"/>
  <c r="AG40" i="50149"/>
  <c r="AF35" i="50149"/>
  <c r="AF34" i="50149"/>
  <c r="AF33" i="50149"/>
  <c r="AF32" i="50149"/>
  <c r="AF31" i="50149"/>
  <c r="AF30" i="50149"/>
  <c r="AF29" i="50149"/>
  <c r="AF28" i="50149"/>
  <c r="AF27" i="50149"/>
  <c r="AF26" i="50149"/>
  <c r="AF25" i="50149"/>
  <c r="AF24" i="50149"/>
  <c r="AF23" i="50149"/>
  <c r="AF22" i="50149"/>
  <c r="AF21" i="50149"/>
  <c r="AF20" i="50149"/>
  <c r="AF19" i="50149"/>
  <c r="AF18" i="50149"/>
  <c r="AF17" i="50149"/>
  <c r="AF16" i="50149"/>
  <c r="AF15" i="50149"/>
  <c r="AF14" i="50149"/>
  <c r="AF13" i="50149"/>
  <c r="AE35" i="50149"/>
  <c r="AE34" i="50149"/>
  <c r="AE33" i="50149"/>
  <c r="AE32" i="50149"/>
  <c r="AE31" i="50149"/>
  <c r="AE30" i="50149"/>
  <c r="AE29" i="50149"/>
  <c r="AE28" i="50149"/>
  <c r="AE27" i="50149"/>
  <c r="AE26" i="50149"/>
  <c r="AE25" i="50149"/>
  <c r="AE24" i="50149"/>
  <c r="AE23" i="50149"/>
  <c r="AE22" i="50149"/>
  <c r="AE21" i="50149"/>
  <c r="AE20" i="50149"/>
  <c r="AE19" i="50149"/>
  <c r="AE18" i="50149"/>
  <c r="AE17" i="50149"/>
  <c r="AE16" i="50149"/>
  <c r="AE15" i="50149"/>
  <c r="AE14" i="50149"/>
  <c r="AE13" i="50149"/>
  <c r="AF12" i="50149"/>
  <c r="AE12" i="50149"/>
  <c r="R29" i="50149"/>
  <c r="L11" i="50149"/>
  <c r="N11" i="50149"/>
  <c r="L12" i="50149"/>
  <c r="N12" i="50149"/>
  <c r="L13" i="50149"/>
  <c r="N13" i="50149"/>
  <c r="L14" i="50149"/>
  <c r="N14" i="50149"/>
  <c r="L15" i="50149"/>
  <c r="N15" i="50149"/>
  <c r="L16" i="50149"/>
  <c r="N16" i="50149"/>
  <c r="L17" i="50149"/>
  <c r="N17" i="50149"/>
  <c r="L18" i="50149"/>
  <c r="N18" i="50149"/>
  <c r="L19" i="50149"/>
  <c r="N19" i="50149"/>
  <c r="L20" i="50149"/>
  <c r="N20" i="50149"/>
  <c r="L21" i="50149"/>
  <c r="N21" i="50149"/>
  <c r="L22" i="50149"/>
  <c r="N22" i="50149"/>
  <c r="L23" i="50149"/>
  <c r="N23" i="50149"/>
  <c r="L24" i="50149"/>
  <c r="N24" i="50149"/>
  <c r="L25" i="50149"/>
  <c r="N25" i="50149"/>
  <c r="L26" i="50149"/>
  <c r="N26" i="50149"/>
  <c r="L27" i="50149"/>
  <c r="N27" i="50149"/>
  <c r="L28" i="50149"/>
  <c r="N28" i="50149"/>
  <c r="L29" i="50149"/>
  <c r="N29" i="50149"/>
  <c r="M11" i="50149"/>
  <c r="O11" i="50149"/>
  <c r="M12" i="50149"/>
  <c r="O12" i="50149"/>
  <c r="M13" i="50149"/>
  <c r="O13" i="50149"/>
  <c r="M14" i="50149"/>
  <c r="O14" i="50149"/>
  <c r="M15" i="50149"/>
  <c r="O15" i="50149"/>
  <c r="M16" i="50149"/>
  <c r="O16" i="50149"/>
  <c r="M17" i="50149"/>
  <c r="O17" i="50149"/>
  <c r="M18" i="50149"/>
  <c r="O18" i="50149"/>
  <c r="M19" i="50149"/>
  <c r="O19" i="50149"/>
  <c r="M20" i="50149"/>
  <c r="O20" i="50149"/>
  <c r="M21" i="50149"/>
  <c r="O21" i="50149"/>
  <c r="M22" i="50149"/>
  <c r="O22" i="50149"/>
  <c r="M23" i="50149"/>
  <c r="O23" i="50149"/>
  <c r="M24" i="50149"/>
  <c r="O24" i="50149"/>
  <c r="M25" i="50149"/>
  <c r="O25" i="50149"/>
  <c r="M26" i="50149"/>
  <c r="O26" i="50149"/>
  <c r="M27" i="50149"/>
  <c r="O27" i="50149"/>
  <c r="M28" i="50149"/>
  <c r="O28" i="50149"/>
  <c r="M29" i="50149"/>
  <c r="O29" i="50149"/>
  <c r="Q29" i="50149"/>
  <c r="T29" i="50149"/>
  <c r="F36" i="50149" s="1"/>
  <c r="P11" i="50149"/>
  <c r="P12" i="50149"/>
  <c r="P13" i="50149"/>
  <c r="P14" i="50149"/>
  <c r="P15" i="50149"/>
  <c r="P16" i="50149"/>
  <c r="P17" i="50149"/>
  <c r="P18" i="50149"/>
  <c r="P19" i="50149"/>
  <c r="P20" i="50149"/>
  <c r="P21" i="50149"/>
  <c r="P22" i="50149"/>
  <c r="P23" i="50149"/>
  <c r="P24" i="50149"/>
  <c r="P25" i="50149"/>
  <c r="P26" i="50149"/>
  <c r="P27" i="50149"/>
  <c r="P28" i="50149"/>
  <c r="P29" i="50149"/>
  <c r="S29" i="50149"/>
  <c r="E36" i="50149" s="1"/>
  <c r="S33" i="50149"/>
  <c r="S34" i="50149"/>
  <c r="F40" i="50149"/>
  <c r="Q34" i="50149"/>
  <c r="R34" i="50149"/>
  <c r="Q33" i="50149"/>
  <c r="R33" i="50149"/>
  <c r="P44" i="50149"/>
  <c r="P45" i="50149"/>
  <c r="H41" i="50149" s="1"/>
  <c r="R11" i="50149"/>
  <c r="Q11" i="50149"/>
  <c r="T11" i="50149"/>
  <c r="R12" i="50149"/>
  <c r="Q12" i="50149"/>
  <c r="T12" i="50149"/>
  <c r="R13" i="50149"/>
  <c r="Q13" i="50149"/>
  <c r="T13" i="50149"/>
  <c r="F20" i="50149" s="1"/>
  <c r="R14" i="50149"/>
  <c r="Q14" i="50149"/>
  <c r="T14" i="50149"/>
  <c r="F21" i="50149" s="1"/>
  <c r="R15" i="50149"/>
  <c r="Q15" i="50149"/>
  <c r="T15" i="50149"/>
  <c r="F22" i="50149" s="1"/>
  <c r="R16" i="50149"/>
  <c r="Q16" i="50149"/>
  <c r="T16" i="50149"/>
  <c r="F23" i="50149" s="1"/>
  <c r="R17" i="50149"/>
  <c r="Q17" i="50149"/>
  <c r="T17" i="50149"/>
  <c r="F24" i="50149" s="1"/>
  <c r="R18" i="50149"/>
  <c r="Q18" i="50149"/>
  <c r="T18" i="50149"/>
  <c r="R19" i="50149"/>
  <c r="Q19" i="50149"/>
  <c r="T19" i="50149"/>
  <c r="R20" i="50149"/>
  <c r="Q20" i="50149"/>
  <c r="T20" i="50149"/>
  <c r="R21" i="50149"/>
  <c r="Q21" i="50149"/>
  <c r="T21" i="50149"/>
  <c r="F28" i="50149" s="1"/>
  <c r="R22" i="50149"/>
  <c r="Q22" i="50149"/>
  <c r="T22" i="50149"/>
  <c r="R23" i="50149"/>
  <c r="Q23" i="50149"/>
  <c r="T23" i="50149"/>
  <c r="F30" i="50149" s="1"/>
  <c r="R24" i="50149"/>
  <c r="Q24" i="50149"/>
  <c r="T24" i="50149"/>
  <c r="F31" i="50149" s="1"/>
  <c r="R25" i="50149"/>
  <c r="Q25" i="50149"/>
  <c r="T25" i="50149"/>
  <c r="F32" i="50149" s="1"/>
  <c r="R26" i="50149"/>
  <c r="Q26" i="50149"/>
  <c r="T26" i="50149"/>
  <c r="R27" i="50149"/>
  <c r="Q27" i="50149"/>
  <c r="T27" i="50149"/>
  <c r="R28" i="50149"/>
  <c r="Q28" i="50149"/>
  <c r="T28" i="50149"/>
  <c r="P43" i="50149"/>
  <c r="S11" i="50149"/>
  <c r="E18" i="50149" s="1"/>
  <c r="S12" i="50149"/>
  <c r="S13" i="50149"/>
  <c r="E20" i="50149" s="1"/>
  <c r="S14" i="50149"/>
  <c r="E21" i="50149" s="1"/>
  <c r="S15" i="50149"/>
  <c r="E22" i="50149" s="1"/>
  <c r="S16" i="50149"/>
  <c r="S17" i="50149"/>
  <c r="E24" i="50149" s="1"/>
  <c r="S18" i="50149"/>
  <c r="E25" i="50149" s="1"/>
  <c r="S19" i="50149"/>
  <c r="E26" i="50149" s="1"/>
  <c r="S20" i="50149"/>
  <c r="S21" i="50149"/>
  <c r="E28" i="50149" s="1"/>
  <c r="S22" i="50149"/>
  <c r="E29" i="50149" s="1"/>
  <c r="S23" i="50149"/>
  <c r="E30" i="50149" s="1"/>
  <c r="S24" i="50149"/>
  <c r="E31" i="50149" s="1"/>
  <c r="S25" i="50149"/>
  <c r="E32" i="50149" s="1"/>
  <c r="S26" i="50149"/>
  <c r="E33" i="50149" s="1"/>
  <c r="S27" i="50149"/>
  <c r="E34" i="50149" s="1"/>
  <c r="S28" i="50149"/>
  <c r="E40" i="50149"/>
  <c r="D40" i="50149"/>
  <c r="C40" i="50149"/>
  <c r="H30" i="50149"/>
  <c r="F35" i="50149"/>
  <c r="F34" i="50149"/>
  <c r="F33" i="50149"/>
  <c r="F29" i="50149"/>
  <c r="F27" i="50149"/>
  <c r="F26" i="50149"/>
  <c r="F25" i="50149"/>
  <c r="F19" i="50149"/>
  <c r="F18" i="50149"/>
  <c r="E35" i="50149"/>
  <c r="E27" i="50149"/>
  <c r="E23" i="50149"/>
  <c r="E19" i="50149"/>
  <c r="AE90" i="50144"/>
  <c r="AG90" i="50144" s="1"/>
  <c r="AF90" i="50144"/>
  <c r="AE89" i="50144"/>
  <c r="AF89" i="50144" s="1"/>
  <c r="AE88" i="50144"/>
  <c r="AF88" i="50144" s="1"/>
  <c r="AE87" i="50144"/>
  <c r="AG87" i="50144" s="1"/>
  <c r="AE86" i="50144"/>
  <c r="AG86" i="50144" s="1"/>
  <c r="AE85" i="50144"/>
  <c r="AE84" i="50144"/>
  <c r="AG84" i="50144" s="1"/>
  <c r="AE83" i="50144"/>
  <c r="AG83" i="50144" s="1"/>
  <c r="AF83" i="50144"/>
  <c r="AE82" i="50144"/>
  <c r="AG82" i="50144" s="1"/>
  <c r="AF82" i="50144"/>
  <c r="AE81" i="50144"/>
  <c r="AF81" i="50144" s="1"/>
  <c r="AE80" i="50144"/>
  <c r="AF80" i="50144" s="1"/>
  <c r="AE79" i="50144"/>
  <c r="AG79" i="50144" s="1"/>
  <c r="AE78" i="50144"/>
  <c r="AG78" i="50144" s="1"/>
  <c r="AE77" i="50144"/>
  <c r="AE76" i="50144"/>
  <c r="AG76" i="50144" s="1"/>
  <c r="AE75" i="50144"/>
  <c r="AG75" i="50144" s="1"/>
  <c r="AF75" i="50144"/>
  <c r="AE74" i="50144"/>
  <c r="AG74" i="50144" s="1"/>
  <c r="AF74" i="50144"/>
  <c r="AE73" i="50144"/>
  <c r="AF73" i="50144" s="1"/>
  <c r="AE72" i="50144"/>
  <c r="AF72" i="50144" s="1"/>
  <c r="AE71" i="50144"/>
  <c r="AG71" i="50144" s="1"/>
  <c r="AE70" i="50144"/>
  <c r="AG70" i="50144" s="1"/>
  <c r="AE69" i="50144"/>
  <c r="AE68" i="50144"/>
  <c r="AG68" i="50144" s="1"/>
  <c r="AE67" i="50144"/>
  <c r="AG67" i="50144" s="1"/>
  <c r="AF67" i="50144"/>
  <c r="AE66" i="50144"/>
  <c r="AG66" i="50144" s="1"/>
  <c r="AF66" i="50144"/>
  <c r="AI61" i="50144"/>
  <c r="AI60" i="50144"/>
  <c r="L32" i="50144"/>
  <c r="L34" i="50144" s="1"/>
  <c r="M5" i="50144"/>
  <c r="O5" i="50144" s="1"/>
  <c r="L33" i="50144"/>
  <c r="L35" i="50144" s="1"/>
  <c r="Q39" i="50144"/>
  <c r="R39" i="50144"/>
  <c r="S39" i="50144"/>
  <c r="Q40" i="50144"/>
  <c r="R40" i="50144"/>
  <c r="S40" i="50144"/>
  <c r="Q36" i="50144"/>
  <c r="R36" i="50144"/>
  <c r="S36" i="50144"/>
  <c r="P38" i="50144"/>
  <c r="Q38" i="50144"/>
  <c r="R38" i="50144"/>
  <c r="S38" i="50144"/>
  <c r="Q35" i="50144"/>
  <c r="R35" i="50144"/>
  <c r="S35" i="50144"/>
  <c r="P37" i="50144"/>
  <c r="Q37" i="50144"/>
  <c r="R37" i="50144"/>
  <c r="S37" i="50144"/>
  <c r="AD36" i="50144"/>
  <c r="AD35" i="50144"/>
  <c r="AD34" i="50144"/>
  <c r="AD33" i="50144"/>
  <c r="AD32" i="50144"/>
  <c r="AD31" i="50144"/>
  <c r="AD30" i="50144"/>
  <c r="AD29" i="50144"/>
  <c r="AD28" i="50144"/>
  <c r="AD27" i="50144"/>
  <c r="AD26" i="50144"/>
  <c r="AD25" i="50144"/>
  <c r="AD24" i="50144"/>
  <c r="AD23" i="50144"/>
  <c r="AD22" i="50144"/>
  <c r="AD21" i="50144"/>
  <c r="AD20" i="50144"/>
  <c r="AD19" i="50144"/>
  <c r="AD18" i="50144"/>
  <c r="AD17" i="50144"/>
  <c r="AD16" i="50144"/>
  <c r="AD15" i="50144"/>
  <c r="AD14" i="50144"/>
  <c r="AD13" i="50144"/>
  <c r="AD12" i="50144"/>
  <c r="D36" i="50144"/>
  <c r="D35" i="50144"/>
  <c r="D34" i="50144"/>
  <c r="D33" i="50144"/>
  <c r="D32" i="50144"/>
  <c r="D31" i="50144"/>
  <c r="D30" i="50144"/>
  <c r="D29" i="50144"/>
  <c r="D28" i="50144"/>
  <c r="D27" i="50144"/>
  <c r="D26" i="50144"/>
  <c r="D25" i="50144"/>
  <c r="D24" i="50144"/>
  <c r="D23" i="50144"/>
  <c r="D22" i="50144"/>
  <c r="D21" i="50144"/>
  <c r="D20" i="50144"/>
  <c r="D19" i="50144"/>
  <c r="D18" i="50144"/>
  <c r="D17" i="50144"/>
  <c r="D16" i="50144"/>
  <c r="D15" i="50144"/>
  <c r="D14" i="50144"/>
  <c r="D13" i="50144"/>
  <c r="D12" i="50144"/>
  <c r="A36" i="50144"/>
  <c r="A35" i="50144"/>
  <c r="A34" i="50144"/>
  <c r="A33" i="50144"/>
  <c r="A32" i="50144"/>
  <c r="A31" i="50144"/>
  <c r="A30" i="50144"/>
  <c r="A29" i="50144"/>
  <c r="A28" i="50144"/>
  <c r="A27" i="50144"/>
  <c r="A26" i="50144"/>
  <c r="A25" i="50144"/>
  <c r="A24" i="50144"/>
  <c r="A23" i="50144"/>
  <c r="A22" i="50144"/>
  <c r="A21" i="50144"/>
  <c r="A20" i="50144"/>
  <c r="A19" i="50144"/>
  <c r="A18" i="50144"/>
  <c r="A17" i="50144"/>
  <c r="A16" i="50144"/>
  <c r="A15" i="50144"/>
  <c r="A14" i="50144"/>
  <c r="A13" i="50144"/>
  <c r="A12" i="50144"/>
  <c r="AF47" i="50144"/>
  <c r="AF44" i="50144"/>
  <c r="AF41" i="50144"/>
  <c r="AE12" i="50144"/>
  <c r="AF36" i="50144"/>
  <c r="AE36" i="50144"/>
  <c r="AI46" i="50144"/>
  <c r="AI45" i="50144"/>
  <c r="AI44" i="50144"/>
  <c r="AH46" i="50144"/>
  <c r="AH45" i="50144"/>
  <c r="AH44" i="50144"/>
  <c r="AG44" i="50144"/>
  <c r="AI43" i="50144"/>
  <c r="AI42" i="50144"/>
  <c r="AI41" i="50144"/>
  <c r="AH43" i="50144"/>
  <c r="AH42" i="50144"/>
  <c r="AH41" i="50144"/>
  <c r="AG41" i="50144"/>
  <c r="AI49" i="50144"/>
  <c r="AI48" i="50144"/>
  <c r="AI47" i="50144"/>
  <c r="AH49" i="50144"/>
  <c r="AH48" i="50144"/>
  <c r="AH47" i="50144"/>
  <c r="AG49" i="50144"/>
  <c r="AG48" i="50144"/>
  <c r="AG47" i="50144"/>
  <c r="AG46" i="50144"/>
  <c r="AG45" i="50144"/>
  <c r="AG43" i="50144"/>
  <c r="AG42" i="50144"/>
  <c r="AF49" i="50144"/>
  <c r="AF48" i="50144"/>
  <c r="AF46" i="50144"/>
  <c r="AF45" i="50144"/>
  <c r="AF43" i="50144"/>
  <c r="AF42" i="50144"/>
  <c r="AE29" i="50144"/>
  <c r="AI40" i="50144"/>
  <c r="AH40" i="50144"/>
  <c r="AG40" i="50144"/>
  <c r="AF40" i="50144"/>
  <c r="AF35" i="50144"/>
  <c r="AF34" i="50144"/>
  <c r="AF33" i="50144"/>
  <c r="AF32" i="50144"/>
  <c r="AF31" i="50144"/>
  <c r="AF30" i="50144"/>
  <c r="AF29" i="50144"/>
  <c r="AF28" i="50144"/>
  <c r="AF27" i="50144"/>
  <c r="AF26" i="50144"/>
  <c r="AF25" i="50144"/>
  <c r="AF24" i="50144"/>
  <c r="AF23" i="50144"/>
  <c r="AF22" i="50144"/>
  <c r="AF21" i="50144"/>
  <c r="AF20" i="50144"/>
  <c r="AF19" i="50144"/>
  <c r="AF18" i="50144"/>
  <c r="AF17" i="50144"/>
  <c r="AF16" i="50144"/>
  <c r="AF15" i="50144"/>
  <c r="AF14" i="50144"/>
  <c r="AF13" i="50144"/>
  <c r="AF12" i="50144"/>
  <c r="AE35" i="50144"/>
  <c r="AE34" i="50144"/>
  <c r="AE33" i="50144"/>
  <c r="AE32" i="50144"/>
  <c r="AE31" i="50144"/>
  <c r="AE30" i="50144"/>
  <c r="AE28" i="50144"/>
  <c r="AE27" i="50144"/>
  <c r="AE26" i="50144"/>
  <c r="AE25" i="50144"/>
  <c r="AE24" i="50144"/>
  <c r="AE23" i="50144"/>
  <c r="AE22" i="50144"/>
  <c r="AE21" i="50144"/>
  <c r="AE20" i="50144"/>
  <c r="AE19" i="50144"/>
  <c r="AE18" i="50144"/>
  <c r="AE17" i="50144"/>
  <c r="AE16" i="50144"/>
  <c r="AE15" i="50144"/>
  <c r="AE14" i="50144"/>
  <c r="AE13" i="50144"/>
  <c r="T29" i="50144"/>
  <c r="S29" i="50144"/>
  <c r="R29" i="50144"/>
  <c r="Q29" i="50144"/>
  <c r="P29" i="50144"/>
  <c r="O29" i="50144"/>
  <c r="N29" i="50144"/>
  <c r="M29" i="50144"/>
  <c r="L29" i="50144"/>
  <c r="S33" i="50144"/>
  <c r="S34" i="50144"/>
  <c r="F40" i="50144"/>
  <c r="Q34" i="50144"/>
  <c r="R34" i="50144"/>
  <c r="Q33" i="50144"/>
  <c r="R33" i="50144"/>
  <c r="N11" i="50144"/>
  <c r="N12" i="50144"/>
  <c r="N13" i="50144"/>
  <c r="N14" i="50144"/>
  <c r="N15" i="50144"/>
  <c r="N16" i="50144"/>
  <c r="N17" i="50144"/>
  <c r="N18" i="50144"/>
  <c r="N19" i="50144"/>
  <c r="N20" i="50144"/>
  <c r="N21" i="50144"/>
  <c r="N22" i="50144"/>
  <c r="N23" i="50144"/>
  <c r="N24" i="50144"/>
  <c r="N25" i="50144"/>
  <c r="N26" i="50144"/>
  <c r="N27" i="50144"/>
  <c r="N28" i="50144"/>
  <c r="O11" i="50144"/>
  <c r="O12" i="50144"/>
  <c r="O13" i="50144"/>
  <c r="O14" i="50144"/>
  <c r="O15" i="50144"/>
  <c r="O16" i="50144"/>
  <c r="O17" i="50144"/>
  <c r="O18" i="50144"/>
  <c r="O19" i="50144"/>
  <c r="O20" i="50144"/>
  <c r="O21" i="50144"/>
  <c r="O22" i="50144"/>
  <c r="O23" i="50144"/>
  <c r="O24" i="50144"/>
  <c r="O25" i="50144"/>
  <c r="O26" i="50144"/>
  <c r="O27" i="50144"/>
  <c r="O28" i="50144"/>
  <c r="P44" i="50144"/>
  <c r="P45" i="50144"/>
  <c r="Q8" i="50144"/>
  <c r="T11" i="50144"/>
  <c r="T12" i="50144"/>
  <c r="F19" i="50144" s="1"/>
  <c r="T13" i="50144"/>
  <c r="T14" i="50144"/>
  <c r="T15" i="50144"/>
  <c r="F22" i="50144" s="1"/>
  <c r="T16" i="50144"/>
  <c r="T17" i="50144"/>
  <c r="F24" i="50144" s="1"/>
  <c r="T18" i="50144"/>
  <c r="F25" i="50144" s="1"/>
  <c r="T19" i="50144"/>
  <c r="T20" i="50144"/>
  <c r="F27" i="50144" s="1"/>
  <c r="T21" i="50144"/>
  <c r="T22" i="50144"/>
  <c r="T23" i="50144"/>
  <c r="F30" i="50144" s="1"/>
  <c r="T24" i="50144"/>
  <c r="T25" i="50144"/>
  <c r="F32" i="50144" s="1"/>
  <c r="T26" i="50144"/>
  <c r="F33" i="50144" s="1"/>
  <c r="T27" i="50144"/>
  <c r="T28" i="50144"/>
  <c r="F35" i="50144" s="1"/>
  <c r="P11" i="50144"/>
  <c r="P12" i="50144"/>
  <c r="P13" i="50144"/>
  <c r="P14" i="50144"/>
  <c r="P15" i="50144"/>
  <c r="P16" i="50144"/>
  <c r="P17" i="50144"/>
  <c r="P18" i="50144"/>
  <c r="P19" i="50144"/>
  <c r="P20" i="50144"/>
  <c r="P21" i="50144"/>
  <c r="P22" i="50144"/>
  <c r="P23" i="50144"/>
  <c r="P24" i="50144"/>
  <c r="P25" i="50144"/>
  <c r="P26" i="50144"/>
  <c r="P27" i="50144"/>
  <c r="P28" i="50144"/>
  <c r="P43" i="50144"/>
  <c r="H39" i="50144" s="1"/>
  <c r="S11" i="50144"/>
  <c r="E18" i="50144" s="1"/>
  <c r="S12" i="50144"/>
  <c r="S13" i="50144"/>
  <c r="E20" i="50144" s="1"/>
  <c r="S14" i="50144"/>
  <c r="E21" i="50144" s="1"/>
  <c r="S15" i="50144"/>
  <c r="S16" i="50144"/>
  <c r="S17" i="50144"/>
  <c r="E24" i="50144" s="1"/>
  <c r="S18" i="50144"/>
  <c r="E25" i="50144" s="1"/>
  <c r="S19" i="50144"/>
  <c r="E26" i="50144" s="1"/>
  <c r="S20" i="50144"/>
  <c r="S21" i="50144"/>
  <c r="E28" i="50144" s="1"/>
  <c r="S22" i="50144"/>
  <c r="E29" i="50144" s="1"/>
  <c r="S23" i="50144"/>
  <c r="S24" i="50144"/>
  <c r="S25" i="50144"/>
  <c r="E32" i="50144" s="1"/>
  <c r="S26" i="50144"/>
  <c r="E33" i="50144" s="1"/>
  <c r="S27" i="50144"/>
  <c r="E34" i="50144" s="1"/>
  <c r="S28" i="50144"/>
  <c r="E40" i="50144"/>
  <c r="D40" i="50144"/>
  <c r="C40" i="50144"/>
  <c r="L11" i="50144"/>
  <c r="M11" i="50144"/>
  <c r="L12" i="50144"/>
  <c r="M12" i="50144"/>
  <c r="L13" i="50144"/>
  <c r="M13" i="50144"/>
  <c r="L14" i="50144"/>
  <c r="M14" i="50144"/>
  <c r="L15" i="50144"/>
  <c r="M15" i="50144"/>
  <c r="L16" i="50144"/>
  <c r="M16" i="50144"/>
  <c r="L17" i="50144"/>
  <c r="M17" i="50144"/>
  <c r="L18" i="50144"/>
  <c r="M18" i="50144"/>
  <c r="L19" i="50144"/>
  <c r="M19" i="50144"/>
  <c r="L20" i="50144"/>
  <c r="M20" i="50144"/>
  <c r="L21" i="50144"/>
  <c r="M21" i="50144"/>
  <c r="L22" i="50144"/>
  <c r="M22" i="50144"/>
  <c r="L23" i="50144"/>
  <c r="M23" i="50144"/>
  <c r="L24" i="50144"/>
  <c r="M24" i="50144"/>
  <c r="L25" i="50144"/>
  <c r="M25" i="50144"/>
  <c r="L26" i="50144"/>
  <c r="M26" i="50144"/>
  <c r="L27" i="50144"/>
  <c r="M27" i="50144"/>
  <c r="L28" i="50144"/>
  <c r="M28" i="50144"/>
  <c r="H41" i="50144"/>
  <c r="F36" i="50144"/>
  <c r="R28" i="50144"/>
  <c r="Q28" i="50144"/>
  <c r="R27" i="50144"/>
  <c r="Q27" i="50144"/>
  <c r="F34" i="50144"/>
  <c r="R26" i="50144"/>
  <c r="Q26" i="50144"/>
  <c r="R25" i="50144"/>
  <c r="Q25" i="50144"/>
  <c r="R24" i="50144"/>
  <c r="Q24" i="50144"/>
  <c r="F31" i="50144"/>
  <c r="R23" i="50144"/>
  <c r="Q23" i="50144"/>
  <c r="R22" i="50144"/>
  <c r="Q22" i="50144"/>
  <c r="F29" i="50144"/>
  <c r="R21" i="50144"/>
  <c r="Q21" i="50144"/>
  <c r="F28" i="50144"/>
  <c r="R20" i="50144"/>
  <c r="Q20" i="50144"/>
  <c r="R19" i="50144"/>
  <c r="Q19" i="50144"/>
  <c r="F26" i="50144"/>
  <c r="R18" i="50144"/>
  <c r="Q18" i="50144"/>
  <c r="R17" i="50144"/>
  <c r="Q17" i="50144"/>
  <c r="R16" i="50144"/>
  <c r="Q16" i="50144"/>
  <c r="F23" i="50144"/>
  <c r="R15" i="50144"/>
  <c r="Q15" i="50144"/>
  <c r="R14" i="50144"/>
  <c r="Q14" i="50144"/>
  <c r="F21" i="50144"/>
  <c r="R13" i="50144"/>
  <c r="Q13" i="50144"/>
  <c r="F20" i="50144"/>
  <c r="R12" i="50144"/>
  <c r="Q12" i="50144"/>
  <c r="R11" i="50144"/>
  <c r="Q11" i="50144"/>
  <c r="F18" i="50144"/>
  <c r="E36" i="50144"/>
  <c r="E35" i="50144"/>
  <c r="E31" i="50144"/>
  <c r="E30" i="50144"/>
  <c r="E27" i="50144"/>
  <c r="E23" i="50144"/>
  <c r="E22" i="50144"/>
  <c r="E19" i="50144"/>
  <c r="W89" i="7648"/>
  <c r="V89" i="7648"/>
  <c r="AK90" i="7648"/>
  <c r="AM90" i="7648"/>
  <c r="AL90" i="7648"/>
  <c r="AH90" i="7648"/>
  <c r="AJ90" i="7648"/>
  <c r="AI90" i="7648"/>
  <c r="AE90" i="7648"/>
  <c r="AG90" i="7648"/>
  <c r="AF90" i="7648"/>
  <c r="AK89" i="7648"/>
  <c r="AL89" i="7648" s="1"/>
  <c r="AM89" i="7648"/>
  <c r="AH89" i="7648"/>
  <c r="AI89" i="7648" s="1"/>
  <c r="AJ89" i="7648"/>
  <c r="AE89" i="7648"/>
  <c r="AG89" i="7648" s="1"/>
  <c r="AK88" i="7648"/>
  <c r="AM88" i="7648" s="1"/>
  <c r="AH88" i="7648"/>
  <c r="AE88" i="7648"/>
  <c r="AG88" i="7648"/>
  <c r="AF88" i="7648"/>
  <c r="AK87" i="7648"/>
  <c r="AM87" i="7648"/>
  <c r="AL87" i="7648"/>
  <c r="AH87" i="7648"/>
  <c r="AJ87" i="7648"/>
  <c r="AI87" i="7648"/>
  <c r="AE87" i="7648"/>
  <c r="AF87" i="7648" s="1"/>
  <c r="AG87" i="7648"/>
  <c r="AK86" i="7648"/>
  <c r="AL86" i="7648" s="1"/>
  <c r="AM86" i="7648"/>
  <c r="AH86" i="7648"/>
  <c r="AJ86" i="7648" s="1"/>
  <c r="AE86" i="7648"/>
  <c r="AG86" i="7648" s="1"/>
  <c r="AK85" i="7648"/>
  <c r="AH85" i="7648"/>
  <c r="AJ85" i="7648"/>
  <c r="AI85" i="7648"/>
  <c r="AE85" i="7648"/>
  <c r="AG85" i="7648"/>
  <c r="AF85" i="7648"/>
  <c r="AK84" i="7648"/>
  <c r="AM84" i="7648"/>
  <c r="AL84" i="7648"/>
  <c r="AH84" i="7648"/>
  <c r="AI84" i="7648" s="1"/>
  <c r="AJ84" i="7648"/>
  <c r="AE84" i="7648"/>
  <c r="AF84" i="7648" s="1"/>
  <c r="AG84" i="7648"/>
  <c r="AK83" i="7648"/>
  <c r="AM83" i="7648" s="1"/>
  <c r="AH83" i="7648"/>
  <c r="AJ83" i="7648" s="1"/>
  <c r="AE83" i="7648"/>
  <c r="AK82" i="7648"/>
  <c r="AM82" i="7648"/>
  <c r="AL82" i="7648"/>
  <c r="AH82" i="7648"/>
  <c r="AJ82" i="7648"/>
  <c r="AI82" i="7648"/>
  <c r="AE82" i="7648"/>
  <c r="AG82" i="7648"/>
  <c r="AF82" i="7648"/>
  <c r="AK81" i="7648"/>
  <c r="AL81" i="7648" s="1"/>
  <c r="AM81" i="7648"/>
  <c r="AH81" i="7648"/>
  <c r="AI81" i="7648" s="1"/>
  <c r="AJ81" i="7648"/>
  <c r="AE81" i="7648"/>
  <c r="AG81" i="7648" s="1"/>
  <c r="AK80" i="7648"/>
  <c r="AM80" i="7648" s="1"/>
  <c r="AH80" i="7648"/>
  <c r="AE80" i="7648"/>
  <c r="AG80" i="7648"/>
  <c r="AF80" i="7648"/>
  <c r="AK79" i="7648"/>
  <c r="AM79" i="7648"/>
  <c r="AL79" i="7648"/>
  <c r="AH79" i="7648"/>
  <c r="AI79" i="7648" s="1"/>
  <c r="AJ79" i="7648"/>
  <c r="AE79" i="7648"/>
  <c r="AF79" i="7648" s="1"/>
  <c r="AG79" i="7648"/>
  <c r="AK78" i="7648"/>
  <c r="AL78" i="7648" s="1"/>
  <c r="AM78" i="7648"/>
  <c r="AH78" i="7648"/>
  <c r="AJ78" i="7648" s="1"/>
  <c r="AE78" i="7648"/>
  <c r="AG78" i="7648" s="1"/>
  <c r="AK77" i="7648"/>
  <c r="AH77" i="7648"/>
  <c r="AJ77" i="7648"/>
  <c r="AI77" i="7648"/>
  <c r="AE77" i="7648"/>
  <c r="AG77" i="7648"/>
  <c r="AF77" i="7648"/>
  <c r="AK76" i="7648"/>
  <c r="AL76" i="7648" s="1"/>
  <c r="AM76" i="7648"/>
  <c r="AH76" i="7648"/>
  <c r="AI76" i="7648" s="1"/>
  <c r="AE76" i="7648"/>
  <c r="AF76" i="7648" s="1"/>
  <c r="AG76" i="7648"/>
  <c r="AK75" i="7648"/>
  <c r="AM75" i="7648" s="1"/>
  <c r="AH75" i="7648"/>
  <c r="AJ75" i="7648" s="1"/>
  <c r="AE75" i="7648"/>
  <c r="AK74" i="7648"/>
  <c r="AM74" i="7648"/>
  <c r="AL74" i="7648"/>
  <c r="AH74" i="7648"/>
  <c r="AJ74" i="7648"/>
  <c r="AI74" i="7648"/>
  <c r="AE74" i="7648"/>
  <c r="AF74" i="7648" s="1"/>
  <c r="AG74" i="7648"/>
  <c r="AK73" i="7648"/>
  <c r="AL73" i="7648" s="1"/>
  <c r="AH73" i="7648"/>
  <c r="AI73" i="7648" s="1"/>
  <c r="AJ73" i="7648"/>
  <c r="AE73" i="7648"/>
  <c r="AG73" i="7648" s="1"/>
  <c r="AK72" i="7648"/>
  <c r="AM72" i="7648" s="1"/>
  <c r="AH72" i="7648"/>
  <c r="AE72" i="7648"/>
  <c r="AG72" i="7648"/>
  <c r="AF72" i="7648"/>
  <c r="AK71" i="7648"/>
  <c r="AM71" i="7648"/>
  <c r="AL71" i="7648"/>
  <c r="AH71" i="7648"/>
  <c r="AI71" i="7648" s="1"/>
  <c r="AJ71" i="7648"/>
  <c r="AE71" i="7648"/>
  <c r="AF71" i="7648" s="1"/>
  <c r="AK70" i="7648"/>
  <c r="AL70" i="7648" s="1"/>
  <c r="AM70" i="7648"/>
  <c r="AH70" i="7648"/>
  <c r="AJ70" i="7648" s="1"/>
  <c r="AE70" i="7648"/>
  <c r="AG70" i="7648" s="1"/>
  <c r="AK69" i="7648"/>
  <c r="AH69" i="7648"/>
  <c r="AJ69" i="7648"/>
  <c r="AI69" i="7648"/>
  <c r="AE69" i="7648"/>
  <c r="AG69" i="7648"/>
  <c r="AF69" i="7648"/>
  <c r="AK68" i="7648"/>
  <c r="AL68" i="7648" s="1"/>
  <c r="AM68" i="7648"/>
  <c r="AH68" i="7648"/>
  <c r="AI68" i="7648" s="1"/>
  <c r="AE68" i="7648"/>
  <c r="AF68" i="7648" s="1"/>
  <c r="AG68" i="7648"/>
  <c r="AK67" i="7648"/>
  <c r="AM67" i="7648" s="1"/>
  <c r="AH67" i="7648"/>
  <c r="AJ67" i="7648" s="1"/>
  <c r="AE67" i="7648"/>
  <c r="AK66" i="7648"/>
  <c r="AM66" i="7648"/>
  <c r="AL66" i="7648"/>
  <c r="AH66" i="7648"/>
  <c r="AJ66" i="7648"/>
  <c r="AI66" i="7648"/>
  <c r="AE66" i="7648"/>
  <c r="AF66" i="7648" s="1"/>
  <c r="AG66" i="7648"/>
  <c r="AI61" i="7648"/>
  <c r="AI60" i="7648"/>
  <c r="L82" i="7648"/>
  <c r="L84" i="7648"/>
  <c r="L83" i="7648"/>
  <c r="L85" i="7648"/>
  <c r="L5" i="7648" s="1"/>
  <c r="R89" i="7648"/>
  <c r="S89" i="7648"/>
  <c r="T89" i="7648"/>
  <c r="U89" i="7648"/>
  <c r="P83" i="7648"/>
  <c r="R90" i="7648"/>
  <c r="S90" i="7648"/>
  <c r="T90" i="7648"/>
  <c r="U90" i="7648"/>
  <c r="V90" i="7648"/>
  <c r="W90" i="7648"/>
  <c r="R86" i="7648"/>
  <c r="S86" i="7648"/>
  <c r="T86" i="7648"/>
  <c r="U86" i="7648"/>
  <c r="V86" i="7648"/>
  <c r="W86" i="7648"/>
  <c r="P88" i="7648"/>
  <c r="Q88" i="7648"/>
  <c r="R88" i="7648"/>
  <c r="S88" i="7648"/>
  <c r="T88" i="7648"/>
  <c r="U88" i="7648"/>
  <c r="V88" i="7648"/>
  <c r="W88" i="7648"/>
  <c r="R85" i="7648"/>
  <c r="S85" i="7648"/>
  <c r="T85" i="7648"/>
  <c r="U85" i="7648"/>
  <c r="V85" i="7648"/>
  <c r="W85" i="7648"/>
  <c r="P87" i="7648"/>
  <c r="Q87" i="7648"/>
  <c r="R87" i="7648"/>
  <c r="S87" i="7648"/>
  <c r="T87" i="7648"/>
  <c r="U87" i="7648"/>
  <c r="V87" i="7648"/>
  <c r="W87" i="7648"/>
  <c r="AD36" i="7648"/>
  <c r="AD35" i="7648"/>
  <c r="AD34" i="7648"/>
  <c r="AD33" i="7648"/>
  <c r="AD32" i="7648"/>
  <c r="AD31" i="7648"/>
  <c r="AD30" i="7648"/>
  <c r="AD29" i="7648"/>
  <c r="AD28" i="7648"/>
  <c r="AD27" i="7648"/>
  <c r="AD26" i="7648"/>
  <c r="AD25" i="7648"/>
  <c r="AD24" i="7648"/>
  <c r="AD23" i="7648"/>
  <c r="AD22" i="7648"/>
  <c r="AD21" i="7648"/>
  <c r="AD20" i="7648"/>
  <c r="AD19" i="7648"/>
  <c r="AD18" i="7648"/>
  <c r="AD17" i="7648"/>
  <c r="AD16" i="7648"/>
  <c r="AD15" i="7648"/>
  <c r="AD14" i="7648"/>
  <c r="AD13" i="7648"/>
  <c r="AD12" i="7648"/>
  <c r="AJ36" i="7648"/>
  <c r="AJ35" i="7648"/>
  <c r="AJ34" i="7648"/>
  <c r="AJ33" i="7648"/>
  <c r="AJ32" i="7648"/>
  <c r="AJ31" i="7648"/>
  <c r="AJ30" i="7648"/>
  <c r="AJ29" i="7648"/>
  <c r="AJ28" i="7648"/>
  <c r="AJ27" i="7648"/>
  <c r="AJ26" i="7648"/>
  <c r="AJ25" i="7648"/>
  <c r="AJ24" i="7648"/>
  <c r="AJ23" i="7648"/>
  <c r="AJ22" i="7648"/>
  <c r="AJ21" i="7648"/>
  <c r="AJ20" i="7648"/>
  <c r="AJ19" i="7648"/>
  <c r="AJ18" i="7648"/>
  <c r="AJ17" i="7648"/>
  <c r="AJ16" i="7648"/>
  <c r="AJ15" i="7648"/>
  <c r="AJ14" i="7648"/>
  <c r="AJ13" i="7648"/>
  <c r="AJ12" i="7648"/>
  <c r="AG36" i="7648"/>
  <c r="AG35" i="7648"/>
  <c r="AG34" i="7648"/>
  <c r="AG33" i="7648"/>
  <c r="AG32" i="7648"/>
  <c r="AG31" i="7648"/>
  <c r="AG30" i="7648"/>
  <c r="AG29" i="7648"/>
  <c r="AG28" i="7648"/>
  <c r="AG27" i="7648"/>
  <c r="AG26" i="7648"/>
  <c r="AG25" i="7648"/>
  <c r="AG24" i="7648"/>
  <c r="AG23" i="7648"/>
  <c r="AG22" i="7648"/>
  <c r="AG21" i="7648"/>
  <c r="AG20" i="7648"/>
  <c r="AG19" i="7648"/>
  <c r="AG18" i="7648"/>
  <c r="AG17" i="7648"/>
  <c r="AG16" i="7648"/>
  <c r="AG15" i="7648"/>
  <c r="AG14" i="7648"/>
  <c r="AG13" i="7648"/>
  <c r="AG12" i="7648"/>
  <c r="G98" i="7648"/>
  <c r="G97" i="7648"/>
  <c r="G96" i="7648"/>
  <c r="G95" i="7648"/>
  <c r="G94" i="7648"/>
  <c r="G93" i="7648"/>
  <c r="G92" i="7648"/>
  <c r="G91" i="7648"/>
  <c r="G90" i="7648"/>
  <c r="G89" i="7648"/>
  <c r="G88" i="7648"/>
  <c r="G87" i="7648"/>
  <c r="G86" i="7648"/>
  <c r="G85" i="7648"/>
  <c r="G84" i="7648"/>
  <c r="G83" i="7648"/>
  <c r="G82" i="7648"/>
  <c r="G81" i="7648"/>
  <c r="G80" i="7648"/>
  <c r="G79" i="7648"/>
  <c r="G78" i="7648"/>
  <c r="G77" i="7648"/>
  <c r="G76" i="7648"/>
  <c r="G75" i="7648"/>
  <c r="G74" i="7648"/>
  <c r="D98" i="7648"/>
  <c r="D97" i="7648"/>
  <c r="D96" i="7648"/>
  <c r="D95" i="7648"/>
  <c r="D94" i="7648"/>
  <c r="D93" i="7648"/>
  <c r="D92" i="7648"/>
  <c r="D91" i="7648"/>
  <c r="D90" i="7648"/>
  <c r="D89" i="7648"/>
  <c r="D88" i="7648"/>
  <c r="D87" i="7648"/>
  <c r="D86" i="7648"/>
  <c r="D85" i="7648"/>
  <c r="D84" i="7648"/>
  <c r="D83" i="7648"/>
  <c r="D82" i="7648"/>
  <c r="D81" i="7648"/>
  <c r="D80" i="7648"/>
  <c r="D79" i="7648"/>
  <c r="D78" i="7648"/>
  <c r="D77" i="7648"/>
  <c r="D76" i="7648"/>
  <c r="D75" i="7648"/>
  <c r="D74" i="7648"/>
  <c r="A98" i="7648"/>
  <c r="A97" i="7648"/>
  <c r="A96" i="7648"/>
  <c r="A95" i="7648"/>
  <c r="A94" i="7648"/>
  <c r="A93" i="7648"/>
  <c r="A92" i="7648"/>
  <c r="A91" i="7648"/>
  <c r="A90" i="7648"/>
  <c r="A89" i="7648"/>
  <c r="A88" i="7648"/>
  <c r="A87" i="7648"/>
  <c r="A86" i="7648"/>
  <c r="A85" i="7648"/>
  <c r="A84" i="7648"/>
  <c r="A83" i="7648"/>
  <c r="A82" i="7648"/>
  <c r="A81" i="7648"/>
  <c r="A80" i="7648"/>
  <c r="A79" i="7648"/>
  <c r="A78" i="7648"/>
  <c r="A77" i="7648"/>
  <c r="A76" i="7648"/>
  <c r="A75" i="7648"/>
  <c r="A74" i="7648"/>
  <c r="G36" i="7648"/>
  <c r="G35" i="7648"/>
  <c r="G34" i="7648"/>
  <c r="G33" i="7648"/>
  <c r="G32" i="7648"/>
  <c r="G31" i="7648"/>
  <c r="G30" i="7648"/>
  <c r="G29" i="7648"/>
  <c r="G28" i="7648"/>
  <c r="G27" i="7648"/>
  <c r="G26" i="7648"/>
  <c r="G25" i="7648"/>
  <c r="G24" i="7648"/>
  <c r="G23" i="7648"/>
  <c r="G22" i="7648"/>
  <c r="G21" i="7648"/>
  <c r="G20" i="7648"/>
  <c r="G19" i="7648"/>
  <c r="G18" i="7648"/>
  <c r="G17" i="7648"/>
  <c r="G16" i="7648"/>
  <c r="G15" i="7648"/>
  <c r="G14" i="7648"/>
  <c r="G13" i="7648"/>
  <c r="G12" i="7648"/>
  <c r="D36" i="7648"/>
  <c r="D35" i="7648"/>
  <c r="D34" i="7648"/>
  <c r="D33" i="7648"/>
  <c r="D32" i="7648"/>
  <c r="D31" i="7648"/>
  <c r="D30" i="7648"/>
  <c r="D29" i="7648"/>
  <c r="D28" i="7648"/>
  <c r="D27" i="7648"/>
  <c r="D26" i="7648"/>
  <c r="D25" i="7648"/>
  <c r="D24" i="7648"/>
  <c r="D23" i="7648"/>
  <c r="D22" i="7648"/>
  <c r="D21" i="7648"/>
  <c r="D20" i="7648"/>
  <c r="D19" i="7648"/>
  <c r="D18" i="7648"/>
  <c r="D17" i="7648"/>
  <c r="D16" i="7648"/>
  <c r="D15" i="7648"/>
  <c r="D14" i="7648"/>
  <c r="D13" i="7648"/>
  <c r="D12" i="7648"/>
  <c r="A36" i="7648"/>
  <c r="A35" i="7648"/>
  <c r="A34" i="7648"/>
  <c r="A33" i="7648"/>
  <c r="A32" i="7648"/>
  <c r="A31" i="7648"/>
  <c r="A30" i="7648"/>
  <c r="A29" i="7648"/>
  <c r="A28" i="7648"/>
  <c r="A27" i="7648"/>
  <c r="A26" i="7648"/>
  <c r="A25" i="7648"/>
  <c r="A24" i="7648"/>
  <c r="A23" i="7648"/>
  <c r="A22" i="7648"/>
  <c r="A21" i="7648"/>
  <c r="A20" i="7648"/>
  <c r="A19" i="7648"/>
  <c r="A18" i="7648"/>
  <c r="A17" i="7648"/>
  <c r="A16" i="7648"/>
  <c r="A15" i="7648"/>
  <c r="A14" i="7648"/>
  <c r="A13" i="7648"/>
  <c r="A12" i="7648"/>
  <c r="AI36" i="7648"/>
  <c r="AI35" i="7648"/>
  <c r="AI34" i="7648"/>
  <c r="AI33" i="7648"/>
  <c r="AI32" i="7648"/>
  <c r="AI31" i="7648"/>
  <c r="AI30" i="7648"/>
  <c r="AI29" i="7648"/>
  <c r="AI28" i="7648"/>
  <c r="AI27" i="7648"/>
  <c r="AI26" i="7648"/>
  <c r="AI25" i="7648"/>
  <c r="AI24" i="7648"/>
  <c r="AI23" i="7648"/>
  <c r="AI22" i="7648"/>
  <c r="AI21" i="7648"/>
  <c r="AI20" i="7648"/>
  <c r="AI19" i="7648"/>
  <c r="AI18" i="7648"/>
  <c r="AI17" i="7648"/>
  <c r="AI16" i="7648"/>
  <c r="AI15" i="7648"/>
  <c r="AI14" i="7648"/>
  <c r="AI13" i="7648"/>
  <c r="AM49" i="7648"/>
  <c r="AM48" i="7648"/>
  <c r="AM47" i="7648"/>
  <c r="AM46" i="7648"/>
  <c r="AM45" i="7648"/>
  <c r="AM44" i="7648"/>
  <c r="AM43" i="7648"/>
  <c r="AM42" i="7648"/>
  <c r="AL49" i="7648"/>
  <c r="AL48" i="7648"/>
  <c r="AL47" i="7648"/>
  <c r="AL46" i="7648"/>
  <c r="AL45" i="7648"/>
  <c r="AL44" i="7648"/>
  <c r="AL43" i="7648"/>
  <c r="AL42" i="7648"/>
  <c r="AK49" i="7648"/>
  <c r="AK48" i="7648"/>
  <c r="AK47" i="7648"/>
  <c r="AK46" i="7648"/>
  <c r="AK45" i="7648"/>
  <c r="AK44" i="7648"/>
  <c r="AK43" i="7648"/>
  <c r="AK42" i="7648"/>
  <c r="AM41" i="7648"/>
  <c r="AL41" i="7648"/>
  <c r="AK41" i="7648"/>
  <c r="AJ49" i="7648"/>
  <c r="AJ48" i="7648"/>
  <c r="AJ47" i="7648"/>
  <c r="AJ46" i="7648"/>
  <c r="AJ45" i="7648"/>
  <c r="AJ44" i="7648"/>
  <c r="AJ43" i="7648"/>
  <c r="AJ42" i="7648"/>
  <c r="AJ41" i="7648"/>
  <c r="AI49" i="7648"/>
  <c r="AI48" i="7648"/>
  <c r="AI47" i="7648"/>
  <c r="AI46" i="7648"/>
  <c r="AI45" i="7648"/>
  <c r="AI44" i="7648"/>
  <c r="AI43" i="7648"/>
  <c r="AI42" i="7648"/>
  <c r="AI41" i="7648"/>
  <c r="AH49" i="7648"/>
  <c r="AH48" i="7648"/>
  <c r="AH47" i="7648"/>
  <c r="AH46" i="7648"/>
  <c r="AH45" i="7648"/>
  <c r="AH44" i="7648"/>
  <c r="AH43" i="7648"/>
  <c r="AH42" i="7648"/>
  <c r="AH41" i="7648"/>
  <c r="AG49" i="7648"/>
  <c r="AG48" i="7648"/>
  <c r="AG47" i="7648"/>
  <c r="AG46" i="7648"/>
  <c r="AG45" i="7648"/>
  <c r="AG44" i="7648"/>
  <c r="AG43" i="7648"/>
  <c r="AG42" i="7648"/>
  <c r="AG41" i="7648"/>
  <c r="AF49" i="7648"/>
  <c r="AF48" i="7648"/>
  <c r="AF47" i="7648"/>
  <c r="AF46" i="7648"/>
  <c r="AF45" i="7648"/>
  <c r="AF44" i="7648"/>
  <c r="AF43" i="7648"/>
  <c r="AF42" i="7648"/>
  <c r="AF41" i="7648"/>
  <c r="AM40" i="7648"/>
  <c r="AL40" i="7648"/>
  <c r="AK40" i="7648"/>
  <c r="AJ40" i="7648"/>
  <c r="AI40" i="7648"/>
  <c r="AH40" i="7648"/>
  <c r="AG40" i="7648"/>
  <c r="AF40" i="7648"/>
  <c r="AL35" i="7648"/>
  <c r="AL34" i="7648"/>
  <c r="AL33" i="7648"/>
  <c r="AL32" i="7648"/>
  <c r="AL31" i="7648"/>
  <c r="AL30" i="7648"/>
  <c r="AL29" i="7648"/>
  <c r="AL28" i="7648"/>
  <c r="AL27" i="7648"/>
  <c r="AL26" i="7648"/>
  <c r="AL25" i="7648"/>
  <c r="AL24" i="7648"/>
  <c r="AL23" i="7648"/>
  <c r="AL22" i="7648"/>
  <c r="AL21" i="7648"/>
  <c r="AL20" i="7648"/>
  <c r="AL19" i="7648"/>
  <c r="AL18" i="7648"/>
  <c r="AL17" i="7648"/>
  <c r="AL16" i="7648"/>
  <c r="AL15" i="7648"/>
  <c r="AL14" i="7648"/>
  <c r="AL13" i="7648"/>
  <c r="AK35" i="7648"/>
  <c r="AK34" i="7648"/>
  <c r="AK33" i="7648"/>
  <c r="AK32" i="7648"/>
  <c r="AK31" i="7648"/>
  <c r="AK30" i="7648"/>
  <c r="AK29" i="7648"/>
  <c r="AK28" i="7648"/>
  <c r="AK27" i="7648"/>
  <c r="AK26" i="7648"/>
  <c r="AK25" i="7648"/>
  <c r="AK24" i="7648"/>
  <c r="AK23" i="7648"/>
  <c r="AK22" i="7648"/>
  <c r="AK21" i="7648"/>
  <c r="AK20" i="7648"/>
  <c r="AK19" i="7648"/>
  <c r="AK18" i="7648"/>
  <c r="AK17" i="7648"/>
  <c r="AK16" i="7648"/>
  <c r="AK15" i="7648"/>
  <c r="AK14" i="7648"/>
  <c r="AK13" i="7648"/>
  <c r="AL12" i="7648"/>
  <c r="AK12" i="7648"/>
  <c r="AH34" i="7648"/>
  <c r="AI12" i="7648"/>
  <c r="AH36" i="7648"/>
  <c r="AH35" i="7648"/>
  <c r="AH33" i="7648"/>
  <c r="AH32" i="7648"/>
  <c r="AH31" i="7648"/>
  <c r="AH30" i="7648"/>
  <c r="AH29" i="7648"/>
  <c r="AH28" i="7648"/>
  <c r="AH27" i="7648"/>
  <c r="AH26" i="7648"/>
  <c r="AH25" i="7648"/>
  <c r="AH24" i="7648"/>
  <c r="AH23" i="7648"/>
  <c r="AH22" i="7648"/>
  <c r="AH21" i="7648"/>
  <c r="AH20" i="7648"/>
  <c r="AH19" i="7648"/>
  <c r="AH18" i="7648"/>
  <c r="AH17" i="7648"/>
  <c r="AH16" i="7648"/>
  <c r="AH15" i="7648"/>
  <c r="AH14" i="7648"/>
  <c r="AH13" i="7648"/>
  <c r="AH12" i="7648"/>
  <c r="AL36" i="7648"/>
  <c r="AK36" i="7648"/>
  <c r="AF36" i="7648"/>
  <c r="AE36" i="7648"/>
  <c r="AF35" i="7648"/>
  <c r="AE35" i="7648"/>
  <c r="AF34" i="7648"/>
  <c r="AE34" i="7648"/>
  <c r="AF33" i="7648"/>
  <c r="AE33" i="7648"/>
  <c r="AF32" i="7648"/>
  <c r="AE32" i="7648"/>
  <c r="AF31" i="7648"/>
  <c r="AE31" i="7648"/>
  <c r="AF30" i="7648"/>
  <c r="AE30" i="7648"/>
  <c r="AF29" i="7648"/>
  <c r="AE29" i="7648"/>
  <c r="AF28" i="7648"/>
  <c r="AE28" i="7648"/>
  <c r="AF27" i="7648"/>
  <c r="AE27" i="7648"/>
  <c r="AF26" i="7648"/>
  <c r="AE26" i="7648"/>
  <c r="AF25" i="7648"/>
  <c r="AE25" i="7648"/>
  <c r="AF24" i="7648"/>
  <c r="AE24" i="7648"/>
  <c r="AF23" i="7648"/>
  <c r="AE23" i="7648"/>
  <c r="AF22" i="7648"/>
  <c r="AE22" i="7648"/>
  <c r="AF21" i="7648"/>
  <c r="AE21" i="7648"/>
  <c r="AF20" i="7648"/>
  <c r="AE20" i="7648"/>
  <c r="AF19" i="7648"/>
  <c r="AE19" i="7648"/>
  <c r="AF18" i="7648"/>
  <c r="AE18" i="7648"/>
  <c r="AF17" i="7648"/>
  <c r="AE17" i="7648"/>
  <c r="AF16" i="7648"/>
  <c r="AE16" i="7648"/>
  <c r="AF15" i="7648"/>
  <c r="AE15" i="7648"/>
  <c r="AF14" i="7648"/>
  <c r="AE14" i="7648"/>
  <c r="AF13" i="7648"/>
  <c r="AE13" i="7648"/>
  <c r="AF12" i="7648"/>
  <c r="AE12" i="7648"/>
  <c r="W83" i="7648"/>
  <c r="S84" i="7648"/>
  <c r="W84" i="7648"/>
  <c r="R79" i="7648"/>
  <c r="L6" i="7648"/>
  <c r="L7" i="7648"/>
  <c r="N7" i="7648"/>
  <c r="L8" i="7648"/>
  <c r="N8" i="7648" s="1"/>
  <c r="L9" i="7648"/>
  <c r="N9" i="7648" s="1"/>
  <c r="L10" i="7648"/>
  <c r="N10" i="7648" s="1"/>
  <c r="L11" i="7648"/>
  <c r="N11" i="7648" s="1"/>
  <c r="L12" i="7648"/>
  <c r="N12" i="7648"/>
  <c r="L13" i="7648"/>
  <c r="N13" i="7648"/>
  <c r="L14" i="7648"/>
  <c r="N14" i="7648" s="1"/>
  <c r="L15" i="7648"/>
  <c r="N15" i="7648"/>
  <c r="L16" i="7648"/>
  <c r="N16" i="7648"/>
  <c r="L17" i="7648"/>
  <c r="N17" i="7648" s="1"/>
  <c r="L18" i="7648"/>
  <c r="N18" i="7648" s="1"/>
  <c r="L19" i="7648"/>
  <c r="N19" i="7648" s="1"/>
  <c r="L20" i="7648"/>
  <c r="L21" i="7648"/>
  <c r="N21" i="7648"/>
  <c r="L22" i="7648"/>
  <c r="N22" i="7648" s="1"/>
  <c r="L23" i="7648"/>
  <c r="N23" i="7648" s="1"/>
  <c r="L24" i="7648"/>
  <c r="N24" i="7648"/>
  <c r="L25" i="7648"/>
  <c r="N25" i="7648"/>
  <c r="L26" i="7648"/>
  <c r="N26" i="7648" s="1"/>
  <c r="L27" i="7648"/>
  <c r="N27" i="7648"/>
  <c r="L28" i="7648"/>
  <c r="N28" i="7648" s="1"/>
  <c r="L29" i="7648"/>
  <c r="L30" i="7648"/>
  <c r="N30" i="7648" s="1"/>
  <c r="L31" i="7648"/>
  <c r="N31" i="7648" s="1"/>
  <c r="L32" i="7648"/>
  <c r="N32" i="7648" s="1"/>
  <c r="L33" i="7648"/>
  <c r="N33" i="7648"/>
  <c r="L34" i="7648"/>
  <c r="N34" i="7648" s="1"/>
  <c r="L35" i="7648"/>
  <c r="N35" i="7648"/>
  <c r="L36" i="7648"/>
  <c r="N36" i="7648"/>
  <c r="L37" i="7648"/>
  <c r="N37" i="7648" s="1"/>
  <c r="L38" i="7648"/>
  <c r="L39" i="7648"/>
  <c r="N39" i="7648"/>
  <c r="L40" i="7648"/>
  <c r="N40" i="7648" s="1"/>
  <c r="L41" i="7648"/>
  <c r="N41" i="7648" s="1"/>
  <c r="L42" i="7648"/>
  <c r="N42" i="7648" s="1"/>
  <c r="L43" i="7648"/>
  <c r="N43" i="7648" s="1"/>
  <c r="L44" i="7648"/>
  <c r="N44" i="7648"/>
  <c r="L45" i="7648"/>
  <c r="N45" i="7648"/>
  <c r="L46" i="7648"/>
  <c r="N46" i="7648"/>
  <c r="L47" i="7648"/>
  <c r="N47" i="7648"/>
  <c r="L48" i="7648"/>
  <c r="N48" i="7648"/>
  <c r="L49" i="7648"/>
  <c r="N49" i="7648"/>
  <c r="L50" i="7648"/>
  <c r="N50" i="7648"/>
  <c r="L51" i="7648"/>
  <c r="N51" i="7648"/>
  <c r="L52" i="7648"/>
  <c r="N52" i="7648"/>
  <c r="L53" i="7648"/>
  <c r="N53" i="7648"/>
  <c r="L54" i="7648"/>
  <c r="N54" i="7648"/>
  <c r="L55" i="7648"/>
  <c r="N55" i="7648"/>
  <c r="L56" i="7648"/>
  <c r="N56" i="7648"/>
  <c r="L57" i="7648"/>
  <c r="N57" i="7648"/>
  <c r="L58" i="7648"/>
  <c r="N58" i="7648"/>
  <c r="L59" i="7648"/>
  <c r="N59" i="7648"/>
  <c r="L60" i="7648"/>
  <c r="N60" i="7648"/>
  <c r="L61" i="7648"/>
  <c r="N61" i="7648"/>
  <c r="L62" i="7648"/>
  <c r="N62" i="7648"/>
  <c r="L63" i="7648"/>
  <c r="N63" i="7648"/>
  <c r="L64" i="7648"/>
  <c r="N64" i="7648"/>
  <c r="L65" i="7648"/>
  <c r="N65" i="7648"/>
  <c r="L66" i="7648"/>
  <c r="N66" i="7648"/>
  <c r="L67" i="7648"/>
  <c r="N67" i="7648"/>
  <c r="L68" i="7648"/>
  <c r="N68" i="7648"/>
  <c r="L69" i="7648"/>
  <c r="N69" i="7648"/>
  <c r="L70" i="7648"/>
  <c r="N70" i="7648"/>
  <c r="L71" i="7648"/>
  <c r="N71" i="7648"/>
  <c r="L72" i="7648"/>
  <c r="N72" i="7648"/>
  <c r="L73" i="7648"/>
  <c r="N73" i="7648"/>
  <c r="L74" i="7648"/>
  <c r="N74" i="7648"/>
  <c r="L75" i="7648"/>
  <c r="N75" i="7648"/>
  <c r="L76" i="7648"/>
  <c r="N76" i="7648"/>
  <c r="L77" i="7648"/>
  <c r="N77" i="7648"/>
  <c r="L78" i="7648"/>
  <c r="N78" i="7648"/>
  <c r="L79" i="7648"/>
  <c r="N79" i="7648"/>
  <c r="M14" i="7648"/>
  <c r="M23" i="7648"/>
  <c r="M28" i="7648"/>
  <c r="M37" i="7648"/>
  <c r="M45" i="7648"/>
  <c r="O45" i="7648"/>
  <c r="M46" i="7648"/>
  <c r="O46" i="7648"/>
  <c r="M47" i="7648"/>
  <c r="O47" i="7648"/>
  <c r="M48" i="7648"/>
  <c r="O48" i="7648"/>
  <c r="M49" i="7648"/>
  <c r="O49" i="7648"/>
  <c r="M50" i="7648"/>
  <c r="O50" i="7648"/>
  <c r="M51" i="7648"/>
  <c r="O51" i="7648"/>
  <c r="M52" i="7648"/>
  <c r="O52" i="7648"/>
  <c r="M53" i="7648"/>
  <c r="O53" i="7648"/>
  <c r="M54" i="7648"/>
  <c r="O54" i="7648"/>
  <c r="M55" i="7648"/>
  <c r="O55" i="7648"/>
  <c r="M56" i="7648"/>
  <c r="O56" i="7648"/>
  <c r="M57" i="7648"/>
  <c r="O57" i="7648"/>
  <c r="M58" i="7648"/>
  <c r="O58" i="7648"/>
  <c r="M59" i="7648"/>
  <c r="O59" i="7648"/>
  <c r="M60" i="7648"/>
  <c r="O60" i="7648"/>
  <c r="M61" i="7648"/>
  <c r="O61" i="7648"/>
  <c r="M62" i="7648"/>
  <c r="O62" i="7648"/>
  <c r="M63" i="7648"/>
  <c r="O63" i="7648"/>
  <c r="M64" i="7648"/>
  <c r="O64" i="7648"/>
  <c r="M65" i="7648"/>
  <c r="O65" i="7648"/>
  <c r="M66" i="7648"/>
  <c r="O66" i="7648"/>
  <c r="M67" i="7648"/>
  <c r="O67" i="7648"/>
  <c r="M68" i="7648"/>
  <c r="O68" i="7648"/>
  <c r="M69" i="7648"/>
  <c r="O69" i="7648"/>
  <c r="M70" i="7648"/>
  <c r="O70" i="7648"/>
  <c r="M71" i="7648"/>
  <c r="O71" i="7648"/>
  <c r="M72" i="7648"/>
  <c r="O72" i="7648"/>
  <c r="M73" i="7648"/>
  <c r="O73" i="7648"/>
  <c r="M74" i="7648"/>
  <c r="O74" i="7648"/>
  <c r="M75" i="7648"/>
  <c r="O75" i="7648"/>
  <c r="M76" i="7648"/>
  <c r="O76" i="7648"/>
  <c r="M77" i="7648"/>
  <c r="O77" i="7648"/>
  <c r="M78" i="7648"/>
  <c r="O78" i="7648"/>
  <c r="M79" i="7648"/>
  <c r="O79" i="7648"/>
  <c r="Q79" i="7648"/>
  <c r="T79" i="7648"/>
  <c r="P45" i="7648"/>
  <c r="P46" i="7648"/>
  <c r="P47" i="7648"/>
  <c r="P48" i="7648"/>
  <c r="P49" i="7648"/>
  <c r="P50" i="7648"/>
  <c r="P51" i="7648"/>
  <c r="P52" i="7648"/>
  <c r="P53" i="7648"/>
  <c r="P54" i="7648"/>
  <c r="P55" i="7648"/>
  <c r="P56" i="7648"/>
  <c r="P57" i="7648"/>
  <c r="P58" i="7648"/>
  <c r="P59" i="7648"/>
  <c r="P60" i="7648"/>
  <c r="P61" i="7648"/>
  <c r="P62" i="7648"/>
  <c r="P63" i="7648"/>
  <c r="P64" i="7648"/>
  <c r="P65" i="7648"/>
  <c r="P66" i="7648"/>
  <c r="P67" i="7648"/>
  <c r="P68" i="7648"/>
  <c r="P69" i="7648"/>
  <c r="P70" i="7648"/>
  <c r="P71" i="7648"/>
  <c r="P72" i="7648"/>
  <c r="P73" i="7648"/>
  <c r="P74" i="7648"/>
  <c r="P75" i="7648"/>
  <c r="P76" i="7648"/>
  <c r="P77" i="7648"/>
  <c r="P78" i="7648"/>
  <c r="P79" i="7648"/>
  <c r="S79" i="7648"/>
  <c r="H98" i="7648" s="1"/>
  <c r="I40" i="7648"/>
  <c r="P93" i="7648"/>
  <c r="R83" i="7648"/>
  <c r="S83" i="7648"/>
  <c r="T83" i="7648"/>
  <c r="U83" i="7648"/>
  <c r="V83" i="7648"/>
  <c r="R84" i="7648"/>
  <c r="T84" i="7648"/>
  <c r="U84" i="7648"/>
  <c r="V84" i="7648"/>
  <c r="R5" i="7648"/>
  <c r="R6" i="7648"/>
  <c r="R7" i="7648"/>
  <c r="R8" i="7648"/>
  <c r="R9" i="7648"/>
  <c r="R10" i="7648"/>
  <c r="R11" i="7648"/>
  <c r="R12" i="7648"/>
  <c r="R13" i="7648"/>
  <c r="R14" i="7648"/>
  <c r="R15" i="7648"/>
  <c r="R16" i="7648"/>
  <c r="R17" i="7648"/>
  <c r="R18" i="7648"/>
  <c r="R19" i="7648"/>
  <c r="R20" i="7648"/>
  <c r="R21" i="7648"/>
  <c r="R22" i="7648"/>
  <c r="R23" i="7648"/>
  <c r="R24" i="7648"/>
  <c r="R25" i="7648"/>
  <c r="R26" i="7648"/>
  <c r="R27" i="7648"/>
  <c r="R28" i="7648"/>
  <c r="R29" i="7648"/>
  <c r="R30" i="7648"/>
  <c r="R31" i="7648"/>
  <c r="R32" i="7648"/>
  <c r="R33" i="7648"/>
  <c r="R34" i="7648"/>
  <c r="R35" i="7648"/>
  <c r="R36" i="7648"/>
  <c r="R37" i="7648"/>
  <c r="R38" i="7648"/>
  <c r="R39" i="7648"/>
  <c r="R40" i="7648"/>
  <c r="R41" i="7648"/>
  <c r="R42" i="7648"/>
  <c r="R43" i="7648"/>
  <c r="R44" i="7648"/>
  <c r="Q45" i="7648"/>
  <c r="R45" i="7648"/>
  <c r="S45" i="7648"/>
  <c r="Q46" i="7648"/>
  <c r="R46" i="7648"/>
  <c r="S46" i="7648"/>
  <c r="E90" i="7648" s="1"/>
  <c r="Q47" i="7648"/>
  <c r="R47" i="7648"/>
  <c r="S47" i="7648"/>
  <c r="Q48" i="7648"/>
  <c r="R48" i="7648"/>
  <c r="S48" i="7648"/>
  <c r="Q49" i="7648"/>
  <c r="R49" i="7648"/>
  <c r="S49" i="7648"/>
  <c r="Q50" i="7648"/>
  <c r="R50" i="7648"/>
  <c r="S50" i="7648"/>
  <c r="E94" i="7648" s="1"/>
  <c r="Q51" i="7648"/>
  <c r="R51" i="7648"/>
  <c r="S51" i="7648"/>
  <c r="E95" i="7648" s="1"/>
  <c r="Q52" i="7648"/>
  <c r="R52" i="7648"/>
  <c r="S52" i="7648"/>
  <c r="Q53" i="7648"/>
  <c r="R53" i="7648"/>
  <c r="S53" i="7648"/>
  <c r="Q54" i="7648"/>
  <c r="R54" i="7648"/>
  <c r="S54" i="7648"/>
  <c r="E98" i="7648" s="1"/>
  <c r="Q55" i="7648"/>
  <c r="R55" i="7648"/>
  <c r="S55" i="7648"/>
  <c r="Q56" i="7648"/>
  <c r="R56" i="7648"/>
  <c r="S56" i="7648"/>
  <c r="Q57" i="7648"/>
  <c r="R57" i="7648"/>
  <c r="S57" i="7648"/>
  <c r="H76" i="7648" s="1"/>
  <c r="Q58" i="7648"/>
  <c r="R58" i="7648"/>
  <c r="S58" i="7648"/>
  <c r="H77" i="7648" s="1"/>
  <c r="Q59" i="7648"/>
  <c r="R59" i="7648"/>
  <c r="S59" i="7648"/>
  <c r="Q60" i="7648"/>
  <c r="R60" i="7648"/>
  <c r="S60" i="7648"/>
  <c r="Q61" i="7648"/>
  <c r="R61" i="7648"/>
  <c r="S61" i="7648"/>
  <c r="Q62" i="7648"/>
  <c r="R62" i="7648"/>
  <c r="S62" i="7648"/>
  <c r="H81" i="7648" s="1"/>
  <c r="Q63" i="7648"/>
  <c r="R63" i="7648"/>
  <c r="S63" i="7648"/>
  <c r="Q64" i="7648"/>
  <c r="R64" i="7648"/>
  <c r="S64" i="7648"/>
  <c r="Q65" i="7648"/>
  <c r="R65" i="7648"/>
  <c r="S65" i="7648"/>
  <c r="H84" i="7648" s="1"/>
  <c r="Q66" i="7648"/>
  <c r="R66" i="7648"/>
  <c r="S66" i="7648"/>
  <c r="H85" i="7648" s="1"/>
  <c r="Q67" i="7648"/>
  <c r="R67" i="7648"/>
  <c r="S67" i="7648"/>
  <c r="H86" i="7648" s="1"/>
  <c r="Q68" i="7648"/>
  <c r="R68" i="7648"/>
  <c r="S68" i="7648"/>
  <c r="Q69" i="7648"/>
  <c r="R69" i="7648"/>
  <c r="S69" i="7648"/>
  <c r="Q70" i="7648"/>
  <c r="R70" i="7648"/>
  <c r="S70" i="7648"/>
  <c r="H89" i="7648" s="1"/>
  <c r="Q71" i="7648"/>
  <c r="R71" i="7648"/>
  <c r="S71" i="7648"/>
  <c r="Q72" i="7648"/>
  <c r="R72" i="7648"/>
  <c r="S72" i="7648"/>
  <c r="Q73" i="7648"/>
  <c r="R73" i="7648"/>
  <c r="S73" i="7648"/>
  <c r="H92" i="7648" s="1"/>
  <c r="Q74" i="7648"/>
  <c r="R74" i="7648"/>
  <c r="S74" i="7648"/>
  <c r="Q75" i="7648"/>
  <c r="R75" i="7648"/>
  <c r="S75" i="7648"/>
  <c r="H94" i="7648" s="1"/>
  <c r="Q76" i="7648"/>
  <c r="R76" i="7648"/>
  <c r="S76" i="7648"/>
  <c r="Q77" i="7648"/>
  <c r="R77" i="7648"/>
  <c r="S77" i="7648"/>
  <c r="Q78" i="7648"/>
  <c r="R78" i="7648"/>
  <c r="S78" i="7648"/>
  <c r="H97" i="7648" s="1"/>
  <c r="P94" i="7648"/>
  <c r="P95" i="7648"/>
  <c r="T45" i="7648"/>
  <c r="T46" i="7648"/>
  <c r="F90" i="7648" s="1"/>
  <c r="T47" i="7648"/>
  <c r="T48" i="7648"/>
  <c r="T49" i="7648"/>
  <c r="F93" i="7648" s="1"/>
  <c r="T50" i="7648"/>
  <c r="F94" i="7648" s="1"/>
  <c r="T51" i="7648"/>
  <c r="F95" i="7648" s="1"/>
  <c r="T52" i="7648"/>
  <c r="T53" i="7648"/>
  <c r="T54" i="7648"/>
  <c r="F98" i="7648" s="1"/>
  <c r="T55" i="7648"/>
  <c r="T56" i="7648"/>
  <c r="T57" i="7648"/>
  <c r="I76" i="7648" s="1"/>
  <c r="T58" i="7648"/>
  <c r="I77" i="7648" s="1"/>
  <c r="T59" i="7648"/>
  <c r="T60" i="7648"/>
  <c r="T61" i="7648"/>
  <c r="T62" i="7648"/>
  <c r="I81" i="7648" s="1"/>
  <c r="T63" i="7648"/>
  <c r="T64" i="7648"/>
  <c r="T65" i="7648"/>
  <c r="I84" i="7648" s="1"/>
  <c r="T66" i="7648"/>
  <c r="I85" i="7648" s="1"/>
  <c r="T67" i="7648"/>
  <c r="T68" i="7648"/>
  <c r="I87" i="7648" s="1"/>
  <c r="T69" i="7648"/>
  <c r="T70" i="7648"/>
  <c r="I89" i="7648" s="1"/>
  <c r="T71" i="7648"/>
  <c r="T72" i="7648"/>
  <c r="I91" i="7648" s="1"/>
  <c r="T73" i="7648"/>
  <c r="I92" i="7648" s="1"/>
  <c r="T74" i="7648"/>
  <c r="I93" i="7648" s="1"/>
  <c r="T75" i="7648"/>
  <c r="T76" i="7648"/>
  <c r="I95" i="7648" s="1"/>
  <c r="T77" i="7648"/>
  <c r="T78" i="7648"/>
  <c r="I97" i="7648" s="1"/>
  <c r="B57" i="7648"/>
  <c r="I98" i="7648"/>
  <c r="C40" i="7648"/>
  <c r="B40" i="7648"/>
  <c r="H40" i="7648"/>
  <c r="G40" i="7648"/>
  <c r="F40" i="7648"/>
  <c r="E40" i="7648"/>
  <c r="D40" i="7648"/>
  <c r="B67" i="7648"/>
  <c r="B65" i="7648"/>
  <c r="I96" i="7648"/>
  <c r="I94" i="7648"/>
  <c r="I90" i="7648"/>
  <c r="I88" i="7648"/>
  <c r="I86" i="7648"/>
  <c r="I83" i="7648"/>
  <c r="I82" i="7648"/>
  <c r="I80" i="7648"/>
  <c r="I79" i="7648"/>
  <c r="I78" i="7648"/>
  <c r="I75" i="7648"/>
  <c r="H96" i="7648"/>
  <c r="H95" i="7648"/>
  <c r="H93" i="7648"/>
  <c r="H91" i="7648"/>
  <c r="H90" i="7648"/>
  <c r="H88" i="7648"/>
  <c r="H87" i="7648"/>
  <c r="H83" i="7648"/>
  <c r="H82" i="7648"/>
  <c r="H80" i="7648"/>
  <c r="H79" i="7648"/>
  <c r="H78" i="7648"/>
  <c r="H75" i="7648"/>
  <c r="F97" i="7648"/>
  <c r="F96" i="7648"/>
  <c r="F92" i="7648"/>
  <c r="F91" i="7648"/>
  <c r="F89" i="7648"/>
  <c r="E97" i="7648"/>
  <c r="E96" i="7648"/>
  <c r="E93" i="7648"/>
  <c r="E92" i="7648"/>
  <c r="E91" i="7648"/>
  <c r="E89" i="7648"/>
  <c r="I74" i="7648"/>
  <c r="H74" i="7648"/>
  <c r="AF47" i="267"/>
  <c r="AF44" i="267"/>
  <c r="W89" i="267"/>
  <c r="V89" i="267"/>
  <c r="AK90" i="267"/>
  <c r="AM90" i="267" s="1"/>
  <c r="AH90" i="267"/>
  <c r="AI90" i="267" s="1"/>
  <c r="AE90" i="267"/>
  <c r="AG90" i="267" s="1"/>
  <c r="AK89" i="267"/>
  <c r="AH89" i="267"/>
  <c r="AJ89" i="267" s="1"/>
  <c r="AE89" i="267"/>
  <c r="AG89" i="267" s="1"/>
  <c r="AK88" i="267"/>
  <c r="AL88" i="267" s="1"/>
  <c r="AH88" i="267"/>
  <c r="AI88" i="267" s="1"/>
  <c r="AE88" i="267"/>
  <c r="AK87" i="267"/>
  <c r="AL87" i="267" s="1"/>
  <c r="AH87" i="267"/>
  <c r="AJ87" i="267" s="1"/>
  <c r="AE87" i="267"/>
  <c r="AK86" i="267"/>
  <c r="AM86" i="267" s="1"/>
  <c r="AH86" i="267"/>
  <c r="AE86" i="267"/>
  <c r="AK85" i="267"/>
  <c r="AL85" i="267" s="1"/>
  <c r="AH85" i="267"/>
  <c r="AJ85" i="267" s="1"/>
  <c r="AE85" i="267"/>
  <c r="AK84" i="267"/>
  <c r="AM84" i="267" s="1"/>
  <c r="AH84" i="267"/>
  <c r="AI84" i="267" s="1"/>
  <c r="AE84" i="267"/>
  <c r="AG84" i="267" s="1"/>
  <c r="AK83" i="267"/>
  <c r="AM83" i="267" s="1"/>
  <c r="AH83" i="267"/>
  <c r="AE83" i="267"/>
  <c r="AK82" i="267"/>
  <c r="AL82" i="267" s="1"/>
  <c r="AM82" i="267"/>
  <c r="AH82" i="267"/>
  <c r="AI82" i="267" s="1"/>
  <c r="AE82" i="267"/>
  <c r="AG82" i="267" s="1"/>
  <c r="AK81" i="267"/>
  <c r="AL81" i="267" s="1"/>
  <c r="AH81" i="267"/>
  <c r="AJ81" i="267" s="1"/>
  <c r="AE81" i="267"/>
  <c r="AG81" i="267" s="1"/>
  <c r="AF81" i="267"/>
  <c r="AK80" i="267"/>
  <c r="AH80" i="267"/>
  <c r="AI80" i="267" s="1"/>
  <c r="AE80" i="267"/>
  <c r="AF80" i="267" s="1"/>
  <c r="AG80" i="267"/>
  <c r="AK79" i="267"/>
  <c r="AL79" i="267" s="1"/>
  <c r="AM79" i="267"/>
  <c r="AH79" i="267"/>
  <c r="AJ79" i="267" s="1"/>
  <c r="AE79" i="267"/>
  <c r="AF79" i="267" s="1"/>
  <c r="AK78" i="267"/>
  <c r="AM78" i="267" s="1"/>
  <c r="AH78" i="267"/>
  <c r="AE78" i="267"/>
  <c r="AK77" i="267"/>
  <c r="AL77" i="267" s="1"/>
  <c r="AH77" i="267"/>
  <c r="AJ77" i="267" s="1"/>
  <c r="AE77" i="267"/>
  <c r="AK76" i="267"/>
  <c r="AL76" i="267" s="1"/>
  <c r="AM76" i="267"/>
  <c r="AH76" i="267"/>
  <c r="AI76" i="267" s="1"/>
  <c r="AJ76" i="267"/>
  <c r="AE76" i="267"/>
  <c r="AG76" i="267" s="1"/>
  <c r="AK75" i="267"/>
  <c r="AM75" i="267" s="1"/>
  <c r="AL75" i="267"/>
  <c r="AH75" i="267"/>
  <c r="AE75" i="267"/>
  <c r="AF75" i="267" s="1"/>
  <c r="AG75" i="267"/>
  <c r="AK74" i="267"/>
  <c r="AM74" i="267" s="1"/>
  <c r="AH74" i="267"/>
  <c r="AE74" i="267"/>
  <c r="AF74" i="267" s="1"/>
  <c r="AG74" i="267"/>
  <c r="AK73" i="267"/>
  <c r="AL73" i="267" s="1"/>
  <c r="AM73" i="267"/>
  <c r="AH73" i="267"/>
  <c r="AJ73" i="267" s="1"/>
  <c r="AE73" i="267"/>
  <c r="AG73" i="267" s="1"/>
  <c r="AF73" i="267"/>
  <c r="AK72" i="267"/>
  <c r="AH72" i="267"/>
  <c r="AI72" i="267" s="1"/>
  <c r="AJ72" i="267"/>
  <c r="AE72" i="267"/>
  <c r="AG72" i="267" s="1"/>
  <c r="AF72" i="267"/>
  <c r="AK71" i="267"/>
  <c r="AH71" i="267"/>
  <c r="AI71" i="267" s="1"/>
  <c r="AJ71" i="267"/>
  <c r="AE71" i="267"/>
  <c r="AF71" i="267" s="1"/>
  <c r="AG71" i="267"/>
  <c r="AK70" i="267"/>
  <c r="AM70" i="267" s="1"/>
  <c r="AH70" i="267"/>
  <c r="AJ70" i="267" s="1"/>
  <c r="AI70" i="267"/>
  <c r="AE70" i="267"/>
  <c r="AK69" i="267"/>
  <c r="AL69" i="267" s="1"/>
  <c r="AM69" i="267"/>
  <c r="AH69" i="267"/>
  <c r="AJ69" i="267" s="1"/>
  <c r="AI69" i="267"/>
  <c r="AE69" i="267"/>
  <c r="AK68" i="267"/>
  <c r="AL68" i="267" s="1"/>
  <c r="AM68" i="267"/>
  <c r="AH68" i="267"/>
  <c r="AI68" i="267" s="1"/>
  <c r="AJ68" i="267"/>
  <c r="AE68" i="267"/>
  <c r="AG68" i="267" s="1"/>
  <c r="AK67" i="267"/>
  <c r="AM67" i="267" s="1"/>
  <c r="AL67" i="267"/>
  <c r="AH67" i="267"/>
  <c r="AE67" i="267"/>
  <c r="AF67" i="267" s="1"/>
  <c r="AG67" i="267"/>
  <c r="AK66" i="267"/>
  <c r="AM66" i="267" s="1"/>
  <c r="AL66" i="267"/>
  <c r="AH66" i="267"/>
  <c r="AE66" i="267"/>
  <c r="AF66" i="267" s="1"/>
  <c r="AG66" i="267"/>
  <c r="AI61" i="267"/>
  <c r="AI60" i="267"/>
  <c r="L82" i="267"/>
  <c r="L84" i="267" s="1"/>
  <c r="L83" i="267"/>
  <c r="L85" i="267" s="1"/>
  <c r="R89" i="267"/>
  <c r="S89" i="267"/>
  <c r="T89" i="267"/>
  <c r="U89" i="267"/>
  <c r="P83" i="267"/>
  <c r="P90" i="267" s="1"/>
  <c r="R90" i="267"/>
  <c r="S90" i="267"/>
  <c r="T90" i="267"/>
  <c r="U90" i="267"/>
  <c r="V90" i="267"/>
  <c r="W90" i="267"/>
  <c r="R86" i="267"/>
  <c r="S86" i="267"/>
  <c r="T86" i="267"/>
  <c r="U86" i="267"/>
  <c r="V86" i="267"/>
  <c r="W86" i="267"/>
  <c r="P88" i="267"/>
  <c r="Q88" i="267"/>
  <c r="R88" i="267"/>
  <c r="S88" i="267"/>
  <c r="T88" i="267"/>
  <c r="U88" i="267"/>
  <c r="V88" i="267"/>
  <c r="W88" i="267"/>
  <c r="R85" i="267"/>
  <c r="S85" i="267"/>
  <c r="T85" i="267"/>
  <c r="U85" i="267"/>
  <c r="V85" i="267"/>
  <c r="W85" i="267"/>
  <c r="P87" i="267"/>
  <c r="Q87" i="267"/>
  <c r="R87" i="267"/>
  <c r="S87" i="267"/>
  <c r="T87" i="267"/>
  <c r="U87" i="267"/>
  <c r="V87" i="267"/>
  <c r="W87" i="267"/>
  <c r="AJ36" i="267"/>
  <c r="AJ35" i="267"/>
  <c r="AJ34" i="267"/>
  <c r="AJ33" i="267"/>
  <c r="AJ32" i="267"/>
  <c r="AJ31" i="267"/>
  <c r="AJ30" i="267"/>
  <c r="AJ29" i="267"/>
  <c r="AJ28" i="267"/>
  <c r="AJ27" i="267"/>
  <c r="AJ26" i="267"/>
  <c r="AJ25" i="267"/>
  <c r="AJ24" i="267"/>
  <c r="AJ23" i="267"/>
  <c r="AJ22" i="267"/>
  <c r="AJ21" i="267"/>
  <c r="AJ20" i="267"/>
  <c r="AJ19" i="267"/>
  <c r="AJ18" i="267"/>
  <c r="AJ17" i="267"/>
  <c r="AJ16" i="267"/>
  <c r="AJ15" i="267"/>
  <c r="AJ14" i="267"/>
  <c r="AJ13" i="267"/>
  <c r="AJ12" i="267"/>
  <c r="AG36" i="267"/>
  <c r="AG35" i="267"/>
  <c r="AG34" i="267"/>
  <c r="AG33" i="267"/>
  <c r="AG32" i="267"/>
  <c r="AG31" i="267"/>
  <c r="AG30" i="267"/>
  <c r="AG29" i="267"/>
  <c r="AG28" i="267"/>
  <c r="AG27" i="267"/>
  <c r="AG26" i="267"/>
  <c r="AG25" i="267"/>
  <c r="AG24" i="267"/>
  <c r="AG23" i="267"/>
  <c r="AG22" i="267"/>
  <c r="AG21" i="267"/>
  <c r="AG20" i="267"/>
  <c r="AG19" i="267"/>
  <c r="AG18" i="267"/>
  <c r="AG17" i="267"/>
  <c r="AG16" i="267"/>
  <c r="AG15" i="267"/>
  <c r="AG14" i="267"/>
  <c r="AG13" i="267"/>
  <c r="AG12" i="267"/>
  <c r="AD36" i="267"/>
  <c r="AD35" i="267"/>
  <c r="AD34" i="267"/>
  <c r="AD33" i="267"/>
  <c r="AD32" i="267"/>
  <c r="AD31" i="267"/>
  <c r="AD30" i="267"/>
  <c r="AD29" i="267"/>
  <c r="AD28" i="267"/>
  <c r="AD27" i="267"/>
  <c r="AD26" i="267"/>
  <c r="AD25" i="267"/>
  <c r="AD24" i="267"/>
  <c r="AD23" i="267"/>
  <c r="AD22" i="267"/>
  <c r="AD21" i="267"/>
  <c r="AD20" i="267"/>
  <c r="AD19" i="267"/>
  <c r="AD18" i="267"/>
  <c r="AD17" i="267"/>
  <c r="AD16" i="267"/>
  <c r="AD15" i="267"/>
  <c r="AD14" i="267"/>
  <c r="AD13" i="267"/>
  <c r="AD12" i="267"/>
  <c r="G98" i="267"/>
  <c r="G97" i="267"/>
  <c r="G96" i="267"/>
  <c r="G95" i="267"/>
  <c r="G94" i="267"/>
  <c r="G93" i="267"/>
  <c r="G92" i="267"/>
  <c r="G91" i="267"/>
  <c r="G90" i="267"/>
  <c r="G89" i="267"/>
  <c r="G88" i="267"/>
  <c r="G87" i="267"/>
  <c r="G86" i="267"/>
  <c r="G85" i="267"/>
  <c r="G84" i="267"/>
  <c r="G83" i="267"/>
  <c r="G82" i="267"/>
  <c r="G81" i="267"/>
  <c r="G80" i="267"/>
  <c r="G79" i="267"/>
  <c r="G78" i="267"/>
  <c r="G77" i="267"/>
  <c r="G76" i="267"/>
  <c r="G75" i="267"/>
  <c r="G74" i="267"/>
  <c r="D98" i="267"/>
  <c r="D97" i="267"/>
  <c r="D96" i="267"/>
  <c r="D95" i="267"/>
  <c r="D94" i="267"/>
  <c r="D93" i="267"/>
  <c r="D92" i="267"/>
  <c r="D91" i="267"/>
  <c r="D90" i="267"/>
  <c r="D89" i="267"/>
  <c r="D88" i="267"/>
  <c r="D87" i="267"/>
  <c r="D86" i="267"/>
  <c r="D85" i="267"/>
  <c r="D84" i="267"/>
  <c r="D83" i="267"/>
  <c r="D82" i="267"/>
  <c r="D81" i="267"/>
  <c r="D80" i="267"/>
  <c r="D79" i="267"/>
  <c r="D78" i="267"/>
  <c r="D77" i="267"/>
  <c r="D76" i="267"/>
  <c r="D75" i="267"/>
  <c r="D74" i="267"/>
  <c r="A98" i="267"/>
  <c r="A97" i="267"/>
  <c r="A96" i="267"/>
  <c r="A95" i="267"/>
  <c r="A94" i="267"/>
  <c r="A93" i="267"/>
  <c r="A92" i="267"/>
  <c r="A91" i="267"/>
  <c r="A90" i="267"/>
  <c r="A89" i="267"/>
  <c r="A88" i="267"/>
  <c r="A87" i="267"/>
  <c r="A86" i="267"/>
  <c r="A85" i="267"/>
  <c r="A84" i="267"/>
  <c r="A83" i="267"/>
  <c r="A82" i="267"/>
  <c r="A81" i="267"/>
  <c r="A80" i="267"/>
  <c r="A79" i="267"/>
  <c r="A78" i="267"/>
  <c r="A77" i="267"/>
  <c r="A76" i="267"/>
  <c r="A75" i="267"/>
  <c r="A74" i="267"/>
  <c r="G36" i="267"/>
  <c r="G35" i="267"/>
  <c r="G34" i="267"/>
  <c r="G33" i="267"/>
  <c r="G32" i="267"/>
  <c r="G31" i="267"/>
  <c r="G30" i="267"/>
  <c r="G29" i="267"/>
  <c r="G28" i="267"/>
  <c r="G27" i="267"/>
  <c r="G26" i="267"/>
  <c r="G25" i="267"/>
  <c r="G24" i="267"/>
  <c r="G23" i="267"/>
  <c r="G22" i="267"/>
  <c r="G21" i="267"/>
  <c r="G20" i="267"/>
  <c r="G19" i="267"/>
  <c r="G18" i="267"/>
  <c r="G17" i="267"/>
  <c r="G16" i="267"/>
  <c r="G15" i="267"/>
  <c r="G14" i="267"/>
  <c r="G13" i="267"/>
  <c r="G12" i="267"/>
  <c r="D36" i="267"/>
  <c r="D35" i="267"/>
  <c r="D34" i="267"/>
  <c r="D33" i="267"/>
  <c r="D32" i="267"/>
  <c r="D31" i="267"/>
  <c r="D30" i="267"/>
  <c r="D29" i="267"/>
  <c r="D28" i="267"/>
  <c r="D27" i="267"/>
  <c r="D26" i="267"/>
  <c r="D25" i="267"/>
  <c r="D24" i="267"/>
  <c r="D23" i="267"/>
  <c r="D22" i="267"/>
  <c r="D21" i="267"/>
  <c r="D20" i="267"/>
  <c r="D19" i="267"/>
  <c r="D18" i="267"/>
  <c r="D17" i="267"/>
  <c r="D16" i="267"/>
  <c r="D15" i="267"/>
  <c r="D14" i="267"/>
  <c r="D13" i="267"/>
  <c r="D12" i="267"/>
  <c r="A36" i="267"/>
  <c r="A35" i="267"/>
  <c r="A34" i="267"/>
  <c r="A33" i="267"/>
  <c r="A32" i="267"/>
  <c r="A31" i="267"/>
  <c r="A30" i="267"/>
  <c r="A29" i="267"/>
  <c r="A28" i="267"/>
  <c r="A27" i="267"/>
  <c r="A26" i="267"/>
  <c r="A25" i="267"/>
  <c r="A24" i="267"/>
  <c r="A23" i="267"/>
  <c r="A22" i="267"/>
  <c r="A21" i="267"/>
  <c r="A20" i="267"/>
  <c r="A19" i="267"/>
  <c r="A18" i="267"/>
  <c r="A17" i="267"/>
  <c r="A16" i="267"/>
  <c r="A15" i="267"/>
  <c r="A14" i="267"/>
  <c r="A13" i="267"/>
  <c r="A12" i="267"/>
  <c r="AM49" i="267"/>
  <c r="AM48" i="267"/>
  <c r="AM47" i="267"/>
  <c r="AL49" i="267"/>
  <c r="AL48" i="267"/>
  <c r="AL47" i="267"/>
  <c r="AK49" i="267"/>
  <c r="AK48" i="267"/>
  <c r="AK47" i="267"/>
  <c r="AJ49" i="267"/>
  <c r="AJ48" i="267"/>
  <c r="AJ47" i="267"/>
  <c r="AI49" i="267"/>
  <c r="AI48" i="267"/>
  <c r="AI47" i="267"/>
  <c r="AH49" i="267"/>
  <c r="AH48" i="267"/>
  <c r="AH47" i="267"/>
  <c r="AG49" i="267"/>
  <c r="AG48" i="267"/>
  <c r="AG47" i="267"/>
  <c r="AF49" i="267"/>
  <c r="AF48" i="267"/>
  <c r="AM46" i="267"/>
  <c r="AM45" i="267"/>
  <c r="AM44" i="267"/>
  <c r="AL46" i="267"/>
  <c r="AL45" i="267"/>
  <c r="AL44" i="267"/>
  <c r="AK46" i="267"/>
  <c r="AK45" i="267"/>
  <c r="AK44" i="267"/>
  <c r="AJ46" i="267"/>
  <c r="AJ45" i="267"/>
  <c r="AJ44" i="267"/>
  <c r="AI46" i="267"/>
  <c r="AI45" i="267"/>
  <c r="AI44" i="267"/>
  <c r="AH46" i="267"/>
  <c r="AH45" i="267"/>
  <c r="AH44" i="267"/>
  <c r="AG46" i="267"/>
  <c r="AG45" i="267"/>
  <c r="AG44" i="267"/>
  <c r="AF46" i="267"/>
  <c r="AF45" i="267"/>
  <c r="AM43" i="267"/>
  <c r="AM42" i="267"/>
  <c r="AM41" i="267"/>
  <c r="AL43" i="267"/>
  <c r="AL42" i="267"/>
  <c r="AL41" i="267"/>
  <c r="AK43" i="267"/>
  <c r="AK42" i="267"/>
  <c r="AK41" i="267"/>
  <c r="AJ43" i="267"/>
  <c r="AJ42" i="267"/>
  <c r="AJ41" i="267"/>
  <c r="AI43" i="267"/>
  <c r="AI42" i="267"/>
  <c r="AI41" i="267"/>
  <c r="AH43" i="267"/>
  <c r="AH42" i="267"/>
  <c r="AH41" i="267"/>
  <c r="AG43" i="267"/>
  <c r="AG42" i="267"/>
  <c r="AG41" i="267"/>
  <c r="AF43" i="267"/>
  <c r="AF42" i="267"/>
  <c r="AF41" i="267"/>
  <c r="AL36" i="267"/>
  <c r="AL35" i="267"/>
  <c r="AL34" i="267"/>
  <c r="AL33" i="267"/>
  <c r="AL32" i="267"/>
  <c r="AL31" i="267"/>
  <c r="AL30" i="267"/>
  <c r="AL29" i="267"/>
  <c r="AL28" i="267"/>
  <c r="AL27" i="267"/>
  <c r="AL26" i="267"/>
  <c r="AL25" i="267"/>
  <c r="AL24" i="267"/>
  <c r="AL23" i="267"/>
  <c r="AL22" i="267"/>
  <c r="AL21" i="267"/>
  <c r="AL20" i="267"/>
  <c r="AL19" i="267"/>
  <c r="AL18" i="267"/>
  <c r="AL17" i="267"/>
  <c r="AL16" i="267"/>
  <c r="AL15" i="267"/>
  <c r="AL14" i="267"/>
  <c r="AL13" i="267"/>
  <c r="AL12" i="267"/>
  <c r="AK12" i="267"/>
  <c r="AK36" i="267"/>
  <c r="AK35" i="267"/>
  <c r="AK34" i="267"/>
  <c r="AK33" i="267"/>
  <c r="AK32" i="267"/>
  <c r="AK31" i="267"/>
  <c r="AK30" i="267"/>
  <c r="AK29" i="267"/>
  <c r="AK28" i="267"/>
  <c r="AK27" i="267"/>
  <c r="AK26" i="267"/>
  <c r="AK25" i="267"/>
  <c r="AK24" i="267"/>
  <c r="AK23" i="267"/>
  <c r="AK22" i="267"/>
  <c r="AK21" i="267"/>
  <c r="AK20" i="267"/>
  <c r="AK19" i="267"/>
  <c r="AK18" i="267"/>
  <c r="AK17" i="267"/>
  <c r="AK16" i="267"/>
  <c r="AK15" i="267"/>
  <c r="AK14" i="267"/>
  <c r="AK13" i="267"/>
  <c r="AI12" i="267"/>
  <c r="AI36" i="267"/>
  <c r="AI35" i="267"/>
  <c r="AI34" i="267"/>
  <c r="AI33" i="267"/>
  <c r="AI32" i="267"/>
  <c r="AI31" i="267"/>
  <c r="AI30" i="267"/>
  <c r="AI29" i="267"/>
  <c r="AI28" i="267"/>
  <c r="AI27" i="267"/>
  <c r="AI26" i="267"/>
  <c r="AI25" i="267"/>
  <c r="AI24" i="267"/>
  <c r="AI23" i="267"/>
  <c r="AI22" i="267"/>
  <c r="AI21" i="267"/>
  <c r="AI20" i="267"/>
  <c r="AI19" i="267"/>
  <c r="AI18" i="267"/>
  <c r="AI17" i="267"/>
  <c r="AI16" i="267"/>
  <c r="AI15" i="267"/>
  <c r="AI14" i="267"/>
  <c r="AI13" i="267"/>
  <c r="AH12" i="267"/>
  <c r="AH36" i="267"/>
  <c r="AH35" i="267"/>
  <c r="AH34" i="267"/>
  <c r="AH33" i="267"/>
  <c r="AH32" i="267"/>
  <c r="AH31" i="267"/>
  <c r="AH30" i="267"/>
  <c r="AH29" i="267"/>
  <c r="AH28" i="267"/>
  <c r="AH27" i="267"/>
  <c r="AH26" i="267"/>
  <c r="AH25" i="267"/>
  <c r="AH24" i="267"/>
  <c r="AH23" i="267"/>
  <c r="AH22" i="267"/>
  <c r="AH21" i="267"/>
  <c r="AH20" i="267"/>
  <c r="AH19" i="267"/>
  <c r="AH18" i="267"/>
  <c r="AH17" i="267"/>
  <c r="AH16" i="267"/>
  <c r="AH15" i="267"/>
  <c r="AH14" i="267"/>
  <c r="AH13" i="267"/>
  <c r="AE12" i="267"/>
  <c r="AF36" i="267"/>
  <c r="AE36" i="267"/>
  <c r="AF35" i="267"/>
  <c r="AE35" i="267"/>
  <c r="AF34" i="267"/>
  <c r="AE34" i="267"/>
  <c r="AF33" i="267"/>
  <c r="AE33" i="267"/>
  <c r="AF32" i="267"/>
  <c r="AE32" i="267"/>
  <c r="AF31" i="267"/>
  <c r="AE31" i="267"/>
  <c r="AF30" i="267"/>
  <c r="AE30" i="267"/>
  <c r="AF29" i="267"/>
  <c r="AE29" i="267"/>
  <c r="AF28" i="267"/>
  <c r="AE28" i="267"/>
  <c r="AF27" i="267"/>
  <c r="AE27" i="267"/>
  <c r="AF26" i="267"/>
  <c r="AE26" i="267"/>
  <c r="AF25" i="267"/>
  <c r="AE25" i="267"/>
  <c r="AF24" i="267"/>
  <c r="AE24" i="267"/>
  <c r="AF23" i="267"/>
  <c r="AE23" i="267"/>
  <c r="AF22" i="267"/>
  <c r="AE22" i="267"/>
  <c r="AF21" i="267"/>
  <c r="AE21" i="267"/>
  <c r="AF20" i="267"/>
  <c r="AE20" i="267"/>
  <c r="AF19" i="267"/>
  <c r="AE19" i="267"/>
  <c r="AF18" i="267"/>
  <c r="AE18" i="267"/>
  <c r="AF17" i="267"/>
  <c r="AE17" i="267"/>
  <c r="AF16" i="267"/>
  <c r="AE16" i="267"/>
  <c r="AF15" i="267"/>
  <c r="AE15" i="267"/>
  <c r="AF14" i="267"/>
  <c r="AE14" i="267"/>
  <c r="AF13" i="267"/>
  <c r="AE13" i="267"/>
  <c r="AF12" i="267"/>
  <c r="AM40" i="267"/>
  <c r="AL40" i="267"/>
  <c r="AK40" i="267"/>
  <c r="AJ40" i="267"/>
  <c r="AI40" i="267"/>
  <c r="AH40" i="267"/>
  <c r="AG40" i="267"/>
  <c r="AF40" i="267"/>
  <c r="W83" i="267"/>
  <c r="S84" i="267"/>
  <c r="W84" i="267"/>
  <c r="R79" i="267"/>
  <c r="L11" i="267"/>
  <c r="L27" i="267"/>
  <c r="L43" i="267"/>
  <c r="L45" i="267"/>
  <c r="N45" i="267"/>
  <c r="N46" i="267"/>
  <c r="N47" i="267"/>
  <c r="N48" i="267"/>
  <c r="N49" i="267"/>
  <c r="N50" i="267"/>
  <c r="N51" i="267"/>
  <c r="N52" i="267"/>
  <c r="N53" i="267"/>
  <c r="N54" i="267"/>
  <c r="N55" i="267"/>
  <c r="N56" i="267"/>
  <c r="N57" i="267"/>
  <c r="N58" i="267"/>
  <c r="N59" i="267"/>
  <c r="N60" i="267"/>
  <c r="N61" i="267"/>
  <c r="N62" i="267"/>
  <c r="N63" i="267"/>
  <c r="N64" i="267"/>
  <c r="N65" i="267"/>
  <c r="N66" i="267"/>
  <c r="N67" i="267"/>
  <c r="N68" i="267"/>
  <c r="N69" i="267"/>
  <c r="N70" i="267"/>
  <c r="N71" i="267"/>
  <c r="N72" i="267"/>
  <c r="N73" i="267"/>
  <c r="N74" i="267"/>
  <c r="N75" i="267"/>
  <c r="N76" i="267"/>
  <c r="N77" i="267"/>
  <c r="N78" i="267"/>
  <c r="N79" i="267"/>
  <c r="M10" i="267"/>
  <c r="O10" i="267" s="1"/>
  <c r="M25" i="267"/>
  <c r="O25" i="267" s="1"/>
  <c r="M38" i="267"/>
  <c r="O38" i="267" s="1"/>
  <c r="M45" i="267"/>
  <c r="O45" i="267"/>
  <c r="O46" i="267"/>
  <c r="O47" i="267"/>
  <c r="O48" i="267"/>
  <c r="O49" i="267"/>
  <c r="O50" i="267"/>
  <c r="O51" i="267"/>
  <c r="O52" i="267"/>
  <c r="O53" i="267"/>
  <c r="O54" i="267"/>
  <c r="O55" i="267"/>
  <c r="O56" i="267"/>
  <c r="O57" i="267"/>
  <c r="O58" i="267"/>
  <c r="O59" i="267"/>
  <c r="O60" i="267"/>
  <c r="O61" i="267"/>
  <c r="O62" i="267"/>
  <c r="O63" i="267"/>
  <c r="O64" i="267"/>
  <c r="O65" i="267"/>
  <c r="O66" i="267"/>
  <c r="O67" i="267"/>
  <c r="O68" i="267"/>
  <c r="O69" i="267"/>
  <c r="O70" i="267"/>
  <c r="O71" i="267"/>
  <c r="O72" i="267"/>
  <c r="O73" i="267"/>
  <c r="O74" i="267"/>
  <c r="O75" i="267"/>
  <c r="O76" i="267"/>
  <c r="O77" i="267"/>
  <c r="O78" i="267"/>
  <c r="O79" i="267"/>
  <c r="Q79" i="267"/>
  <c r="T79" i="267"/>
  <c r="P45" i="267"/>
  <c r="P46" i="267"/>
  <c r="P47" i="267"/>
  <c r="P48" i="267"/>
  <c r="P49" i="267"/>
  <c r="P50" i="267"/>
  <c r="P51" i="267"/>
  <c r="P52" i="267"/>
  <c r="P53" i="267"/>
  <c r="P54" i="267"/>
  <c r="P55" i="267"/>
  <c r="P56" i="267"/>
  <c r="P57" i="267"/>
  <c r="P58" i="267"/>
  <c r="P59" i="267"/>
  <c r="P60" i="267"/>
  <c r="P61" i="267"/>
  <c r="P62" i="267"/>
  <c r="P63" i="267"/>
  <c r="P64" i="267"/>
  <c r="P65" i="267"/>
  <c r="P66" i="267"/>
  <c r="P67" i="267"/>
  <c r="P68" i="267"/>
  <c r="P69" i="267"/>
  <c r="P70" i="267"/>
  <c r="P71" i="267"/>
  <c r="P72" i="267"/>
  <c r="P73" i="267"/>
  <c r="P74" i="267"/>
  <c r="P75" i="267"/>
  <c r="P76" i="267"/>
  <c r="P77" i="267"/>
  <c r="P78" i="267"/>
  <c r="P79" i="267"/>
  <c r="S79" i="267"/>
  <c r="H98" i="267" s="1"/>
  <c r="L79" i="267"/>
  <c r="M79" i="267"/>
  <c r="I40" i="267"/>
  <c r="P93" i="267"/>
  <c r="R83" i="267"/>
  <c r="S83" i="267"/>
  <c r="T83" i="267"/>
  <c r="U83" i="267"/>
  <c r="V83" i="267"/>
  <c r="L46" i="267"/>
  <c r="L47" i="267"/>
  <c r="L48" i="267"/>
  <c r="L49" i="267"/>
  <c r="L50" i="267"/>
  <c r="L51" i="267"/>
  <c r="L52" i="267"/>
  <c r="L53" i="267"/>
  <c r="L54" i="267"/>
  <c r="L55" i="267"/>
  <c r="L56" i="267"/>
  <c r="L57" i="267"/>
  <c r="L58" i="267"/>
  <c r="L59" i="267"/>
  <c r="L60" i="267"/>
  <c r="L61" i="267"/>
  <c r="L62" i="267"/>
  <c r="L63" i="267"/>
  <c r="L64" i="267"/>
  <c r="L65" i="267"/>
  <c r="L66" i="267"/>
  <c r="L67" i="267"/>
  <c r="L68" i="267"/>
  <c r="L69" i="267"/>
  <c r="L70" i="267"/>
  <c r="L71" i="267"/>
  <c r="L72" i="267"/>
  <c r="L73" i="267"/>
  <c r="L74" i="267"/>
  <c r="L75" i="267"/>
  <c r="L76" i="267"/>
  <c r="L77" i="267"/>
  <c r="L78" i="267"/>
  <c r="R84" i="267"/>
  <c r="T84" i="267"/>
  <c r="U84" i="267"/>
  <c r="V84" i="267"/>
  <c r="M46" i="267"/>
  <c r="M47" i="267"/>
  <c r="M48" i="267"/>
  <c r="M49" i="267"/>
  <c r="M50" i="267"/>
  <c r="M51" i="267"/>
  <c r="M52" i="267"/>
  <c r="M53" i="267"/>
  <c r="M54" i="267"/>
  <c r="M55" i="267"/>
  <c r="M56" i="267"/>
  <c r="M57" i="267"/>
  <c r="M58" i="267"/>
  <c r="M59" i="267"/>
  <c r="M60" i="267"/>
  <c r="M61" i="267"/>
  <c r="M62" i="267"/>
  <c r="M63" i="267"/>
  <c r="M64" i="267"/>
  <c r="M65" i="267"/>
  <c r="M66" i="267"/>
  <c r="M67" i="267"/>
  <c r="M68" i="267"/>
  <c r="M69" i="267"/>
  <c r="M70" i="267"/>
  <c r="M71" i="267"/>
  <c r="M72" i="267"/>
  <c r="M73" i="267"/>
  <c r="M74" i="267"/>
  <c r="M75" i="267"/>
  <c r="M76" i="267"/>
  <c r="M77" i="267"/>
  <c r="M78" i="267"/>
  <c r="R6" i="267"/>
  <c r="R12" i="267"/>
  <c r="R22" i="267"/>
  <c r="Q28" i="267"/>
  <c r="R29" i="267"/>
  <c r="Q32" i="267"/>
  <c r="Q34" i="267"/>
  <c r="Q37" i="267"/>
  <c r="R38" i="267"/>
  <c r="R43" i="267"/>
  <c r="Q45" i="267"/>
  <c r="R45" i="267"/>
  <c r="S45" i="267"/>
  <c r="E89" i="267" s="1"/>
  <c r="Q46" i="267"/>
  <c r="R46" i="267"/>
  <c r="S46" i="267"/>
  <c r="E90" i="267" s="1"/>
  <c r="Q47" i="267"/>
  <c r="R47" i="267"/>
  <c r="S47" i="267"/>
  <c r="E91" i="267" s="1"/>
  <c r="Q48" i="267"/>
  <c r="R48" i="267"/>
  <c r="S48" i="267"/>
  <c r="Q49" i="267"/>
  <c r="R49" i="267"/>
  <c r="S49" i="267"/>
  <c r="Q50" i="267"/>
  <c r="R50" i="267"/>
  <c r="S50" i="267"/>
  <c r="E94" i="267" s="1"/>
  <c r="Q51" i="267"/>
  <c r="R51" i="267"/>
  <c r="S51" i="267"/>
  <c r="Q52" i="267"/>
  <c r="R52" i="267"/>
  <c r="S52" i="267"/>
  <c r="Q53" i="267"/>
  <c r="R53" i="267"/>
  <c r="S53" i="267"/>
  <c r="E97" i="267" s="1"/>
  <c r="Q54" i="267"/>
  <c r="R54" i="267"/>
  <c r="S54" i="267"/>
  <c r="E98" i="267" s="1"/>
  <c r="Q55" i="267"/>
  <c r="R55" i="267"/>
  <c r="S55" i="267"/>
  <c r="H74" i="267" s="1"/>
  <c r="Q56" i="267"/>
  <c r="R56" i="267"/>
  <c r="S56" i="267"/>
  <c r="Q57" i="267"/>
  <c r="R57" i="267"/>
  <c r="S57" i="267"/>
  <c r="Q58" i="267"/>
  <c r="R58" i="267"/>
  <c r="S58" i="267"/>
  <c r="H77" i="267" s="1"/>
  <c r="Q59" i="267"/>
  <c r="R59" i="267"/>
  <c r="S59" i="267"/>
  <c r="Q60" i="267"/>
  <c r="R60" i="267"/>
  <c r="S60" i="267"/>
  <c r="Q61" i="267"/>
  <c r="R61" i="267"/>
  <c r="S61" i="267"/>
  <c r="H80" i="267" s="1"/>
  <c r="Q62" i="267"/>
  <c r="R62" i="267"/>
  <c r="S62" i="267"/>
  <c r="H81" i="267" s="1"/>
  <c r="Q63" i="267"/>
  <c r="R63" i="267"/>
  <c r="S63" i="267"/>
  <c r="H82" i="267" s="1"/>
  <c r="Q64" i="267"/>
  <c r="R64" i="267"/>
  <c r="S64" i="267"/>
  <c r="Q65" i="267"/>
  <c r="R65" i="267"/>
  <c r="S65" i="267"/>
  <c r="Q66" i="267"/>
  <c r="R66" i="267"/>
  <c r="S66" i="267"/>
  <c r="H85" i="267" s="1"/>
  <c r="Q67" i="267"/>
  <c r="R67" i="267"/>
  <c r="S67" i="267"/>
  <c r="Q68" i="267"/>
  <c r="R68" i="267"/>
  <c r="S68" i="267"/>
  <c r="Q69" i="267"/>
  <c r="R69" i="267"/>
  <c r="S69" i="267"/>
  <c r="H88" i="267" s="1"/>
  <c r="Q70" i="267"/>
  <c r="R70" i="267"/>
  <c r="S70" i="267"/>
  <c r="H89" i="267" s="1"/>
  <c r="Q71" i="267"/>
  <c r="R71" i="267"/>
  <c r="S71" i="267"/>
  <c r="H90" i="267" s="1"/>
  <c r="Q72" i="267"/>
  <c r="R72" i="267"/>
  <c r="S72" i="267"/>
  <c r="Q73" i="267"/>
  <c r="R73" i="267"/>
  <c r="S73" i="267"/>
  <c r="Q74" i="267"/>
  <c r="R74" i="267"/>
  <c r="S74" i="267"/>
  <c r="H93" i="267" s="1"/>
  <c r="Q75" i="267"/>
  <c r="R75" i="267"/>
  <c r="S75" i="267"/>
  <c r="Q76" i="267"/>
  <c r="R76" i="267"/>
  <c r="S76" i="267"/>
  <c r="Q77" i="267"/>
  <c r="R77" i="267"/>
  <c r="S77" i="267"/>
  <c r="H96" i="267" s="1"/>
  <c r="Q78" i="267"/>
  <c r="R78" i="267"/>
  <c r="S78" i="267"/>
  <c r="H97" i="267" s="1"/>
  <c r="P94" i="267"/>
  <c r="P95" i="267"/>
  <c r="B67" i="267" s="1"/>
  <c r="T45" i="267"/>
  <c r="T46" i="267"/>
  <c r="T47" i="267"/>
  <c r="F91" i="267" s="1"/>
  <c r="T48" i="267"/>
  <c r="T49" i="267"/>
  <c r="F93" i="267" s="1"/>
  <c r="T50" i="267"/>
  <c r="F94" i="267" s="1"/>
  <c r="T51" i="267"/>
  <c r="T52" i="267"/>
  <c r="T53" i="267"/>
  <c r="F97" i="267" s="1"/>
  <c r="T54" i="267"/>
  <c r="T55" i="267"/>
  <c r="I74" i="267" s="1"/>
  <c r="T56" i="267"/>
  <c r="I75" i="267" s="1"/>
  <c r="T57" i="267"/>
  <c r="I76" i="267" s="1"/>
  <c r="T58" i="267"/>
  <c r="I77" i="267" s="1"/>
  <c r="T59" i="267"/>
  <c r="I78" i="267" s="1"/>
  <c r="T60" i="267"/>
  <c r="T61" i="267"/>
  <c r="T62" i="267"/>
  <c r="T63" i="267"/>
  <c r="I82" i="267" s="1"/>
  <c r="T64" i="267"/>
  <c r="T65" i="267"/>
  <c r="I84" i="267" s="1"/>
  <c r="T66" i="267"/>
  <c r="I85" i="267" s="1"/>
  <c r="T67" i="267"/>
  <c r="T68" i="267"/>
  <c r="T69" i="267"/>
  <c r="T70" i="267"/>
  <c r="T71" i="267"/>
  <c r="I90" i="267" s="1"/>
  <c r="T72" i="267"/>
  <c r="T73" i="267"/>
  <c r="I92" i="267" s="1"/>
  <c r="T74" i="267"/>
  <c r="I93" i="267" s="1"/>
  <c r="T75" i="267"/>
  <c r="T76" i="267"/>
  <c r="T77" i="267"/>
  <c r="I96" i="267" s="1"/>
  <c r="T78" i="267"/>
  <c r="I97" i="267" s="1"/>
  <c r="B56" i="267"/>
  <c r="I98" i="267"/>
  <c r="C40" i="267"/>
  <c r="B40" i="267"/>
  <c r="H40" i="267"/>
  <c r="G40" i="267"/>
  <c r="F40" i="267"/>
  <c r="E40" i="267"/>
  <c r="D40" i="267"/>
  <c r="B66" i="267"/>
  <c r="B65" i="267"/>
  <c r="I95" i="267"/>
  <c r="I94" i="267"/>
  <c r="I91" i="267"/>
  <c r="I89" i="267"/>
  <c r="I88" i="267"/>
  <c r="I87" i="267"/>
  <c r="I86" i="267"/>
  <c r="I83" i="267"/>
  <c r="I81" i="267"/>
  <c r="I80" i="267"/>
  <c r="I79" i="267"/>
  <c r="H95" i="267"/>
  <c r="H94" i="267"/>
  <c r="H92" i="267"/>
  <c r="H91" i="267"/>
  <c r="H87" i="267"/>
  <c r="H86" i="267"/>
  <c r="H84" i="267"/>
  <c r="H83" i="267"/>
  <c r="H79" i="267"/>
  <c r="H78" i="267"/>
  <c r="H76" i="267"/>
  <c r="H75" i="267"/>
  <c r="F98" i="267"/>
  <c r="F96" i="267"/>
  <c r="F95" i="267"/>
  <c r="F92" i="267"/>
  <c r="F90" i="267"/>
  <c r="F89" i="267"/>
  <c r="E96" i="267"/>
  <c r="E95" i="267"/>
  <c r="E93" i="267"/>
  <c r="E92" i="267"/>
  <c r="AF71" i="50149" l="1"/>
  <c r="AG71" i="50149"/>
  <c r="BE135" i="50158"/>
  <c r="BF135" i="50158"/>
  <c r="P86" i="267"/>
  <c r="N29" i="7648"/>
  <c r="N6" i="7648"/>
  <c r="AG66" i="50149"/>
  <c r="AF66" i="50149"/>
  <c r="AF69" i="267"/>
  <c r="AG69" i="267"/>
  <c r="AI74" i="267"/>
  <c r="AJ74" i="267"/>
  <c r="O28" i="7648"/>
  <c r="P28" i="7648"/>
  <c r="L5" i="50144"/>
  <c r="R10" i="50144"/>
  <c r="H31" i="50144"/>
  <c r="R5" i="50144"/>
  <c r="L9" i="50144"/>
  <c r="N9" i="50144" s="1"/>
  <c r="R6" i="50144"/>
  <c r="AG90" i="50149"/>
  <c r="AF90" i="50149"/>
  <c r="AW137" i="50158"/>
  <c r="AV137" i="50158"/>
  <c r="BK118" i="50158"/>
  <c r="BL118" i="50158"/>
  <c r="BB112" i="50158"/>
  <c r="BC112" i="50158"/>
  <c r="AJ78" i="267"/>
  <c r="AI78" i="267"/>
  <c r="AF85" i="267"/>
  <c r="AG85" i="267"/>
  <c r="AI66" i="267"/>
  <c r="AJ66" i="267"/>
  <c r="AG88" i="267"/>
  <c r="AF88" i="267"/>
  <c r="O23" i="7648"/>
  <c r="P23" i="7648"/>
  <c r="AF79" i="50149"/>
  <c r="AG79" i="50149"/>
  <c r="AY132" i="50158"/>
  <c r="AZ132" i="50158"/>
  <c r="BL100" i="50158"/>
  <c r="BK100" i="50158"/>
  <c r="O37" i="7648"/>
  <c r="P37" i="7648"/>
  <c r="P86" i="7648"/>
  <c r="P90" i="7648"/>
  <c r="AF83" i="267"/>
  <c r="AG83" i="267"/>
  <c r="P33" i="50144"/>
  <c r="Q9" i="50144"/>
  <c r="M8" i="50144"/>
  <c r="O8" i="50144" s="1"/>
  <c r="L37" i="50144" s="1"/>
  <c r="H33" i="50144" s="1"/>
  <c r="Q10" i="50144"/>
  <c r="H30" i="50144"/>
  <c r="M9" i="50144"/>
  <c r="O9" i="50144" s="1"/>
  <c r="Q5" i="50144"/>
  <c r="M10" i="50144"/>
  <c r="O10" i="50144" s="1"/>
  <c r="Q6" i="50144"/>
  <c r="M6" i="50144"/>
  <c r="O6" i="50144" s="1"/>
  <c r="Q7" i="50144"/>
  <c r="AG74" i="50149"/>
  <c r="AF74" i="50149"/>
  <c r="AV125" i="50158"/>
  <c r="AW125" i="50158"/>
  <c r="R7" i="267"/>
  <c r="L12" i="267"/>
  <c r="N12" i="267" s="1"/>
  <c r="L28" i="267"/>
  <c r="N28" i="267" s="1"/>
  <c r="L44" i="267"/>
  <c r="N44" i="267" s="1"/>
  <c r="R18" i="267"/>
  <c r="R28" i="267"/>
  <c r="R37" i="267"/>
  <c r="B57" i="267"/>
  <c r="P84" i="267"/>
  <c r="L15" i="267"/>
  <c r="N15" i="267" s="1"/>
  <c r="L31" i="267"/>
  <c r="N31" i="267" s="1"/>
  <c r="R13" i="267"/>
  <c r="R19" i="267"/>
  <c r="R23" i="267"/>
  <c r="R33" i="267"/>
  <c r="R42" i="267"/>
  <c r="L32" i="267"/>
  <c r="L16" i="267"/>
  <c r="L19" i="267"/>
  <c r="L35" i="267"/>
  <c r="N35" i="267" s="1"/>
  <c r="R9" i="267"/>
  <c r="R14" i="267"/>
  <c r="R20" i="267"/>
  <c r="R34" i="267"/>
  <c r="R11" i="267"/>
  <c r="R26" i="267"/>
  <c r="L20" i="267"/>
  <c r="N20" i="267" s="1"/>
  <c r="L36" i="267"/>
  <c r="N36" i="267" s="1"/>
  <c r="R10" i="267"/>
  <c r="R25" i="267"/>
  <c r="R30" i="267"/>
  <c r="R35" i="267"/>
  <c r="R39" i="267"/>
  <c r="R44" i="267"/>
  <c r="R5" i="267"/>
  <c r="R21" i="267"/>
  <c r="L7" i="267"/>
  <c r="N7" i="267" s="1"/>
  <c r="L23" i="267"/>
  <c r="N23" i="267" s="1"/>
  <c r="L39" i="267"/>
  <c r="N39" i="267" s="1"/>
  <c r="L8" i="267"/>
  <c r="L24" i="267"/>
  <c r="L40" i="267"/>
  <c r="R27" i="267"/>
  <c r="R31" i="267"/>
  <c r="R36" i="267"/>
  <c r="AL71" i="267"/>
  <c r="AM71" i="267"/>
  <c r="O14" i="7648"/>
  <c r="P14" i="7648"/>
  <c r="N38" i="7648"/>
  <c r="P34" i="50149"/>
  <c r="P39" i="50149" s="1"/>
  <c r="L6" i="50149"/>
  <c r="R5" i="50149"/>
  <c r="H31" i="50149"/>
  <c r="L7" i="50149"/>
  <c r="N7" i="50149" s="1"/>
  <c r="R6" i="50149"/>
  <c r="L8" i="50149"/>
  <c r="N8" i="50149" s="1"/>
  <c r="R7" i="50149"/>
  <c r="R8" i="50149"/>
  <c r="L10" i="50149"/>
  <c r="BF141" i="50158"/>
  <c r="BE141" i="50158"/>
  <c r="AY108" i="50158"/>
  <c r="AZ108" i="50158"/>
  <c r="R41" i="267"/>
  <c r="R17" i="267"/>
  <c r="M5" i="267"/>
  <c r="O5" i="267" s="1"/>
  <c r="M13" i="267"/>
  <c r="O13" i="267" s="1"/>
  <c r="M41" i="267"/>
  <c r="O41" i="267" s="1"/>
  <c r="Q7" i="267"/>
  <c r="Q13" i="267"/>
  <c r="Q23" i="267"/>
  <c r="Q33" i="267"/>
  <c r="Q42" i="267"/>
  <c r="M29" i="267"/>
  <c r="O29" i="267" s="1"/>
  <c r="Q14" i="267"/>
  <c r="M14" i="267"/>
  <c r="O14" i="267" s="1"/>
  <c r="M26" i="267"/>
  <c r="O26" i="267" s="1"/>
  <c r="Q8" i="267"/>
  <c r="Q29" i="267"/>
  <c r="Q38" i="267"/>
  <c r="M17" i="267"/>
  <c r="O17" i="267" s="1"/>
  <c r="Q24" i="267"/>
  <c r="M42" i="267"/>
  <c r="O42" i="267" s="1"/>
  <c r="Q9" i="267"/>
  <c r="Q20" i="267"/>
  <c r="M18" i="267"/>
  <c r="O18" i="267" s="1"/>
  <c r="M30" i="267"/>
  <c r="O30" i="267" s="1"/>
  <c r="Q25" i="267"/>
  <c r="Q30" i="267"/>
  <c r="Q39" i="267"/>
  <c r="Q44" i="267"/>
  <c r="Q36" i="267"/>
  <c r="M21" i="267"/>
  <c r="O21" i="267" s="1"/>
  <c r="M33" i="267"/>
  <c r="O33" i="267" s="1"/>
  <c r="Q5" i="267"/>
  <c r="Q15" i="267"/>
  <c r="Q21" i="267"/>
  <c r="Q16" i="267"/>
  <c r="Q31" i="267"/>
  <c r="Q40" i="267"/>
  <c r="M6" i="267"/>
  <c r="O6" i="267" s="1"/>
  <c r="M34" i="267"/>
  <c r="O34" i="267" s="1"/>
  <c r="M9" i="267"/>
  <c r="O9" i="267" s="1"/>
  <c r="M22" i="267"/>
  <c r="O22" i="267" s="1"/>
  <c r="M37" i="267"/>
  <c r="O37" i="267" s="1"/>
  <c r="Q6" i="267"/>
  <c r="Q12" i="267"/>
  <c r="Q17" i="267"/>
  <c r="Q22" i="267"/>
  <c r="Q41" i="267"/>
  <c r="AF77" i="267"/>
  <c r="AG77" i="267"/>
  <c r="AJ86" i="267"/>
  <c r="AI86" i="267"/>
  <c r="N20" i="7648"/>
  <c r="M7" i="50144"/>
  <c r="O7" i="50144" s="1"/>
  <c r="AF87" i="50149"/>
  <c r="AG87" i="50149"/>
  <c r="Q83" i="7648"/>
  <c r="M5" i="7648"/>
  <c r="O5" i="7648" s="1"/>
  <c r="M10" i="7648"/>
  <c r="M19" i="7648"/>
  <c r="O19" i="7648" s="1"/>
  <c r="M24" i="7648"/>
  <c r="M33" i="7648"/>
  <c r="M42" i="7648"/>
  <c r="Q6" i="7648"/>
  <c r="Q10" i="7648"/>
  <c r="Q14" i="7648"/>
  <c r="Q18" i="7648"/>
  <c r="Q22" i="7648"/>
  <c r="Q26" i="7648"/>
  <c r="Q30" i="7648"/>
  <c r="Q34" i="7648"/>
  <c r="Q38" i="7648"/>
  <c r="Q42" i="7648"/>
  <c r="B56" i="7648"/>
  <c r="M6" i="7648"/>
  <c r="O6" i="7648" s="1"/>
  <c r="M15" i="7648"/>
  <c r="M20" i="7648"/>
  <c r="O20" i="7648" s="1"/>
  <c r="M29" i="7648"/>
  <c r="O29" i="7648" s="1"/>
  <c r="M38" i="7648"/>
  <c r="O38" i="7648" s="1"/>
  <c r="M11" i="7648"/>
  <c r="O11" i="7648" s="1"/>
  <c r="M16" i="7648"/>
  <c r="M25" i="7648"/>
  <c r="M34" i="7648"/>
  <c r="M43" i="7648"/>
  <c r="O43" i="7648" s="1"/>
  <c r="Q7" i="7648"/>
  <c r="Q11" i="7648"/>
  <c r="Q15" i="7648"/>
  <c r="Q19" i="7648"/>
  <c r="Q23" i="7648"/>
  <c r="Q27" i="7648"/>
  <c r="Q31" i="7648"/>
  <c r="Q35" i="7648"/>
  <c r="Q39" i="7648"/>
  <c r="Q43" i="7648"/>
  <c r="M7" i="7648"/>
  <c r="M12" i="7648"/>
  <c r="M21" i="7648"/>
  <c r="M30" i="7648"/>
  <c r="M39" i="7648"/>
  <c r="M44" i="7648"/>
  <c r="M8" i="7648"/>
  <c r="M17" i="7648"/>
  <c r="M26" i="7648"/>
  <c r="M35" i="7648"/>
  <c r="O35" i="7648" s="1"/>
  <c r="M40" i="7648"/>
  <c r="O40" i="7648" s="1"/>
  <c r="Q8" i="7648"/>
  <c r="Q12" i="7648"/>
  <c r="Q16" i="7648"/>
  <c r="Q20" i="7648"/>
  <c r="Q24" i="7648"/>
  <c r="Q28" i="7648"/>
  <c r="Q32" i="7648"/>
  <c r="Q36" i="7648"/>
  <c r="Q40" i="7648"/>
  <c r="Q44" i="7648"/>
  <c r="M13" i="7648"/>
  <c r="M22" i="7648"/>
  <c r="M31" i="7648"/>
  <c r="O31" i="7648" s="1"/>
  <c r="M36" i="7648"/>
  <c r="M9" i="7648"/>
  <c r="M18" i="7648"/>
  <c r="M27" i="7648"/>
  <c r="O27" i="7648" s="1"/>
  <c r="M32" i="7648"/>
  <c r="M41" i="7648"/>
  <c r="Q5" i="7648"/>
  <c r="Q9" i="7648"/>
  <c r="Q13" i="7648"/>
  <c r="Q17" i="7648"/>
  <c r="Q21" i="7648"/>
  <c r="Q25" i="7648"/>
  <c r="Q29" i="7648"/>
  <c r="Q33" i="7648"/>
  <c r="Q37" i="7648"/>
  <c r="Q41" i="7648"/>
  <c r="AG82" i="50149"/>
  <c r="AF82" i="50149"/>
  <c r="BK125" i="50158"/>
  <c r="BL125" i="50158"/>
  <c r="AL74" i="267"/>
  <c r="AI77" i="267"/>
  <c r="AI85" i="267"/>
  <c r="AJ88" i="267"/>
  <c r="AJ90" i="267"/>
  <c r="AG72" i="50144"/>
  <c r="AG80" i="50144"/>
  <c r="AG88" i="50144"/>
  <c r="AF72" i="50149"/>
  <c r="AF80" i="50149"/>
  <c r="AF88" i="50149"/>
  <c r="BC140" i="50158"/>
  <c r="BK134" i="50158"/>
  <c r="BE130" i="50158"/>
  <c r="BF130" i="50158"/>
  <c r="BC128" i="50158"/>
  <c r="BF121" i="50158"/>
  <c r="BE121" i="50158"/>
  <c r="AV117" i="50158"/>
  <c r="BB113" i="50158"/>
  <c r="BK109" i="50158"/>
  <c r="BL109" i="50158"/>
  <c r="AY99" i="50158"/>
  <c r="AZ99" i="50158"/>
  <c r="BH96" i="50158"/>
  <c r="AG79" i="267"/>
  <c r="AJ80" i="267"/>
  <c r="AJ82" i="267"/>
  <c r="AL83" i="267"/>
  <c r="AJ68" i="7648"/>
  <c r="AG71" i="7648"/>
  <c r="AM73" i="7648"/>
  <c r="AJ76" i="7648"/>
  <c r="AY135" i="50158"/>
  <c r="AZ135" i="50158"/>
  <c r="BE118" i="50158"/>
  <c r="BF118" i="50158"/>
  <c r="BK114" i="50158"/>
  <c r="BL114" i="50158"/>
  <c r="AW110" i="50158"/>
  <c r="AV97" i="50158"/>
  <c r="AW97" i="50158"/>
  <c r="AL90" i="267"/>
  <c r="AF68" i="50144"/>
  <c r="AG73" i="50144"/>
  <c r="AF76" i="50144"/>
  <c r="AG81" i="50144"/>
  <c r="AF84" i="50144"/>
  <c r="AG89" i="50144"/>
  <c r="BB136" i="50158"/>
  <c r="AW135" i="50158"/>
  <c r="BB125" i="50158"/>
  <c r="BL110" i="50158"/>
  <c r="BL101" i="50158"/>
  <c r="BB100" i="50158"/>
  <c r="BC100" i="50158"/>
  <c r="AW92" i="50158"/>
  <c r="AM77" i="267"/>
  <c r="AM85" i="267"/>
  <c r="AM87" i="267"/>
  <c r="AF89" i="267"/>
  <c r="P40" i="7648"/>
  <c r="P31" i="7648"/>
  <c r="AV139" i="50158"/>
  <c r="AW139" i="50158"/>
  <c r="BK117" i="50158"/>
  <c r="BL117" i="50158"/>
  <c r="BE114" i="50158"/>
  <c r="BF114" i="50158"/>
  <c r="AV113" i="50158"/>
  <c r="AW113" i="50158"/>
  <c r="AZ102" i="50158"/>
  <c r="AY102" i="50158"/>
  <c r="BK141" i="50158"/>
  <c r="BL141" i="50158"/>
  <c r="BB137" i="50158"/>
  <c r="BC137" i="50158"/>
  <c r="BE126" i="50158"/>
  <c r="BF126" i="50158"/>
  <c r="BL124" i="50158"/>
  <c r="BK124" i="50158"/>
  <c r="AY120" i="50158"/>
  <c r="AZ120" i="50158"/>
  <c r="AW118" i="50158"/>
  <c r="BH95" i="50158"/>
  <c r="BI95" i="50158"/>
  <c r="BI141" i="50158"/>
  <c r="BI140" i="50158"/>
  <c r="BE119" i="50158"/>
  <c r="BF119" i="50158"/>
  <c r="BH115" i="50158"/>
  <c r="BE106" i="50158"/>
  <c r="BF106" i="50158"/>
  <c r="BE103" i="50158"/>
  <c r="BF103" i="50158"/>
  <c r="AV98" i="50158"/>
  <c r="AW98" i="50158"/>
  <c r="BE97" i="50158"/>
  <c r="BI92" i="50158"/>
  <c r="BH92" i="50158"/>
  <c r="BK133" i="50158"/>
  <c r="BL133" i="50158"/>
  <c r="AZ126" i="50158"/>
  <c r="AY126" i="50158"/>
  <c r="BK121" i="50158"/>
  <c r="BL121" i="50158"/>
  <c r="BB117" i="50158"/>
  <c r="BC117" i="50158"/>
  <c r="AY116" i="50158"/>
  <c r="AZ116" i="50158"/>
  <c r="AV114" i="50158"/>
  <c r="AW114" i="50158"/>
  <c r="BL108" i="50158"/>
  <c r="BK108" i="50158"/>
  <c r="BE105" i="50158"/>
  <c r="BH104" i="50158"/>
  <c r="BB101" i="50158"/>
  <c r="BL98" i="50158"/>
  <c r="AZ96" i="50158"/>
  <c r="BF94" i="50158"/>
  <c r="AY92" i="50158"/>
  <c r="Z41" i="50158"/>
  <c r="Z25" i="50158"/>
  <c r="Z20" i="50158"/>
  <c r="BL141" i="50160"/>
  <c r="BL140" i="50160"/>
  <c r="BF137" i="50160"/>
  <c r="BH136" i="50160"/>
  <c r="BB133" i="50160"/>
  <c r="BC132" i="50160"/>
  <c r="BL130" i="50160"/>
  <c r="AW129" i="50160"/>
  <c r="BK128" i="50160"/>
  <c r="AZ128" i="50160"/>
  <c r="BI127" i="50160"/>
  <c r="BF126" i="50160"/>
  <c r="BE125" i="50160"/>
  <c r="BF123" i="50160"/>
  <c r="AZ122" i="50160"/>
  <c r="AW120" i="50160"/>
  <c r="BH119" i="50160"/>
  <c r="BF118" i="50160"/>
  <c r="BL116" i="50160"/>
  <c r="BL112" i="50160"/>
  <c r="AY109" i="50160"/>
  <c r="AZ104" i="50160"/>
  <c r="BK103" i="50160"/>
  <c r="BH98" i="50160"/>
  <c r="BI98" i="50160"/>
  <c r="BB96" i="50160"/>
  <c r="BL95" i="50160"/>
  <c r="BK95" i="50160"/>
  <c r="AY93" i="50160"/>
  <c r="BK123" i="50161"/>
  <c r="BL123" i="50161"/>
  <c r="Y40" i="50158"/>
  <c r="Z35" i="50158"/>
  <c r="Z24" i="50158"/>
  <c r="Z15" i="50158"/>
  <c r="Z6" i="50158"/>
  <c r="X42" i="50158"/>
  <c r="AZ140" i="50160"/>
  <c r="BF138" i="50160"/>
  <c r="BF135" i="50160"/>
  <c r="AZ131" i="50160"/>
  <c r="AV130" i="50160"/>
  <c r="AY121" i="50160"/>
  <c r="BI107" i="50160"/>
  <c r="BF101" i="50160"/>
  <c r="BE101" i="50160"/>
  <c r="AY97" i="50160"/>
  <c r="BH95" i="50160"/>
  <c r="BI95" i="50160"/>
  <c r="BB92" i="50160"/>
  <c r="Z28" i="50160"/>
  <c r="Z7" i="50160"/>
  <c r="CC136" i="50161"/>
  <c r="CD136" i="50161"/>
  <c r="BZ134" i="50161"/>
  <c r="CA134" i="50161"/>
  <c r="BT126" i="50161"/>
  <c r="BU126" i="50161"/>
  <c r="CD116" i="50161"/>
  <c r="CC116" i="50161"/>
  <c r="BH95" i="50161"/>
  <c r="BI95" i="50161"/>
  <c r="AZ105" i="50160"/>
  <c r="AY105" i="50160"/>
  <c r="AV102" i="50160"/>
  <c r="AW102" i="50160"/>
  <c r="AY96" i="50160"/>
  <c r="AZ96" i="50160"/>
  <c r="BU130" i="50161"/>
  <c r="BT130" i="50161"/>
  <c r="BT128" i="50161"/>
  <c r="BU128" i="50161"/>
  <c r="BW125" i="50161"/>
  <c r="BX125" i="50161"/>
  <c r="CA107" i="50161"/>
  <c r="BZ107" i="50161"/>
  <c r="AZ126" i="50160"/>
  <c r="AW122" i="50160"/>
  <c r="BH116" i="50160"/>
  <c r="BI116" i="50160"/>
  <c r="AY106" i="50160"/>
  <c r="AZ106" i="50160"/>
  <c r="AW105" i="50160"/>
  <c r="BI104" i="50160"/>
  <c r="BC138" i="50158"/>
  <c r="BF134" i="50158"/>
  <c r="BE133" i="50158"/>
  <c r="BF123" i="50158"/>
  <c r="AY122" i="50158"/>
  <c r="AZ112" i="50158"/>
  <c r="BI111" i="50158"/>
  <c r="BF110" i="50158"/>
  <c r="BF107" i="50158"/>
  <c r="AY106" i="50158"/>
  <c r="AZ103" i="50158"/>
  <c r="BI100" i="50158"/>
  <c r="BC97" i="50158"/>
  <c r="BL93" i="50158"/>
  <c r="Y27" i="50158"/>
  <c r="Y18" i="50158"/>
  <c r="Y8" i="50158"/>
  <c r="V312" i="50158" s="1"/>
  <c r="B85" i="50158" s="1"/>
  <c r="Z33" i="50158"/>
  <c r="Z9" i="50158"/>
  <c r="BF139" i="50160"/>
  <c r="AZ138" i="50160"/>
  <c r="AZ135" i="50160"/>
  <c r="AV134" i="50160"/>
  <c r="BL125" i="50160"/>
  <c r="BL124" i="50160"/>
  <c r="BC119" i="50160"/>
  <c r="AZ118" i="50160"/>
  <c r="BI114" i="50160"/>
  <c r="BC107" i="50160"/>
  <c r="AW106" i="50160"/>
  <c r="BK102" i="50160"/>
  <c r="BL102" i="50160"/>
  <c r="BH100" i="50160"/>
  <c r="BI100" i="50160"/>
  <c r="BI138" i="50161"/>
  <c r="BH138" i="50161"/>
  <c r="BN137" i="50161"/>
  <c r="BO137" i="50161"/>
  <c r="BT129" i="50161"/>
  <c r="BU129" i="50161"/>
  <c r="CC126" i="50161"/>
  <c r="CD126" i="50161"/>
  <c r="BK96" i="50161"/>
  <c r="BL96" i="50161"/>
  <c r="BL105" i="50158"/>
  <c r="BK104" i="50158"/>
  <c r="BE101" i="50158"/>
  <c r="BL94" i="50158"/>
  <c r="Z43" i="50158"/>
  <c r="Z32" i="50158"/>
  <c r="BL137" i="50160"/>
  <c r="BH132" i="50160"/>
  <c r="BB129" i="50160"/>
  <c r="BL126" i="50160"/>
  <c r="AZ124" i="50160"/>
  <c r="BF122" i="50160"/>
  <c r="BE117" i="50160"/>
  <c r="BF117" i="50160"/>
  <c r="AW114" i="50160"/>
  <c r="BL110" i="50160"/>
  <c r="AW110" i="50160"/>
  <c r="BL106" i="50160"/>
  <c r="BI102" i="50160"/>
  <c r="AZ101" i="50160"/>
  <c r="AY101" i="50160"/>
  <c r="BE100" i="50160"/>
  <c r="Z39" i="50160"/>
  <c r="BK116" i="50161"/>
  <c r="BL116" i="50161"/>
  <c r="BQ104" i="50161"/>
  <c r="BR104" i="50161"/>
  <c r="CA101" i="50161"/>
  <c r="BZ101" i="50161"/>
  <c r="Y34" i="50158"/>
  <c r="AV118" i="50160"/>
  <c r="AW118" i="50160"/>
  <c r="BB108" i="50160"/>
  <c r="BC108" i="50160"/>
  <c r="BF104" i="50160"/>
  <c r="BE104" i="50160"/>
  <c r="AV101" i="50160"/>
  <c r="AW101" i="50160"/>
  <c r="BF96" i="50160"/>
  <c r="BE96" i="50160"/>
  <c r="BU138" i="50161"/>
  <c r="BT138" i="50161"/>
  <c r="BU110" i="50161"/>
  <c r="BT110" i="50161"/>
  <c r="BK141" i="50162"/>
  <c r="BL141" i="50162"/>
  <c r="CC133" i="50162"/>
  <c r="CD133" i="50162"/>
  <c r="CD128" i="50162"/>
  <c r="CC128" i="50162"/>
  <c r="BZ122" i="50162"/>
  <c r="CA122" i="50162"/>
  <c r="BQ95" i="50162"/>
  <c r="BR95" i="50162"/>
  <c r="Z311" i="50158"/>
  <c r="Z315" i="50158"/>
  <c r="V18" i="50160"/>
  <c r="X18" i="50160" s="1"/>
  <c r="V34" i="50160"/>
  <c r="X34" i="50160" s="1"/>
  <c r="AB7" i="50160"/>
  <c r="AB11" i="50160"/>
  <c r="AB16" i="50160"/>
  <c r="AB20" i="50160"/>
  <c r="AB24" i="50160"/>
  <c r="AB28" i="50160"/>
  <c r="AB32" i="50160"/>
  <c r="AB36" i="50160"/>
  <c r="AB40" i="50160"/>
  <c r="AB44" i="50160"/>
  <c r="B83" i="50160"/>
  <c r="V5" i="50160"/>
  <c r="V8" i="50160"/>
  <c r="V13" i="50160"/>
  <c r="X13" i="50160" s="1"/>
  <c r="V19" i="50160"/>
  <c r="V24" i="50160"/>
  <c r="V29" i="50160"/>
  <c r="X29" i="50160" s="1"/>
  <c r="V35" i="50160"/>
  <c r="V40" i="50160"/>
  <c r="V14" i="50160"/>
  <c r="X14" i="50160" s="1"/>
  <c r="V30" i="50160"/>
  <c r="X30" i="50160" s="1"/>
  <c r="V9" i="50160"/>
  <c r="X9" i="50160" s="1"/>
  <c r="V15" i="50160"/>
  <c r="V20" i="50160"/>
  <c r="V25" i="50160"/>
  <c r="X25" i="50160" s="1"/>
  <c r="V31" i="50160"/>
  <c r="V36" i="50160"/>
  <c r="V41" i="50160"/>
  <c r="X41" i="50160" s="1"/>
  <c r="AB5" i="50160"/>
  <c r="V11" i="50160"/>
  <c r="V16" i="50160"/>
  <c r="V21" i="50160"/>
  <c r="X21" i="50160" s="1"/>
  <c r="V27" i="50160"/>
  <c r="V32" i="50160"/>
  <c r="V37" i="50160"/>
  <c r="X37" i="50160" s="1"/>
  <c r="V43" i="50160"/>
  <c r="V6" i="50160"/>
  <c r="X6" i="50160" s="1"/>
  <c r="V22" i="50160"/>
  <c r="X22" i="50160" s="1"/>
  <c r="V38" i="50160"/>
  <c r="X38" i="50160" s="1"/>
  <c r="AB6" i="50160"/>
  <c r="AB10" i="50160"/>
  <c r="AB15" i="50160"/>
  <c r="AB19" i="50160"/>
  <c r="AB23" i="50160"/>
  <c r="AB27" i="50160"/>
  <c r="AB31" i="50160"/>
  <c r="AB35" i="50160"/>
  <c r="AB39" i="50160"/>
  <c r="AB43" i="50160"/>
  <c r="Z36" i="50158"/>
  <c r="Z16" i="50158"/>
  <c r="Z38" i="50158"/>
  <c r="AZ119" i="50160"/>
  <c r="AY119" i="50160"/>
  <c r="BB113" i="50160"/>
  <c r="BC113" i="50160"/>
  <c r="BI110" i="50160"/>
  <c r="BH110" i="50160"/>
  <c r="BB104" i="50160"/>
  <c r="BC104" i="50160"/>
  <c r="BW137" i="50161"/>
  <c r="BX137" i="50161"/>
  <c r="BQ136" i="50161"/>
  <c r="BR136" i="50161"/>
  <c r="BO134" i="50161"/>
  <c r="BN134" i="50161"/>
  <c r="CC127" i="50161"/>
  <c r="CD127" i="50161"/>
  <c r="BI126" i="50161"/>
  <c r="BH126" i="50161"/>
  <c r="BN125" i="50161"/>
  <c r="BO125" i="50161"/>
  <c r="BK118" i="50161"/>
  <c r="BL118" i="50161"/>
  <c r="BF115" i="50160"/>
  <c r="BE112" i="50160"/>
  <c r="BF107" i="50160"/>
  <c r="BF103" i="50160"/>
  <c r="AZ100" i="50160"/>
  <c r="BK99" i="50160"/>
  <c r="AW96" i="50160"/>
  <c r="CC107" i="50161"/>
  <c r="CD107" i="50161"/>
  <c r="BR118" i="50162"/>
  <c r="BQ118" i="50162"/>
  <c r="BX115" i="50162"/>
  <c r="BW115" i="50162"/>
  <c r="BH110" i="50162"/>
  <c r="BI110" i="50162"/>
  <c r="BW107" i="50162"/>
  <c r="BX107" i="50162"/>
  <c r="BX114" i="50161"/>
  <c r="BW114" i="50161"/>
  <c r="CD97" i="50161"/>
  <c r="CC97" i="50161"/>
  <c r="BL137" i="50162"/>
  <c r="BK137" i="50162"/>
  <c r="BW124" i="50162"/>
  <c r="BX124" i="50162"/>
  <c r="BW117" i="50162"/>
  <c r="BX117" i="50162"/>
  <c r="BI112" i="50162"/>
  <c r="BH112" i="50162"/>
  <c r="BH106" i="50162"/>
  <c r="BI106" i="50162"/>
  <c r="BO104" i="50162"/>
  <c r="BN104" i="50162"/>
  <c r="BR138" i="50161"/>
  <c r="CC137" i="50161"/>
  <c r="BO136" i="50161"/>
  <c r="BW134" i="50161"/>
  <c r="BK134" i="50161"/>
  <c r="BR130" i="50161"/>
  <c r="BR126" i="50161"/>
  <c r="CC125" i="50161"/>
  <c r="BL125" i="50161"/>
  <c r="BH118" i="50161"/>
  <c r="BO113" i="50161"/>
  <c r="BK112" i="50161"/>
  <c r="BL112" i="50161"/>
  <c r="BL101" i="50161"/>
  <c r="BL97" i="50161"/>
  <c r="BI96" i="50161"/>
  <c r="CD94" i="50161"/>
  <c r="CC94" i="50161"/>
  <c r="BQ119" i="50162"/>
  <c r="BR119" i="50162"/>
  <c r="BZ114" i="50162"/>
  <c r="CA114" i="50162"/>
  <c r="BW112" i="50162"/>
  <c r="BX112" i="50162"/>
  <c r="AG15" i="50161"/>
  <c r="AG7" i="50161"/>
  <c r="BW116" i="50162"/>
  <c r="BX116" i="50162"/>
  <c r="CA137" i="50161"/>
  <c r="BX129" i="50161"/>
  <c r="CA125" i="50161"/>
  <c r="CA123" i="50161"/>
  <c r="CA122" i="50161"/>
  <c r="CA119" i="50161"/>
  <c r="CA118" i="50161"/>
  <c r="BU117" i="50161"/>
  <c r="BK113" i="50161"/>
  <c r="BL113" i="50161"/>
  <c r="BR111" i="50161"/>
  <c r="BK98" i="50161"/>
  <c r="BL98" i="50161"/>
  <c r="BU97" i="50161"/>
  <c r="CD95" i="50161"/>
  <c r="CC95" i="50161"/>
  <c r="BU141" i="50162"/>
  <c r="BT141" i="50162"/>
  <c r="BZ138" i="50162"/>
  <c r="CA138" i="50162"/>
  <c r="BK134" i="50162"/>
  <c r="BL134" i="50162"/>
  <c r="BZ130" i="50162"/>
  <c r="CA130" i="50162"/>
  <c r="BR126" i="50162"/>
  <c r="BQ126" i="50162"/>
  <c r="BX123" i="50162"/>
  <c r="BW123" i="50162"/>
  <c r="BW102" i="50162"/>
  <c r="BX102" i="50162"/>
  <c r="CA100" i="50162"/>
  <c r="BZ100" i="50162"/>
  <c r="BT94" i="50162"/>
  <c r="BU94" i="50162"/>
  <c r="BR137" i="50161"/>
  <c r="BH137" i="50161"/>
  <c r="BX136" i="50161"/>
  <c r="BH136" i="50161"/>
  <c r="BH128" i="50161"/>
  <c r="BH127" i="50161"/>
  <c r="BX126" i="50161"/>
  <c r="BR125" i="50161"/>
  <c r="BL119" i="50161"/>
  <c r="BR115" i="50161"/>
  <c r="BX113" i="50161"/>
  <c r="BL110" i="50161"/>
  <c r="BH108" i="50161"/>
  <c r="BQ107" i="50161"/>
  <c r="CC106" i="50161"/>
  <c r="BR106" i="50161"/>
  <c r="BL105" i="50161"/>
  <c r="BQ96" i="50161"/>
  <c r="BW125" i="50162"/>
  <c r="BX125" i="50162"/>
  <c r="BX109" i="50162"/>
  <c r="BW109" i="50162"/>
  <c r="CD96" i="50161"/>
  <c r="CC96" i="50161"/>
  <c r="CA136" i="50162"/>
  <c r="BZ136" i="50162"/>
  <c r="CD120" i="50162"/>
  <c r="CC120" i="50162"/>
  <c r="BW96" i="50162"/>
  <c r="BX96" i="50162"/>
  <c r="BW138" i="50162"/>
  <c r="BU137" i="50162"/>
  <c r="CA127" i="50162"/>
  <c r="BO126" i="50162"/>
  <c r="BU125" i="50162"/>
  <c r="BU124" i="50162"/>
  <c r="CA119" i="50162"/>
  <c r="BO118" i="50162"/>
  <c r="BU117" i="50162"/>
  <c r="BU116" i="50162"/>
  <c r="BU115" i="50162"/>
  <c r="CC112" i="50162"/>
  <c r="BU112" i="50162"/>
  <c r="BR111" i="50162"/>
  <c r="BQ106" i="50162"/>
  <c r="BX104" i="50162"/>
  <c r="BL104" i="50162"/>
  <c r="BT102" i="50162"/>
  <c r="BL100" i="50162"/>
  <c r="BQ94" i="50162"/>
  <c r="AB22" i="50161"/>
  <c r="AD22" i="50161" s="1"/>
  <c r="AB11" i="50161"/>
  <c r="BU138" i="50162"/>
  <c r="BR137" i="50162"/>
  <c r="BR132" i="50162"/>
  <c r="BI132" i="50162"/>
  <c r="CA131" i="50162"/>
  <c r="BR131" i="50162"/>
  <c r="BL126" i="50162"/>
  <c r="BL118" i="50162"/>
  <c r="BR115" i="50162"/>
  <c r="CA112" i="50162"/>
  <c r="BO111" i="50162"/>
  <c r="BO107" i="50162"/>
  <c r="BU104" i="50162"/>
  <c r="BI100" i="50162"/>
  <c r="BO99" i="50162"/>
  <c r="BO97" i="50162"/>
  <c r="BO92" i="50162"/>
  <c r="BI92" i="50161"/>
  <c r="CD140" i="50162"/>
  <c r="BI135" i="50162"/>
  <c r="BN134" i="50162"/>
  <c r="BH128" i="50162"/>
  <c r="BI127" i="50162"/>
  <c r="CA125" i="50162"/>
  <c r="BN125" i="50162"/>
  <c r="BO124" i="50162"/>
  <c r="BH120" i="50162"/>
  <c r="BI119" i="50162"/>
  <c r="CA117" i="50162"/>
  <c r="BN117" i="50162"/>
  <c r="BO116" i="50162"/>
  <c r="CA111" i="50162"/>
  <c r="BK110" i="50162"/>
  <c r="BR109" i="50162"/>
  <c r="BK106" i="50162"/>
  <c r="BW99" i="50162"/>
  <c r="BZ96" i="50162"/>
  <c r="BX94" i="50162"/>
  <c r="AB43" i="50161"/>
  <c r="AB6" i="50161"/>
  <c r="AD6" i="50161" s="1"/>
  <c r="C41" i="50163"/>
  <c r="BI138" i="50162"/>
  <c r="CA137" i="50162"/>
  <c r="BI133" i="50162"/>
  <c r="BX132" i="50162"/>
  <c r="CD129" i="50162"/>
  <c r="CD121" i="50162"/>
  <c r="CD113" i="50162"/>
  <c r="CA105" i="50162"/>
  <c r="BO103" i="50162"/>
  <c r="BL102" i="50162"/>
  <c r="CD101" i="50162"/>
  <c r="BU98" i="50162"/>
  <c r="BI98" i="50162"/>
  <c r="CA97" i="50162"/>
  <c r="BU93" i="50162"/>
  <c r="CA140" i="50162"/>
  <c r="BL139" i="50162"/>
  <c r="BQ138" i="50162"/>
  <c r="BO132" i="50162"/>
  <c r="BW131" i="50162"/>
  <c r="BK125" i="50162"/>
  <c r="BK124" i="50162"/>
  <c r="BL123" i="50162"/>
  <c r="BK117" i="50162"/>
  <c r="BK116" i="50162"/>
  <c r="BX111" i="50162"/>
  <c r="BK111" i="50162"/>
  <c r="BN109" i="50162"/>
  <c r="BN108" i="50162"/>
  <c r="BK107" i="50162"/>
  <c r="BN105" i="50162"/>
  <c r="BT99" i="50162"/>
  <c r="AB38" i="50161"/>
  <c r="AD38" i="50161" s="1"/>
  <c r="N11" i="267"/>
  <c r="AV128" i="50158"/>
  <c r="AW128" i="50158"/>
  <c r="N32" i="267"/>
  <c r="AM81" i="267"/>
  <c r="AF86" i="267"/>
  <c r="AG86" i="267"/>
  <c r="P5" i="7648"/>
  <c r="N5" i="7648"/>
  <c r="AG67" i="7648"/>
  <c r="AF67" i="7648"/>
  <c r="AM69" i="7648"/>
  <c r="AL69" i="7648"/>
  <c r="AJ72" i="7648"/>
  <c r="AI72" i="7648"/>
  <c r="AG75" i="7648"/>
  <c r="AF75" i="7648"/>
  <c r="AM77" i="7648"/>
  <c r="AL77" i="7648"/>
  <c r="AJ80" i="7648"/>
  <c r="AI80" i="7648"/>
  <c r="AG83" i="7648"/>
  <c r="AF83" i="7648"/>
  <c r="AM85" i="7648"/>
  <c r="AL85" i="7648"/>
  <c r="AJ88" i="7648"/>
  <c r="AI88" i="7648"/>
  <c r="P6" i="50149"/>
  <c r="N6" i="50149"/>
  <c r="AM89" i="267"/>
  <c r="AL89" i="267"/>
  <c r="N5" i="50144"/>
  <c r="P5" i="50144"/>
  <c r="AG69" i="50144"/>
  <c r="AF69" i="50144"/>
  <c r="AG77" i="50144"/>
  <c r="AF77" i="50144"/>
  <c r="AG85" i="50144"/>
  <c r="AF85" i="50144"/>
  <c r="BF125" i="50158"/>
  <c r="BE125" i="50158"/>
  <c r="AI83" i="267"/>
  <c r="AJ83" i="267"/>
  <c r="AG67" i="50149"/>
  <c r="AF67" i="50149"/>
  <c r="AG75" i="50149"/>
  <c r="AF75" i="50149"/>
  <c r="AG83" i="50149"/>
  <c r="AF83" i="50149"/>
  <c r="AV140" i="50160"/>
  <c r="AW140" i="50160"/>
  <c r="BB135" i="50160"/>
  <c r="BC135" i="50160"/>
  <c r="AY115" i="50160"/>
  <c r="AZ115" i="50160"/>
  <c r="BB111" i="50160"/>
  <c r="BC111" i="50160"/>
  <c r="N19" i="267"/>
  <c r="BQ128" i="50161"/>
  <c r="BR128" i="50161"/>
  <c r="BI123" i="50161"/>
  <c r="BH123" i="50161"/>
  <c r="AL80" i="267"/>
  <c r="AM80" i="267"/>
  <c r="AG87" i="267"/>
  <c r="AF87" i="267"/>
  <c r="P36" i="50144"/>
  <c r="P47" i="50144" s="1"/>
  <c r="P40" i="50144"/>
  <c r="N10" i="50149"/>
  <c r="Y13" i="50158"/>
  <c r="Z13" i="50158"/>
  <c r="N27" i="267"/>
  <c r="BN127" i="50161"/>
  <c r="BO127" i="50161"/>
  <c r="CC121" i="50161"/>
  <c r="CD121" i="50161"/>
  <c r="BT140" i="50162"/>
  <c r="BU140" i="50162"/>
  <c r="AD11" i="50161"/>
  <c r="N40" i="267"/>
  <c r="N24" i="267"/>
  <c r="N16" i="267"/>
  <c r="N8" i="267"/>
  <c r="P33" i="50149"/>
  <c r="Q5" i="50149"/>
  <c r="M7" i="50149"/>
  <c r="Q8" i="50149"/>
  <c r="M8" i="50149"/>
  <c r="O8" i="50149" s="1"/>
  <c r="Q6" i="50149"/>
  <c r="Q9" i="50149"/>
  <c r="Q7" i="50149"/>
  <c r="M5" i="50149"/>
  <c r="O5" i="50149" s="1"/>
  <c r="M6" i="50149"/>
  <c r="O6" i="50149" s="1"/>
  <c r="M10" i="50149"/>
  <c r="O10" i="50149" s="1"/>
  <c r="Q10" i="50149"/>
  <c r="AZ134" i="50158"/>
  <c r="AY134" i="50158"/>
  <c r="BH106" i="50158"/>
  <c r="BI106" i="50158"/>
  <c r="AV104" i="50158"/>
  <c r="AW104" i="50158"/>
  <c r="BB99" i="50158"/>
  <c r="BC99" i="50158"/>
  <c r="AF78" i="267"/>
  <c r="AG78" i="267"/>
  <c r="AJ84" i="267"/>
  <c r="P8" i="50149"/>
  <c r="N43" i="267"/>
  <c r="BF129" i="50158"/>
  <c r="BE129" i="50158"/>
  <c r="AI67" i="267"/>
  <c r="AJ67" i="267"/>
  <c r="AF70" i="267"/>
  <c r="AG70" i="267"/>
  <c r="AL72" i="267"/>
  <c r="AM72" i="267"/>
  <c r="AI75" i="267"/>
  <c r="AJ75" i="267"/>
  <c r="H40" i="50149"/>
  <c r="Q83" i="267"/>
  <c r="Q84" i="267"/>
  <c r="AM88" i="267"/>
  <c r="BB135" i="50158"/>
  <c r="BC135" i="50158"/>
  <c r="BH114" i="50158"/>
  <c r="BI114" i="50158"/>
  <c r="AV112" i="50158"/>
  <c r="AW112" i="50158"/>
  <c r="BB107" i="50158"/>
  <c r="BC107" i="50158"/>
  <c r="Z5" i="50158"/>
  <c r="X5" i="50158"/>
  <c r="V311" i="50158" s="1"/>
  <c r="P43" i="7648"/>
  <c r="P35" i="7648"/>
  <c r="P27" i="7648"/>
  <c r="P19" i="7648"/>
  <c r="P11" i="7648"/>
  <c r="H40" i="50144"/>
  <c r="R9" i="50144"/>
  <c r="L7" i="50144"/>
  <c r="R10" i="50149"/>
  <c r="AV140" i="50158"/>
  <c r="AW140" i="50158"/>
  <c r="BH138" i="50158"/>
  <c r="BI138" i="50158"/>
  <c r="BH126" i="50158"/>
  <c r="BI126" i="50158"/>
  <c r="AV124" i="50158"/>
  <c r="AW124" i="50158"/>
  <c r="BB119" i="50158"/>
  <c r="BC119" i="50158"/>
  <c r="BH94" i="50158"/>
  <c r="BI94" i="50158"/>
  <c r="Y17" i="50158"/>
  <c r="BH130" i="50160"/>
  <c r="BI130" i="50160"/>
  <c r="AV128" i="50160"/>
  <c r="AW128" i="50160"/>
  <c r="BB123" i="50160"/>
  <c r="BC123" i="50160"/>
  <c r="AY103" i="50160"/>
  <c r="AZ103" i="50160"/>
  <c r="AY94" i="50160"/>
  <c r="AZ94" i="50160"/>
  <c r="Q43" i="267"/>
  <c r="R40" i="267"/>
  <c r="Q35" i="267"/>
  <c r="R32" i="267"/>
  <c r="Q27" i="267"/>
  <c r="R24" i="267"/>
  <c r="Q19" i="267"/>
  <c r="R16" i="267"/>
  <c r="Q11" i="267"/>
  <c r="R8" i="267"/>
  <c r="M44" i="267"/>
  <c r="O44" i="267" s="1"/>
  <c r="M40" i="267"/>
  <c r="O40" i="267" s="1"/>
  <c r="M36" i="267"/>
  <c r="O36" i="267" s="1"/>
  <c r="M32" i="267"/>
  <c r="O32" i="267" s="1"/>
  <c r="M28" i="267"/>
  <c r="M24" i="267"/>
  <c r="O24" i="267" s="1"/>
  <c r="M20" i="267"/>
  <c r="O20" i="267" s="1"/>
  <c r="M16" i="267"/>
  <c r="O16" i="267" s="1"/>
  <c r="M12" i="267"/>
  <c r="O12" i="267" s="1"/>
  <c r="M8" i="267"/>
  <c r="O8" i="267" s="1"/>
  <c r="L42" i="267"/>
  <c r="L38" i="267"/>
  <c r="L34" i="267"/>
  <c r="L30" i="267"/>
  <c r="L26" i="267"/>
  <c r="L22" i="267"/>
  <c r="L18" i="267"/>
  <c r="L14" i="267"/>
  <c r="L10" i="267"/>
  <c r="L6" i="267"/>
  <c r="L5" i="267"/>
  <c r="AI79" i="267"/>
  <c r="AF82" i="267"/>
  <c r="AL84" i="267"/>
  <c r="AI87" i="267"/>
  <c r="AF90" i="267"/>
  <c r="B66" i="7648"/>
  <c r="AI67" i="7648"/>
  <c r="AF70" i="7648"/>
  <c r="AL72" i="7648"/>
  <c r="AI75" i="7648"/>
  <c r="AF78" i="7648"/>
  <c r="AL80" i="7648"/>
  <c r="AI83" i="7648"/>
  <c r="AF86" i="7648"/>
  <c r="AL88" i="7648"/>
  <c r="L10" i="50144"/>
  <c r="L6" i="50144"/>
  <c r="AF70" i="50144"/>
  <c r="AF78" i="50144"/>
  <c r="AF86" i="50144"/>
  <c r="N5" i="50149"/>
  <c r="AF68" i="50149"/>
  <c r="AF76" i="50149"/>
  <c r="AF84" i="50149"/>
  <c r="BE137" i="50158"/>
  <c r="BK132" i="50158"/>
  <c r="BB131" i="50158"/>
  <c r="BC131" i="50158"/>
  <c r="BK120" i="50158"/>
  <c r="BH118" i="50158"/>
  <c r="BI118" i="50158"/>
  <c r="BE117" i="50158"/>
  <c r="AV116" i="50158"/>
  <c r="AW116" i="50158"/>
  <c r="BB111" i="50158"/>
  <c r="BC111" i="50158"/>
  <c r="Y37" i="50158"/>
  <c r="Z37" i="50158"/>
  <c r="BH122" i="50160"/>
  <c r="BI122" i="50160"/>
  <c r="AY98" i="50160"/>
  <c r="AZ98" i="50160"/>
  <c r="BK96" i="50160"/>
  <c r="BL96" i="50160"/>
  <c r="Q84" i="7648"/>
  <c r="P9" i="50144"/>
  <c r="R8" i="50144"/>
  <c r="H39" i="50149"/>
  <c r="R9" i="50149"/>
  <c r="L9" i="50149"/>
  <c r="AV136" i="50158"/>
  <c r="AW136" i="50158"/>
  <c r="BH134" i="50158"/>
  <c r="BI134" i="50158"/>
  <c r="AY130" i="50158"/>
  <c r="BB123" i="50158"/>
  <c r="BC123" i="50158"/>
  <c r="AY114" i="50158"/>
  <c r="BH98" i="50158"/>
  <c r="BI98" i="50158"/>
  <c r="AV96" i="50158"/>
  <c r="AW96" i="50158"/>
  <c r="Y41" i="50158"/>
  <c r="Y21" i="50158"/>
  <c r="Z21" i="50158"/>
  <c r="BH134" i="50160"/>
  <c r="BI134" i="50160"/>
  <c r="AV132" i="50160"/>
  <c r="AW132" i="50160"/>
  <c r="BB127" i="50160"/>
  <c r="BC127" i="50160"/>
  <c r="AZ117" i="50160"/>
  <c r="AY117" i="50160"/>
  <c r="BL111" i="50160"/>
  <c r="BK111" i="50160"/>
  <c r="M43" i="267"/>
  <c r="O43" i="267" s="1"/>
  <c r="M39" i="267"/>
  <c r="M35" i="267"/>
  <c r="O35" i="267" s="1"/>
  <c r="M31" i="267"/>
  <c r="M27" i="267"/>
  <c r="O27" i="267" s="1"/>
  <c r="M23" i="267"/>
  <c r="M19" i="267"/>
  <c r="O19" i="267" s="1"/>
  <c r="M15" i="267"/>
  <c r="M11" i="267"/>
  <c r="O11" i="267" s="1"/>
  <c r="M7" i="267"/>
  <c r="L41" i="267"/>
  <c r="L37" i="267"/>
  <c r="L33" i="267"/>
  <c r="L29" i="267"/>
  <c r="L25" i="267"/>
  <c r="L21" i="267"/>
  <c r="L17" i="267"/>
  <c r="L13" i="267"/>
  <c r="L9" i="267"/>
  <c r="AF68" i="267"/>
  <c r="AL70" i="267"/>
  <c r="AI73" i="267"/>
  <c r="AF76" i="267"/>
  <c r="AL78" i="267"/>
  <c r="AI81" i="267"/>
  <c r="AF84" i="267"/>
  <c r="AL86" i="267"/>
  <c r="AI89" i="267"/>
  <c r="BB139" i="50158"/>
  <c r="BC139" i="50158"/>
  <c r="BH110" i="50158"/>
  <c r="BI110" i="50158"/>
  <c r="AV108" i="50158"/>
  <c r="AW108" i="50158"/>
  <c r="BB103" i="50158"/>
  <c r="BC103" i="50158"/>
  <c r="BB139" i="50160"/>
  <c r="BC139" i="50160"/>
  <c r="BH115" i="50160"/>
  <c r="BI115" i="50160"/>
  <c r="BL100" i="50160"/>
  <c r="BK100" i="50160"/>
  <c r="Q26" i="267"/>
  <c r="Q18" i="267"/>
  <c r="R15" i="267"/>
  <c r="Q10" i="267"/>
  <c r="P84" i="7648"/>
  <c r="AL67" i="7648"/>
  <c r="AI70" i="7648"/>
  <c r="AF73" i="7648"/>
  <c r="AL75" i="7648"/>
  <c r="AI78" i="7648"/>
  <c r="AF81" i="7648"/>
  <c r="AL83" i="7648"/>
  <c r="AI86" i="7648"/>
  <c r="AF89" i="7648"/>
  <c r="P34" i="50144"/>
  <c r="AF71" i="50144"/>
  <c r="AF79" i="50144"/>
  <c r="AF87" i="50144"/>
  <c r="AF69" i="50149"/>
  <c r="AF77" i="50149"/>
  <c r="AF85" i="50149"/>
  <c r="BB127" i="50158"/>
  <c r="BC127" i="50158"/>
  <c r="BH122" i="50158"/>
  <c r="BI122" i="50158"/>
  <c r="AV120" i="50158"/>
  <c r="AW120" i="50158"/>
  <c r="BB115" i="50158"/>
  <c r="BC115" i="50158"/>
  <c r="BH126" i="50160"/>
  <c r="BI126" i="50160"/>
  <c r="AV124" i="50160"/>
  <c r="AW124" i="50160"/>
  <c r="BH117" i="50160"/>
  <c r="BI117" i="50160"/>
  <c r="BB106" i="50160"/>
  <c r="BC106" i="50160"/>
  <c r="BH101" i="50160"/>
  <c r="BI101" i="50160"/>
  <c r="R7" i="50144"/>
  <c r="L8" i="50144"/>
  <c r="AV132" i="50158"/>
  <c r="AW132" i="50158"/>
  <c r="BH130" i="50158"/>
  <c r="BI130" i="50158"/>
  <c r="AY118" i="50158"/>
  <c r="BH102" i="50158"/>
  <c r="BI102" i="50158"/>
  <c r="AV100" i="50158"/>
  <c r="AW100" i="50158"/>
  <c r="BB95" i="50158"/>
  <c r="BC95" i="50158"/>
  <c r="Y29" i="50158"/>
  <c r="Z29" i="50158"/>
  <c r="BH138" i="50160"/>
  <c r="BI138" i="50160"/>
  <c r="AV136" i="50160"/>
  <c r="AW136" i="50160"/>
  <c r="BB131" i="50160"/>
  <c r="BC131" i="50160"/>
  <c r="AY141" i="50158"/>
  <c r="BE140" i="50158"/>
  <c r="BK139" i="50158"/>
  <c r="AY137" i="50158"/>
  <c r="BE136" i="50158"/>
  <c r="BK135" i="50158"/>
  <c r="AY133" i="50158"/>
  <c r="BE132" i="50158"/>
  <c r="BK131" i="50158"/>
  <c r="AY129" i="50158"/>
  <c r="BE128" i="50158"/>
  <c r="BK127" i="50158"/>
  <c r="AY125" i="50158"/>
  <c r="BE124" i="50158"/>
  <c r="BK123" i="50158"/>
  <c r="AY121" i="50158"/>
  <c r="BE120" i="50158"/>
  <c r="BK119" i="50158"/>
  <c r="AY117" i="50158"/>
  <c r="BE116" i="50158"/>
  <c r="BK115" i="50158"/>
  <c r="AY113" i="50158"/>
  <c r="BE112" i="50158"/>
  <c r="BK111" i="50158"/>
  <c r="AY109" i="50158"/>
  <c r="BE108" i="50158"/>
  <c r="BK107" i="50158"/>
  <c r="AY105" i="50158"/>
  <c r="BE104" i="50158"/>
  <c r="BK103" i="50158"/>
  <c r="AY101" i="50158"/>
  <c r="BE100" i="50158"/>
  <c r="BK99" i="50158"/>
  <c r="AY97" i="50158"/>
  <c r="BE96" i="50158"/>
  <c r="BK95" i="50158"/>
  <c r="AY93" i="50158"/>
  <c r="BB92" i="50158"/>
  <c r="AY141" i="50160"/>
  <c r="BE140" i="50160"/>
  <c r="BK139" i="50160"/>
  <c r="AY137" i="50160"/>
  <c r="BE136" i="50160"/>
  <c r="BK135" i="50160"/>
  <c r="AY133" i="50160"/>
  <c r="BE132" i="50160"/>
  <c r="BK131" i="50160"/>
  <c r="AY129" i="50160"/>
  <c r="BE128" i="50160"/>
  <c r="BK127" i="50160"/>
  <c r="AY125" i="50160"/>
  <c r="BE124" i="50160"/>
  <c r="BK123" i="50160"/>
  <c r="BE121" i="50160"/>
  <c r="AV121" i="50160"/>
  <c r="BK117" i="50160"/>
  <c r="BE116" i="50160"/>
  <c r="AV116" i="50160"/>
  <c r="BB114" i="50160"/>
  <c r="BC114" i="50160"/>
  <c r="BE109" i="50160"/>
  <c r="BF106" i="50160"/>
  <c r="BE105" i="50160"/>
  <c r="BL101" i="50160"/>
  <c r="V312" i="50160"/>
  <c r="B85" i="50160" s="1"/>
  <c r="BK140" i="50161"/>
  <c r="BL140" i="50161"/>
  <c r="BQ135" i="50161"/>
  <c r="BR135" i="50161"/>
  <c r="BK132" i="50161"/>
  <c r="BL132" i="50161"/>
  <c r="CC129" i="50161"/>
  <c r="CD129" i="50161"/>
  <c r="BK121" i="50161"/>
  <c r="BL121" i="50161"/>
  <c r="BO112" i="50161"/>
  <c r="BN112" i="50161"/>
  <c r="BB110" i="50160"/>
  <c r="BC110" i="50160"/>
  <c r="BB98" i="50160"/>
  <c r="BC98" i="50160"/>
  <c r="BB94" i="50160"/>
  <c r="BC94" i="50160"/>
  <c r="BI139" i="50161"/>
  <c r="BH139" i="50161"/>
  <c r="BI131" i="50161"/>
  <c r="BH131" i="50161"/>
  <c r="AV115" i="50160"/>
  <c r="AW115" i="50160"/>
  <c r="AV103" i="50160"/>
  <c r="AW103" i="50160"/>
  <c r="BT140" i="50161"/>
  <c r="BU140" i="50161"/>
  <c r="BT132" i="50161"/>
  <c r="BU132" i="50161"/>
  <c r="CD104" i="50161"/>
  <c r="CC104" i="50161"/>
  <c r="BE120" i="50160"/>
  <c r="BB118" i="50160"/>
  <c r="BC118" i="50160"/>
  <c r="AY113" i="50160"/>
  <c r="BL109" i="50160"/>
  <c r="BE108" i="50160"/>
  <c r="AZ107" i="50160"/>
  <c r="BF102" i="50160"/>
  <c r="AZ99" i="50160"/>
  <c r="BH97" i="50160"/>
  <c r="BI97" i="50160"/>
  <c r="AZ95" i="50160"/>
  <c r="BH93" i="50160"/>
  <c r="BI93" i="50160"/>
  <c r="BQ139" i="50161"/>
  <c r="BR139" i="50161"/>
  <c r="BK136" i="50161"/>
  <c r="BL136" i="50161"/>
  <c r="BQ131" i="50161"/>
  <c r="BR131" i="50161"/>
  <c r="BQ120" i="50161"/>
  <c r="BR120" i="50161"/>
  <c r="BN119" i="50161"/>
  <c r="BO119" i="50161"/>
  <c r="BI115" i="50161"/>
  <c r="BH115" i="50161"/>
  <c r="CC113" i="50161"/>
  <c r="CD113" i="50161"/>
  <c r="BH113" i="50160"/>
  <c r="BI113" i="50160"/>
  <c r="AV111" i="50160"/>
  <c r="AW111" i="50160"/>
  <c r="BE97" i="50160"/>
  <c r="BF97" i="50160"/>
  <c r="BE93" i="50160"/>
  <c r="BF93" i="50160"/>
  <c r="BI135" i="50161"/>
  <c r="BH135" i="50161"/>
  <c r="BW127" i="50161"/>
  <c r="BX127" i="50161"/>
  <c r="BR108" i="50161"/>
  <c r="BQ108" i="50161"/>
  <c r="AW127" i="50158"/>
  <c r="BC126" i="50158"/>
  <c r="BI125" i="50158"/>
  <c r="AW123" i="50158"/>
  <c r="BC122" i="50158"/>
  <c r="BI121" i="50158"/>
  <c r="AW119" i="50158"/>
  <c r="BC118" i="50158"/>
  <c r="BI117" i="50158"/>
  <c r="AW115" i="50158"/>
  <c r="BC114" i="50158"/>
  <c r="BI113" i="50158"/>
  <c r="AW111" i="50158"/>
  <c r="BC110" i="50158"/>
  <c r="BI109" i="50158"/>
  <c r="AW107" i="50158"/>
  <c r="BC106" i="50158"/>
  <c r="BI105" i="50158"/>
  <c r="AW103" i="50158"/>
  <c r="BC102" i="50158"/>
  <c r="BI101" i="50158"/>
  <c r="AW99" i="50158"/>
  <c r="BC98" i="50158"/>
  <c r="BI97" i="50158"/>
  <c r="AW95" i="50158"/>
  <c r="BC94" i="50158"/>
  <c r="BI93" i="50158"/>
  <c r="BL92" i="50158"/>
  <c r="BI141" i="50160"/>
  <c r="AW139" i="50160"/>
  <c r="BC138" i="50160"/>
  <c r="BI137" i="50160"/>
  <c r="AW135" i="50160"/>
  <c r="BC134" i="50160"/>
  <c r="BI133" i="50160"/>
  <c r="AW131" i="50160"/>
  <c r="BC130" i="50160"/>
  <c r="BI129" i="50160"/>
  <c r="AW127" i="50160"/>
  <c r="BC126" i="50160"/>
  <c r="BI125" i="50160"/>
  <c r="AW123" i="50160"/>
  <c r="BC122" i="50160"/>
  <c r="BH121" i="50160"/>
  <c r="BI121" i="50160"/>
  <c r="BL120" i="50160"/>
  <c r="BC120" i="50160"/>
  <c r="BI118" i="50160"/>
  <c r="BK115" i="50160"/>
  <c r="BF113" i="50160"/>
  <c r="BH109" i="50160"/>
  <c r="BI109" i="50160"/>
  <c r="BL108" i="50160"/>
  <c r="AV107" i="50160"/>
  <c r="AW107" i="50160"/>
  <c r="BK104" i="50160"/>
  <c r="BB102" i="50160"/>
  <c r="BC102" i="50160"/>
  <c r="AV99" i="50160"/>
  <c r="AW99" i="50160"/>
  <c r="AV95" i="50160"/>
  <c r="AW95" i="50160"/>
  <c r="BK92" i="50160"/>
  <c r="BL92" i="50160"/>
  <c r="BK129" i="50161"/>
  <c r="BL129" i="50161"/>
  <c r="CC111" i="50161"/>
  <c r="CD111" i="50161"/>
  <c r="AV119" i="50160"/>
  <c r="AW119" i="50160"/>
  <c r="BF110" i="50160"/>
  <c r="BH105" i="50160"/>
  <c r="BI105" i="50160"/>
  <c r="BC103" i="50160"/>
  <c r="AY102" i="50160"/>
  <c r="BF98" i="50160"/>
  <c r="BF94" i="50160"/>
  <c r="BH92" i="50160"/>
  <c r="BI92" i="50160"/>
  <c r="BT136" i="50161"/>
  <c r="BU136" i="50161"/>
  <c r="BW119" i="50161"/>
  <c r="BX119" i="50161"/>
  <c r="BR112" i="50161"/>
  <c r="BQ112" i="50161"/>
  <c r="BK102" i="50161"/>
  <c r="BL102" i="50161"/>
  <c r="CD127" i="50162"/>
  <c r="CC127" i="50162"/>
  <c r="Z42" i="50160"/>
  <c r="Z38" i="50160"/>
  <c r="Z34" i="50160"/>
  <c r="Z30" i="50160"/>
  <c r="Z26" i="50160"/>
  <c r="Z22" i="50160"/>
  <c r="Z18" i="50160"/>
  <c r="Z14" i="50160"/>
  <c r="Z10" i="50160"/>
  <c r="Z6" i="50160"/>
  <c r="BR110" i="50161"/>
  <c r="BQ110" i="50161"/>
  <c r="Z41" i="50160"/>
  <c r="Z33" i="50160"/>
  <c r="Z29" i="50160"/>
  <c r="Z25" i="50160"/>
  <c r="Z21" i="50160"/>
  <c r="Z17" i="50160"/>
  <c r="Z13" i="50160"/>
  <c r="Z9" i="50160"/>
  <c r="BX139" i="50161"/>
  <c r="BO139" i="50161"/>
  <c r="CD138" i="50161"/>
  <c r="BX135" i="50161"/>
  <c r="BO135" i="50161"/>
  <c r="CD134" i="50161"/>
  <c r="BX131" i="50161"/>
  <c r="BO131" i="50161"/>
  <c r="CD130" i="50161"/>
  <c r="BX128" i="50161"/>
  <c r="BO128" i="50161"/>
  <c r="CD122" i="50161"/>
  <c r="BX120" i="50161"/>
  <c r="BO120" i="50161"/>
  <c r="CD114" i="50161"/>
  <c r="CA110" i="50161"/>
  <c r="BZ110" i="50161"/>
  <c r="BN108" i="50161"/>
  <c r="BR105" i="50161"/>
  <c r="BQ105" i="50161"/>
  <c r="BZ104" i="50161"/>
  <c r="CC103" i="50161"/>
  <c r="BL130" i="50161"/>
  <c r="BR129" i="50161"/>
  <c r="BH124" i="50161"/>
  <c r="BL122" i="50161"/>
  <c r="BR121" i="50161"/>
  <c r="BH116" i="50161"/>
  <c r="BL114" i="50161"/>
  <c r="BR113" i="50161"/>
  <c r="BQ113" i="50161"/>
  <c r="BX110" i="50161"/>
  <c r="CA108" i="50161"/>
  <c r="BZ108" i="50161"/>
  <c r="BN105" i="50161"/>
  <c r="BO105" i="50161"/>
  <c r="CD106" i="50162"/>
  <c r="CC106" i="50162"/>
  <c r="BQ103" i="50162"/>
  <c r="BR103" i="50162"/>
  <c r="CC102" i="50162"/>
  <c r="CD102" i="50162"/>
  <c r="BW98" i="50162"/>
  <c r="BX98" i="50162"/>
  <c r="BK111" i="50161"/>
  <c r="BL111" i="50161"/>
  <c r="CA105" i="50161"/>
  <c r="BZ105" i="50161"/>
  <c r="CD98" i="50161"/>
  <c r="CC98" i="50161"/>
  <c r="CC93" i="50161"/>
  <c r="CD93" i="50161"/>
  <c r="BT119" i="50162"/>
  <c r="BU119" i="50162"/>
  <c r="BH130" i="50161"/>
  <c r="BL128" i="50161"/>
  <c r="BR127" i="50161"/>
  <c r="BH122" i="50161"/>
  <c r="BL120" i="50161"/>
  <c r="BR119" i="50161"/>
  <c r="BH114" i="50161"/>
  <c r="BK109" i="50161"/>
  <c r="BL109" i="50161"/>
  <c r="CA100" i="50161"/>
  <c r="BZ100" i="50161"/>
  <c r="BN100" i="50161"/>
  <c r="BO100" i="50161"/>
  <c r="BZ99" i="50161"/>
  <c r="BZ98" i="50161"/>
  <c r="BZ93" i="50161"/>
  <c r="BN99" i="50161"/>
  <c r="BO99" i="50161"/>
  <c r="BN98" i="50161"/>
  <c r="BO98" i="50161"/>
  <c r="BN106" i="50161"/>
  <c r="BO106" i="50161"/>
  <c r="BN101" i="50161"/>
  <c r="BO101" i="50161"/>
  <c r="CC92" i="50161"/>
  <c r="CD92" i="50161"/>
  <c r="BI141" i="50162"/>
  <c r="BL131" i="50162"/>
  <c r="BH121" i="50162"/>
  <c r="BI121" i="50162"/>
  <c r="BR117" i="50162"/>
  <c r="BQ117" i="50162"/>
  <c r="BT114" i="50162"/>
  <c r="BU114" i="50162"/>
  <c r="BH114" i="50162"/>
  <c r="BI114" i="50162"/>
  <c r="BR110" i="50162"/>
  <c r="BQ110" i="50162"/>
  <c r="BQ97" i="50162"/>
  <c r="BR97" i="50162"/>
  <c r="BR129" i="50162"/>
  <c r="BQ129" i="50162"/>
  <c r="BT126" i="50162"/>
  <c r="BU126" i="50162"/>
  <c r="BH126" i="50162"/>
  <c r="BI126" i="50162"/>
  <c r="CD115" i="50162"/>
  <c r="CC115" i="50162"/>
  <c r="CD109" i="50162"/>
  <c r="CC109" i="50162"/>
  <c r="BO106" i="50162"/>
  <c r="BN106" i="50162"/>
  <c r="BR102" i="50162"/>
  <c r="BQ102" i="50162"/>
  <c r="BZ141" i="50162"/>
  <c r="CA141" i="50162"/>
  <c r="BL135" i="50162"/>
  <c r="CD132" i="50162"/>
  <c r="CC132" i="50162"/>
  <c r="BH125" i="50162"/>
  <c r="BI125" i="50162"/>
  <c r="BR121" i="50162"/>
  <c r="BQ121" i="50162"/>
  <c r="BT118" i="50162"/>
  <c r="BU118" i="50162"/>
  <c r="BH118" i="50162"/>
  <c r="BI118" i="50162"/>
  <c r="BN112" i="50162"/>
  <c r="BO112" i="50162"/>
  <c r="CC107" i="50162"/>
  <c r="CD107" i="50162"/>
  <c r="AH11" i="50162"/>
  <c r="AH19" i="50162"/>
  <c r="AB8" i="50162"/>
  <c r="AB12" i="50162"/>
  <c r="AB16" i="50162"/>
  <c r="AB20" i="50162"/>
  <c r="AB24" i="50162"/>
  <c r="AB28" i="50162"/>
  <c r="AB32" i="50162"/>
  <c r="AB36" i="50162"/>
  <c r="AB40" i="50162"/>
  <c r="AB44" i="50162"/>
  <c r="AH6" i="50162"/>
  <c r="AH14" i="50162"/>
  <c r="AF409" i="50162"/>
  <c r="AH5" i="50162"/>
  <c r="AB5" i="50162"/>
  <c r="AB9" i="50162"/>
  <c r="AB13" i="50162"/>
  <c r="AB17" i="50162"/>
  <c r="AB21" i="50162"/>
  <c r="AB25" i="50162"/>
  <c r="AB29" i="50162"/>
  <c r="AB33" i="50162"/>
  <c r="AB37" i="50162"/>
  <c r="AB41" i="50162"/>
  <c r="AH12" i="50162"/>
  <c r="AH20" i="50162"/>
  <c r="AH28" i="50162"/>
  <c r="AB6" i="50162"/>
  <c r="AB10" i="50162"/>
  <c r="AB14" i="50162"/>
  <c r="AB18" i="50162"/>
  <c r="AB22" i="50162"/>
  <c r="AB26" i="50162"/>
  <c r="AB30" i="50162"/>
  <c r="AB34" i="50162"/>
  <c r="AB38" i="50162"/>
  <c r="AB42" i="50162"/>
  <c r="AH10" i="50162"/>
  <c r="AB7" i="50162"/>
  <c r="AB11" i="50162"/>
  <c r="AB15" i="50162"/>
  <c r="AB19" i="50162"/>
  <c r="AB23" i="50162"/>
  <c r="AB27" i="50162"/>
  <c r="AB31" i="50162"/>
  <c r="AB35" i="50162"/>
  <c r="AB39" i="50162"/>
  <c r="AB43" i="50162"/>
  <c r="AH8" i="50162"/>
  <c r="AH16" i="50162"/>
  <c r="AH24" i="50162"/>
  <c r="AH32" i="50162"/>
  <c r="AH13" i="50162"/>
  <c r="AH27" i="50162"/>
  <c r="AH39" i="50162"/>
  <c r="AH7" i="50162"/>
  <c r="AH31" i="50162"/>
  <c r="AH34" i="50162"/>
  <c r="AH42" i="50162"/>
  <c r="AH15" i="50162"/>
  <c r="AH37" i="50162"/>
  <c r="AH9" i="50162"/>
  <c r="AH21" i="50162"/>
  <c r="AH40" i="50162"/>
  <c r="AH17" i="50162"/>
  <c r="AH25" i="50162"/>
  <c r="AH35" i="50162"/>
  <c r="AH43" i="50162"/>
  <c r="AG409" i="50162"/>
  <c r="AH18" i="50162"/>
  <c r="AH26" i="50162"/>
  <c r="AH33" i="50162"/>
  <c r="AH41" i="50162"/>
  <c r="AH22" i="50162"/>
  <c r="AH29" i="50162"/>
  <c r="AH23" i="50162"/>
  <c r="AH30" i="50162"/>
  <c r="AH36" i="50162"/>
  <c r="AH44" i="50162"/>
  <c r="AH38" i="50162"/>
  <c r="BN104" i="50161"/>
  <c r="BO104" i="50161"/>
  <c r="BN97" i="50161"/>
  <c r="BO97" i="50161"/>
  <c r="BN96" i="50161"/>
  <c r="BO96" i="50161"/>
  <c r="BN95" i="50161"/>
  <c r="BO95" i="50161"/>
  <c r="BT130" i="50162"/>
  <c r="BU130" i="50162"/>
  <c r="BH130" i="50162"/>
  <c r="BI130" i="50162"/>
  <c r="BU123" i="50162"/>
  <c r="CD119" i="50162"/>
  <c r="CC119" i="50162"/>
  <c r="BL115" i="50162"/>
  <c r="BL112" i="50162"/>
  <c r="BK112" i="50162"/>
  <c r="BZ107" i="50162"/>
  <c r="CA107" i="50162"/>
  <c r="BR104" i="50162"/>
  <c r="BQ104" i="50162"/>
  <c r="BK99" i="50162"/>
  <c r="BL99" i="50162"/>
  <c r="BI93" i="50162"/>
  <c r="BH93" i="50162"/>
  <c r="BL127" i="50162"/>
  <c r="BH117" i="50162"/>
  <c r="BI117" i="50162"/>
  <c r="BR113" i="50162"/>
  <c r="BQ113" i="50162"/>
  <c r="CD104" i="50162"/>
  <c r="CC104" i="50162"/>
  <c r="BQ100" i="50162"/>
  <c r="BR100" i="50162"/>
  <c r="BX111" i="50161"/>
  <c r="BN111" i="50161"/>
  <c r="BX109" i="50161"/>
  <c r="BN109" i="50161"/>
  <c r="BX107" i="50161"/>
  <c r="BN107" i="50161"/>
  <c r="BO107" i="50161"/>
  <c r="BZ106" i="50161"/>
  <c r="CC105" i="50161"/>
  <c r="BN103" i="50161"/>
  <c r="BO103" i="50161"/>
  <c r="BZ102" i="50161"/>
  <c r="CC100" i="50161"/>
  <c r="CD136" i="50162"/>
  <c r="CC136" i="50162"/>
  <c r="BH129" i="50162"/>
  <c r="BI129" i="50162"/>
  <c r="BR125" i="50162"/>
  <c r="BQ125" i="50162"/>
  <c r="BT122" i="50162"/>
  <c r="BU122" i="50162"/>
  <c r="BH122" i="50162"/>
  <c r="BI122" i="50162"/>
  <c r="CA108" i="50162"/>
  <c r="BZ108" i="50162"/>
  <c r="BN102" i="50161"/>
  <c r="BO102" i="50161"/>
  <c r="CD123" i="50162"/>
  <c r="CC123" i="50162"/>
  <c r="BW108" i="50162"/>
  <c r="BX108" i="50162"/>
  <c r="AD23" i="50161"/>
  <c r="BO110" i="50162"/>
  <c r="BN110" i="50162"/>
  <c r="CA104" i="50162"/>
  <c r="BZ104" i="50162"/>
  <c r="CC103" i="50162"/>
  <c r="CD103" i="50162"/>
  <c r="CC99" i="50162"/>
  <c r="CD99" i="50162"/>
  <c r="BH99" i="50162"/>
  <c r="BI99" i="50162"/>
  <c r="BK92" i="50162"/>
  <c r="BL92" i="50162"/>
  <c r="BO102" i="50162"/>
  <c r="BN102" i="50162"/>
  <c r="CC92" i="50162"/>
  <c r="CD92" i="50162"/>
  <c r="BX102" i="50161"/>
  <c r="BX101" i="50161"/>
  <c r="BX100" i="50161"/>
  <c r="BX99" i="50161"/>
  <c r="BX98" i="50161"/>
  <c r="BX97" i="50161"/>
  <c r="BX96" i="50161"/>
  <c r="BX95" i="50161"/>
  <c r="BX94" i="50161"/>
  <c r="BX93" i="50161"/>
  <c r="BX92" i="50161"/>
  <c r="BW130" i="50162"/>
  <c r="BW126" i="50162"/>
  <c r="BW122" i="50162"/>
  <c r="BW118" i="50162"/>
  <c r="BW114" i="50162"/>
  <c r="BU111" i="50162"/>
  <c r="BT111" i="50162"/>
  <c r="BH111" i="50162"/>
  <c r="BW110" i="50162"/>
  <c r="BX110" i="50162"/>
  <c r="BH108" i="50162"/>
  <c r="BR105" i="50162"/>
  <c r="BX103" i="50162"/>
  <c r="BK103" i="50162"/>
  <c r="BT101" i="50162"/>
  <c r="BU101" i="50162"/>
  <c r="CD98" i="50162"/>
  <c r="BR98" i="50162"/>
  <c r="BQ98" i="50162"/>
  <c r="BW97" i="50162"/>
  <c r="BK97" i="50162"/>
  <c r="BK95" i="50162"/>
  <c r="BZ94" i="50162"/>
  <c r="CA94" i="50162"/>
  <c r="BN94" i="50162"/>
  <c r="BR92" i="50162"/>
  <c r="BO94" i="50161"/>
  <c r="BO93" i="50161"/>
  <c r="BO92" i="50161"/>
  <c r="BO139" i="50162"/>
  <c r="BX137" i="50162"/>
  <c r="BO137" i="50162"/>
  <c r="BO135" i="50162"/>
  <c r="BX133" i="50162"/>
  <c r="BO133" i="50162"/>
  <c r="BO131" i="50162"/>
  <c r="CA128" i="50162"/>
  <c r="BR128" i="50162"/>
  <c r="CA124" i="50162"/>
  <c r="BR124" i="50162"/>
  <c r="CA120" i="50162"/>
  <c r="BR120" i="50162"/>
  <c r="CA116" i="50162"/>
  <c r="BR116" i="50162"/>
  <c r="BU107" i="50162"/>
  <c r="BT107" i="50162"/>
  <c r="BW106" i="50162"/>
  <c r="BX106" i="50162"/>
  <c r="BQ101" i="50162"/>
  <c r="BR101" i="50162"/>
  <c r="BO98" i="50162"/>
  <c r="BN98" i="50162"/>
  <c r="BU95" i="50162"/>
  <c r="BT95" i="50162"/>
  <c r="BO127" i="50162"/>
  <c r="BO123" i="50162"/>
  <c r="BO119" i="50162"/>
  <c r="BO115" i="50162"/>
  <c r="CC108" i="50162"/>
  <c r="BQ108" i="50162"/>
  <c r="BR107" i="50162"/>
  <c r="BT106" i="50162"/>
  <c r="BU103" i="50162"/>
  <c r="BT103" i="50162"/>
  <c r="BH103" i="50162"/>
  <c r="BI103" i="50162"/>
  <c r="BO101" i="50162"/>
  <c r="CD100" i="50162"/>
  <c r="CC100" i="50162"/>
  <c r="BI97" i="50162"/>
  <c r="BH97" i="50162"/>
  <c r="BN96" i="50162"/>
  <c r="BO96" i="50162"/>
  <c r="CD95" i="50162"/>
  <c r="CC111" i="50162"/>
  <c r="CD111" i="50162"/>
  <c r="BK93" i="50162"/>
  <c r="BL93" i="50162"/>
  <c r="BN100" i="50162"/>
  <c r="BO100" i="50162"/>
  <c r="BZ98" i="50162"/>
  <c r="CA98" i="50162"/>
  <c r="AD7" i="50161"/>
  <c r="AD10" i="50161"/>
  <c r="BT97" i="50162"/>
  <c r="BU97" i="50162"/>
  <c r="AD43" i="50161"/>
  <c r="Z308" i="50160"/>
  <c r="AA308" i="50160"/>
  <c r="AA309" i="50160"/>
  <c r="Z309" i="50160"/>
  <c r="AD39" i="50161"/>
  <c r="BH95" i="50162"/>
  <c r="BI95" i="50162"/>
  <c r="Z309" i="50158"/>
  <c r="AA309" i="50158"/>
  <c r="AG415" i="50162"/>
  <c r="AG411" i="50162"/>
  <c r="AD27" i="50161"/>
  <c r="AG11" i="50161"/>
  <c r="AG19" i="50161"/>
  <c r="AG27" i="50161"/>
  <c r="AG35" i="50161"/>
  <c r="AG43" i="50161"/>
  <c r="AF408" i="50161"/>
  <c r="AC8" i="50161"/>
  <c r="AE8" i="50161" s="1"/>
  <c r="AC12" i="50161"/>
  <c r="AE12" i="50161" s="1"/>
  <c r="AC16" i="50161"/>
  <c r="AE16" i="50161" s="1"/>
  <c r="AC20" i="50161"/>
  <c r="AE20" i="50161" s="1"/>
  <c r="AC24" i="50161"/>
  <c r="AE24" i="50161" s="1"/>
  <c r="AC28" i="50161"/>
  <c r="AE28" i="50161" s="1"/>
  <c r="AC32" i="50161"/>
  <c r="AE32" i="50161" s="1"/>
  <c r="AC36" i="50161"/>
  <c r="AE36" i="50161" s="1"/>
  <c r="AC40" i="50161"/>
  <c r="AE40" i="50161" s="1"/>
  <c r="AC44" i="50161"/>
  <c r="AE44" i="50161" s="1"/>
  <c r="AG6" i="50161"/>
  <c r="AG14" i="50161"/>
  <c r="AG22" i="50161"/>
  <c r="AG30" i="50161"/>
  <c r="AG38" i="50161"/>
  <c r="AG9" i="50161"/>
  <c r="AG17" i="50161"/>
  <c r="AG25" i="50161"/>
  <c r="AG33" i="50161"/>
  <c r="AG41" i="50161"/>
  <c r="AG408" i="50161"/>
  <c r="AC5" i="50161"/>
  <c r="AE5" i="50161" s="1"/>
  <c r="AC9" i="50161"/>
  <c r="AE9" i="50161" s="1"/>
  <c r="AC13" i="50161"/>
  <c r="AE13" i="50161" s="1"/>
  <c r="AC17" i="50161"/>
  <c r="AE17" i="50161" s="1"/>
  <c r="AC21" i="50161"/>
  <c r="AE21" i="50161" s="1"/>
  <c r="AC25" i="50161"/>
  <c r="AE25" i="50161" s="1"/>
  <c r="AC29" i="50161"/>
  <c r="AE29" i="50161" s="1"/>
  <c r="AC33" i="50161"/>
  <c r="AE33" i="50161" s="1"/>
  <c r="AC37" i="50161"/>
  <c r="AE37" i="50161" s="1"/>
  <c r="AC41" i="50161"/>
  <c r="AE41" i="50161" s="1"/>
  <c r="AG12" i="50161"/>
  <c r="AG20" i="50161"/>
  <c r="AG28" i="50161"/>
  <c r="AG36" i="50161"/>
  <c r="AG44" i="50161"/>
  <c r="AC6" i="50161"/>
  <c r="AC10" i="50161"/>
  <c r="AE10" i="50161" s="1"/>
  <c r="AC14" i="50161"/>
  <c r="AE14" i="50161" s="1"/>
  <c r="AC18" i="50161"/>
  <c r="AE18" i="50161" s="1"/>
  <c r="AC22" i="50161"/>
  <c r="AC26" i="50161"/>
  <c r="AE26" i="50161" s="1"/>
  <c r="AC30" i="50161"/>
  <c r="AE30" i="50161" s="1"/>
  <c r="AC34" i="50161"/>
  <c r="AE34" i="50161" s="1"/>
  <c r="AC38" i="50161"/>
  <c r="AC42" i="50161"/>
  <c r="AE42" i="50161" s="1"/>
  <c r="AG10" i="50161"/>
  <c r="AG18" i="50161"/>
  <c r="AG26" i="50161"/>
  <c r="AG34" i="50161"/>
  <c r="AG42" i="50161"/>
  <c r="AC7" i="50161"/>
  <c r="AE7" i="50161" s="1"/>
  <c r="AC11" i="50161"/>
  <c r="AE11" i="50161" s="1"/>
  <c r="AC15" i="50161"/>
  <c r="AE15" i="50161" s="1"/>
  <c r="AC19" i="50161"/>
  <c r="AE19" i="50161" s="1"/>
  <c r="AC23" i="50161"/>
  <c r="AE23" i="50161" s="1"/>
  <c r="AC27" i="50161"/>
  <c r="AE27" i="50161" s="1"/>
  <c r="AC31" i="50161"/>
  <c r="AE31" i="50161" s="1"/>
  <c r="AC35" i="50161"/>
  <c r="AE35" i="50161" s="1"/>
  <c r="AC39" i="50161"/>
  <c r="AE39" i="50161" s="1"/>
  <c r="AC43" i="50161"/>
  <c r="AE43" i="50161" s="1"/>
  <c r="AG8" i="50161"/>
  <c r="AG16" i="50161"/>
  <c r="AG24" i="50161"/>
  <c r="AG32" i="50161"/>
  <c r="AG40" i="50161"/>
  <c r="AA308" i="50158"/>
  <c r="AC29" i="50162"/>
  <c r="AE29" i="50162" s="1"/>
  <c r="AC13" i="50162"/>
  <c r="AE13" i="50162" s="1"/>
  <c r="AG37" i="50161"/>
  <c r="AG5" i="50161"/>
  <c r="AB42" i="50161"/>
  <c r="AB26" i="50161"/>
  <c r="AG13" i="50161"/>
  <c r="AB8" i="50161"/>
  <c r="AB12" i="50161"/>
  <c r="AB16" i="50161"/>
  <c r="AB20" i="50161"/>
  <c r="AB24" i="50161"/>
  <c r="AB28" i="50161"/>
  <c r="AB32" i="50161"/>
  <c r="AB36" i="50161"/>
  <c r="AB40" i="50161"/>
  <c r="AB44" i="50161"/>
  <c r="AH6" i="50161"/>
  <c r="AH14" i="50161"/>
  <c r="AH22" i="50161"/>
  <c r="AH30" i="50161"/>
  <c r="AH38" i="50161"/>
  <c r="AF409" i="50161"/>
  <c r="AH5" i="50161"/>
  <c r="AH9" i="50161"/>
  <c r="AH17" i="50161"/>
  <c r="AH25" i="50161"/>
  <c r="AH33" i="50161"/>
  <c r="AH41" i="50161"/>
  <c r="AB5" i="50161"/>
  <c r="AB9" i="50161"/>
  <c r="AB13" i="50161"/>
  <c r="AB17" i="50161"/>
  <c r="AB21" i="50161"/>
  <c r="AB25" i="50161"/>
  <c r="AB29" i="50161"/>
  <c r="AB33" i="50161"/>
  <c r="AB37" i="50161"/>
  <c r="AB41" i="50161"/>
  <c r="AH12" i="50161"/>
  <c r="AH20" i="50161"/>
  <c r="AH28" i="50161"/>
  <c r="AH36" i="50161"/>
  <c r="AH44" i="50161"/>
  <c r="AG409" i="50161"/>
  <c r="AH7" i="50161"/>
  <c r="AH15" i="50161"/>
  <c r="AH23" i="50161"/>
  <c r="AH31" i="50161"/>
  <c r="AH39" i="50161"/>
  <c r="AH13" i="50161"/>
  <c r="AH21" i="50161"/>
  <c r="AH29" i="50161"/>
  <c r="AH37" i="50161"/>
  <c r="AH11" i="50161"/>
  <c r="AH19" i="50161"/>
  <c r="AH27" i="50161"/>
  <c r="AH35" i="50161"/>
  <c r="AH43" i="50161"/>
  <c r="AG23" i="50161"/>
  <c r="AB35" i="50161"/>
  <c r="AB19" i="50161"/>
  <c r="AC5" i="50162"/>
  <c r="AE5" i="50162" s="1"/>
  <c r="AG21" i="50161"/>
  <c r="AB34" i="50161"/>
  <c r="AB18" i="50161"/>
  <c r="C42" i="50163"/>
  <c r="I17" i="50163" s="1"/>
  <c r="N14" i="50163"/>
  <c r="C43" i="50163" s="1"/>
  <c r="G19" i="50163" s="1"/>
  <c r="AC7" i="50162"/>
  <c r="AE7" i="50162" s="1"/>
  <c r="AC11" i="50162"/>
  <c r="AE11" i="50162" s="1"/>
  <c r="AC15" i="50162"/>
  <c r="AE15" i="50162" s="1"/>
  <c r="AC19" i="50162"/>
  <c r="AE19" i="50162" s="1"/>
  <c r="AC23" i="50162"/>
  <c r="AE23" i="50162" s="1"/>
  <c r="AC27" i="50162"/>
  <c r="AE27" i="50162" s="1"/>
  <c r="AC31" i="50162"/>
  <c r="AE31" i="50162" s="1"/>
  <c r="AC35" i="50162"/>
  <c r="AE35" i="50162" s="1"/>
  <c r="AC39" i="50162"/>
  <c r="AE39" i="50162" s="1"/>
  <c r="AC43" i="50162"/>
  <c r="AE43" i="50162" s="1"/>
  <c r="AG8" i="50162"/>
  <c r="AG16" i="50162"/>
  <c r="AG11" i="50162"/>
  <c r="AG19" i="50162"/>
  <c r="AF408" i="50162"/>
  <c r="AC8" i="50162"/>
  <c r="AE8" i="50162" s="1"/>
  <c r="AC12" i="50162"/>
  <c r="AE12" i="50162" s="1"/>
  <c r="AC16" i="50162"/>
  <c r="AE16" i="50162" s="1"/>
  <c r="AC20" i="50162"/>
  <c r="AE20" i="50162" s="1"/>
  <c r="AC24" i="50162"/>
  <c r="AE24" i="50162" s="1"/>
  <c r="AC28" i="50162"/>
  <c r="AE28" i="50162" s="1"/>
  <c r="AC32" i="50162"/>
  <c r="AE32" i="50162" s="1"/>
  <c r="AC36" i="50162"/>
  <c r="AE36" i="50162" s="1"/>
  <c r="AC40" i="50162"/>
  <c r="AE40" i="50162" s="1"/>
  <c r="AC44" i="50162"/>
  <c r="AE44" i="50162" s="1"/>
  <c r="AG9" i="50162"/>
  <c r="AG17" i="50162"/>
  <c r="AG25" i="50162"/>
  <c r="AG7" i="50162"/>
  <c r="AG15" i="50162"/>
  <c r="AG5" i="50162"/>
  <c r="AG13" i="50162"/>
  <c r="AG21" i="50162"/>
  <c r="AG29" i="50162"/>
  <c r="AG31" i="50161"/>
  <c r="AB31" i="50161"/>
  <c r="AB15" i="50161"/>
  <c r="AC33" i="50162"/>
  <c r="AE33" i="50162" s="1"/>
  <c r="AC17" i="50162"/>
  <c r="AE17" i="50162" s="1"/>
  <c r="AG29" i="50161"/>
  <c r="AB30" i="50161"/>
  <c r="AB14" i="50161"/>
  <c r="N17" i="50163"/>
  <c r="C46" i="50163" s="1"/>
  <c r="E48" i="50163" s="1"/>
  <c r="C32" i="50163"/>
  <c r="E13" i="50163" s="1"/>
  <c r="N10" i="50163"/>
  <c r="C36" i="50163" s="1"/>
  <c r="E38" i="50163" s="1"/>
  <c r="Z36" i="50160" l="1"/>
  <c r="X36" i="50160"/>
  <c r="P8" i="267"/>
  <c r="Z32" i="50160"/>
  <c r="X32" i="50160"/>
  <c r="Z31" i="50160"/>
  <c r="X31" i="50160"/>
  <c r="Z35" i="50160"/>
  <c r="X35" i="50160"/>
  <c r="P30" i="7648"/>
  <c r="O30" i="7648"/>
  <c r="O25" i="7648"/>
  <c r="P25" i="7648"/>
  <c r="P38" i="7648"/>
  <c r="P29" i="7648"/>
  <c r="O39" i="7648"/>
  <c r="P39" i="7648"/>
  <c r="O10" i="7648"/>
  <c r="P10" i="7648"/>
  <c r="Z27" i="50160"/>
  <c r="X27" i="50160"/>
  <c r="P18" i="7648"/>
  <c r="O18" i="7648"/>
  <c r="P21" i="7648"/>
  <c r="O21" i="7648"/>
  <c r="O16" i="7648"/>
  <c r="P16" i="7648"/>
  <c r="Q90" i="7648"/>
  <c r="Q86" i="7648"/>
  <c r="P97" i="7648" s="1"/>
  <c r="Z40" i="50160"/>
  <c r="X40" i="50160"/>
  <c r="P32" i="7648"/>
  <c r="O32" i="7648"/>
  <c r="L86" i="7648"/>
  <c r="Z20" i="50160"/>
  <c r="X20" i="50160"/>
  <c r="Z24" i="50160"/>
  <c r="X24" i="50160"/>
  <c r="P9" i="7648"/>
  <c r="L89" i="7648" s="1"/>
  <c r="B61" i="7648" s="1"/>
  <c r="O9" i="7648"/>
  <c r="P12" i="7648"/>
  <c r="O12" i="7648"/>
  <c r="P85" i="267"/>
  <c r="P89" i="267"/>
  <c r="P35" i="50149"/>
  <c r="P46" i="50149" s="1"/>
  <c r="H42" i="50149" s="1"/>
  <c r="Z16" i="50160"/>
  <c r="X16" i="50160"/>
  <c r="Z15" i="50160"/>
  <c r="X15" i="50160"/>
  <c r="Z19" i="50160"/>
  <c r="X19" i="50160"/>
  <c r="O36" i="7648"/>
  <c r="P36" i="7648"/>
  <c r="O26" i="7648"/>
  <c r="P26" i="7648"/>
  <c r="O7" i="7648"/>
  <c r="P7" i="7648"/>
  <c r="O42" i="7648"/>
  <c r="P42" i="7648"/>
  <c r="Z37" i="50160"/>
  <c r="Z11" i="50160"/>
  <c r="X11" i="50160"/>
  <c r="O17" i="7648"/>
  <c r="L87" i="7648" s="1"/>
  <c r="P17" i="7648"/>
  <c r="O33" i="7648"/>
  <c r="P33" i="7648"/>
  <c r="O34" i="7648"/>
  <c r="P34" i="7648"/>
  <c r="Z8" i="50160"/>
  <c r="X8" i="50160"/>
  <c r="P22" i="7648"/>
  <c r="O22" i="7648"/>
  <c r="O8" i="7648"/>
  <c r="P8" i="7648"/>
  <c r="O24" i="7648"/>
  <c r="P24" i="7648"/>
  <c r="P20" i="7648"/>
  <c r="Z43" i="50160"/>
  <c r="X43" i="50160"/>
  <c r="Z5" i="50160"/>
  <c r="V314" i="50160" s="1"/>
  <c r="B87" i="50160" s="1"/>
  <c r="X5" i="50160"/>
  <c r="P41" i="7648"/>
  <c r="O41" i="7648"/>
  <c r="P13" i="7648"/>
  <c r="O13" i="7648"/>
  <c r="O44" i="7648"/>
  <c r="P44" i="7648"/>
  <c r="O15" i="7648"/>
  <c r="P15" i="7648"/>
  <c r="P6" i="7648"/>
  <c r="AD44" i="50161"/>
  <c r="AF44" i="50161"/>
  <c r="P17" i="267"/>
  <c r="N17" i="267"/>
  <c r="N30" i="267"/>
  <c r="P30" i="267"/>
  <c r="AF37" i="50162"/>
  <c r="AD37" i="50162"/>
  <c r="P15" i="267"/>
  <c r="O15" i="267"/>
  <c r="P6" i="50144"/>
  <c r="N6" i="50144"/>
  <c r="P34" i="267"/>
  <c r="N34" i="267"/>
  <c r="AF18" i="50161"/>
  <c r="AD18" i="50161"/>
  <c r="AF25" i="50161"/>
  <c r="AD25" i="50161"/>
  <c r="AD20" i="50161"/>
  <c r="AF20" i="50161"/>
  <c r="AD19" i="50162"/>
  <c r="AF19" i="50162"/>
  <c r="AD30" i="50162"/>
  <c r="AF30" i="50162"/>
  <c r="AD17" i="50162"/>
  <c r="AF17" i="50162"/>
  <c r="AD44" i="50162"/>
  <c r="AF44" i="50162"/>
  <c r="AD12" i="50162"/>
  <c r="AF12" i="50162"/>
  <c r="P9" i="267"/>
  <c r="N9" i="267"/>
  <c r="P41" i="267"/>
  <c r="N41" i="267"/>
  <c r="N22" i="267"/>
  <c r="P22" i="267"/>
  <c r="Q86" i="267"/>
  <c r="P97" i="267" s="1"/>
  <c r="Q90" i="267"/>
  <c r="P43" i="267"/>
  <c r="P10" i="50149"/>
  <c r="B69" i="7648"/>
  <c r="P5" i="50149"/>
  <c r="AD31" i="50161"/>
  <c r="AF31" i="50161"/>
  <c r="AD12" i="50161"/>
  <c r="AF12" i="50161"/>
  <c r="AF39" i="50161"/>
  <c r="AF22" i="50162"/>
  <c r="AD22" i="50162"/>
  <c r="H43" i="50144"/>
  <c r="AF8" i="50161"/>
  <c r="AD8" i="50161"/>
  <c r="AD39" i="50162"/>
  <c r="AF39" i="50162"/>
  <c r="AF5" i="50162"/>
  <c r="AD5" i="50162"/>
  <c r="AD15" i="50161"/>
  <c r="AF15" i="50161"/>
  <c r="AF34" i="50161"/>
  <c r="AD34" i="50161"/>
  <c r="AD21" i="50161"/>
  <c r="AF21" i="50161"/>
  <c r="AF16" i="50161"/>
  <c r="AD16" i="50161"/>
  <c r="AF38" i="50161"/>
  <c r="AE38" i="50161"/>
  <c r="AF6" i="50161"/>
  <c r="AE6" i="50161"/>
  <c r="AB412" i="50161" s="1"/>
  <c r="B163" i="50161" s="1"/>
  <c r="AG411" i="50161"/>
  <c r="AG415" i="50161"/>
  <c r="AF43" i="50161"/>
  <c r="AD15" i="50162"/>
  <c r="AF15" i="50162"/>
  <c r="AD26" i="50162"/>
  <c r="AF26" i="50162"/>
  <c r="AD13" i="50162"/>
  <c r="AF13" i="50162"/>
  <c r="AD40" i="50162"/>
  <c r="AF40" i="50162"/>
  <c r="AD8" i="50162"/>
  <c r="AF8" i="50162"/>
  <c r="P13" i="267"/>
  <c r="N13" i="267"/>
  <c r="O7" i="267"/>
  <c r="P7" i="267"/>
  <c r="O39" i="267"/>
  <c r="P39" i="267"/>
  <c r="Q89" i="7648"/>
  <c r="Q85" i="7648"/>
  <c r="N26" i="267"/>
  <c r="P26" i="267"/>
  <c r="P20" i="267"/>
  <c r="P40" i="50149"/>
  <c r="P48" i="50149" s="1"/>
  <c r="P36" i="50149"/>
  <c r="P47" i="50149" s="1"/>
  <c r="P40" i="267"/>
  <c r="P12" i="267"/>
  <c r="AD43" i="50162"/>
  <c r="AF43" i="50162"/>
  <c r="AD9" i="50162"/>
  <c r="AF9" i="50162"/>
  <c r="AB412" i="50162"/>
  <c r="B163" i="50162" s="1"/>
  <c r="AF40" i="50161"/>
  <c r="AD40" i="50161"/>
  <c r="AD7" i="50162"/>
  <c r="AF7" i="50162"/>
  <c r="AD32" i="50162"/>
  <c r="AF32" i="50162"/>
  <c r="P5" i="267"/>
  <c r="N5" i="267"/>
  <c r="P7" i="50144"/>
  <c r="N7" i="50144"/>
  <c r="AD14" i="50161"/>
  <c r="AF14" i="50161"/>
  <c r="AF41" i="50161"/>
  <c r="AD41" i="50161"/>
  <c r="AF9" i="50161"/>
  <c r="AD9" i="50161"/>
  <c r="AF414" i="50161"/>
  <c r="AF410" i="50161"/>
  <c r="AD36" i="50161"/>
  <c r="AF36" i="50161"/>
  <c r="Z310" i="50160"/>
  <c r="Z314" i="50160"/>
  <c r="AD35" i="50162"/>
  <c r="AF35" i="50162"/>
  <c r="AD14" i="50162"/>
  <c r="AF14" i="50162"/>
  <c r="AD33" i="50162"/>
  <c r="AF33" i="50162"/>
  <c r="AD28" i="50162"/>
  <c r="AF28" i="50162"/>
  <c r="P25" i="267"/>
  <c r="N25" i="267"/>
  <c r="N9" i="50149"/>
  <c r="P9" i="50149"/>
  <c r="P10" i="50144"/>
  <c r="N10" i="50144"/>
  <c r="N6" i="267"/>
  <c r="P6" i="267"/>
  <c r="N38" i="267"/>
  <c r="P38" i="267"/>
  <c r="B84" i="50158"/>
  <c r="V313" i="50158"/>
  <c r="B86" i="50158" s="1"/>
  <c r="AF11" i="50161"/>
  <c r="P27" i="267"/>
  <c r="P35" i="267"/>
  <c r="P11" i="267"/>
  <c r="AF17" i="50161"/>
  <c r="AD17" i="50161"/>
  <c r="AD11" i="50162"/>
  <c r="AF11" i="50162"/>
  <c r="AD36" i="50162"/>
  <c r="AF36" i="50162"/>
  <c r="AF18" i="50162"/>
  <c r="AD18" i="50162"/>
  <c r="AD30" i="50161"/>
  <c r="AF30" i="50161"/>
  <c r="AF19" i="50161"/>
  <c r="AD19" i="50161"/>
  <c r="AD37" i="50161"/>
  <c r="AF37" i="50161"/>
  <c r="AD5" i="50161"/>
  <c r="AF5" i="50161"/>
  <c r="AF32" i="50161"/>
  <c r="AD32" i="50161"/>
  <c r="AF26" i="50161"/>
  <c r="AD26" i="50161"/>
  <c r="AE22" i="50161"/>
  <c r="AF22" i="50161"/>
  <c r="AF27" i="50161"/>
  <c r="AA314" i="50160"/>
  <c r="AA310" i="50160"/>
  <c r="AF10" i="50161"/>
  <c r="AF23" i="50161"/>
  <c r="AG414" i="50162"/>
  <c r="AG410" i="50162"/>
  <c r="AD31" i="50162"/>
  <c r="AF31" i="50162"/>
  <c r="AD42" i="50162"/>
  <c r="AF42" i="50162"/>
  <c r="AD10" i="50162"/>
  <c r="AF10" i="50162"/>
  <c r="AD29" i="50162"/>
  <c r="AF29" i="50162"/>
  <c r="AF414" i="50162"/>
  <c r="AF410" i="50162"/>
  <c r="AD24" i="50162"/>
  <c r="AF24" i="50162"/>
  <c r="P39" i="50144"/>
  <c r="P48" i="50144" s="1"/>
  <c r="P35" i="50144"/>
  <c r="P46" i="50144" s="1"/>
  <c r="H42" i="50144" s="1"/>
  <c r="N29" i="267"/>
  <c r="P29" i="267"/>
  <c r="P23" i="267"/>
  <c r="O23" i="267"/>
  <c r="P10" i="267"/>
  <c r="N10" i="267"/>
  <c r="N42" i="267"/>
  <c r="P42" i="267"/>
  <c r="V314" i="50158"/>
  <c r="B87" i="50158" s="1"/>
  <c r="P16" i="267"/>
  <c r="AD13" i="50161"/>
  <c r="AF13" i="50161"/>
  <c r="AF35" i="50161"/>
  <c r="AD35" i="50161"/>
  <c r="AG414" i="50161"/>
  <c r="AG410" i="50161"/>
  <c r="AF33" i="50161"/>
  <c r="AD33" i="50161"/>
  <c r="AD28" i="50161"/>
  <c r="AF28" i="50161"/>
  <c r="AF42" i="50161"/>
  <c r="AD42" i="50161"/>
  <c r="AF415" i="50161"/>
  <c r="AF411" i="50161"/>
  <c r="AF422" i="50161" s="1"/>
  <c r="AA314" i="50158"/>
  <c r="AA310" i="50158"/>
  <c r="AA311" i="50160"/>
  <c r="AA315" i="50160"/>
  <c r="AF7" i="50161"/>
  <c r="AD27" i="50162"/>
  <c r="AF27" i="50162"/>
  <c r="AF38" i="50162"/>
  <c r="AD38" i="50162"/>
  <c r="AF6" i="50162"/>
  <c r="AD6" i="50162"/>
  <c r="AD25" i="50162"/>
  <c r="AF25" i="50162"/>
  <c r="AD20" i="50162"/>
  <c r="AF20" i="50162"/>
  <c r="P33" i="267"/>
  <c r="N33" i="267"/>
  <c r="L36" i="50149"/>
  <c r="N14" i="267"/>
  <c r="P14" i="267"/>
  <c r="P19" i="267"/>
  <c r="L36" i="50144"/>
  <c r="B58" i="7648"/>
  <c r="AD41" i="50162"/>
  <c r="AF41" i="50162"/>
  <c r="AA311" i="50158"/>
  <c r="Z322" i="50158" s="1"/>
  <c r="AA315" i="50158"/>
  <c r="P21" i="267"/>
  <c r="N21" i="267"/>
  <c r="O28" i="267"/>
  <c r="P28" i="267"/>
  <c r="AF415" i="50162"/>
  <c r="AF411" i="50162"/>
  <c r="AF422" i="50162" s="1"/>
  <c r="AD29" i="50161"/>
  <c r="AF29" i="50161"/>
  <c r="AF24" i="50161"/>
  <c r="AD24" i="50161"/>
  <c r="Z314" i="50158"/>
  <c r="Z310" i="50158"/>
  <c r="Z315" i="50160"/>
  <c r="Z311" i="50160"/>
  <c r="AD23" i="50162"/>
  <c r="AF23" i="50162"/>
  <c r="AF34" i="50162"/>
  <c r="AD34" i="50162"/>
  <c r="AF21" i="50162"/>
  <c r="AD21" i="50162"/>
  <c r="AD16" i="50162"/>
  <c r="AF16" i="50162"/>
  <c r="N8" i="50144"/>
  <c r="P8" i="50144"/>
  <c r="P89" i="7648"/>
  <c r="P98" i="7648" s="1"/>
  <c r="P85" i="7648"/>
  <c r="P96" i="7648" s="1"/>
  <c r="B68" i="7648" s="1"/>
  <c r="P37" i="267"/>
  <c r="N37" i="267"/>
  <c r="O31" i="267"/>
  <c r="P31" i="267"/>
  <c r="P18" i="267"/>
  <c r="N18" i="267"/>
  <c r="Q89" i="267"/>
  <c r="P98" i="267" s="1"/>
  <c r="Q85" i="267"/>
  <c r="P96" i="267" s="1"/>
  <c r="B68" i="267" s="1"/>
  <c r="P44" i="267"/>
  <c r="O7" i="50149"/>
  <c r="L37" i="50149" s="1"/>
  <c r="H33" i="50149" s="1"/>
  <c r="P7" i="50149"/>
  <c r="P24" i="267"/>
  <c r="P36" i="267"/>
  <c r="P32" i="267"/>
  <c r="B59" i="7648" l="1"/>
  <c r="L88" i="7648"/>
  <c r="B60" i="7648" s="1"/>
  <c r="L90" i="7648"/>
  <c r="B62" i="7648" s="1"/>
  <c r="S15" i="7648"/>
  <c r="B84" i="7648" s="1"/>
  <c r="AF421" i="50162"/>
  <c r="E163" i="50162" s="1"/>
  <c r="S28" i="7648"/>
  <c r="B97" i="7648" s="1"/>
  <c r="S43" i="7648"/>
  <c r="E87" i="7648" s="1"/>
  <c r="Z321" i="50158"/>
  <c r="F85" i="50158" s="1"/>
  <c r="S16" i="7648"/>
  <c r="B85" i="7648" s="1"/>
  <c r="L39" i="50144"/>
  <c r="S10" i="50144" s="1"/>
  <c r="E17" i="50144" s="1"/>
  <c r="V311" i="50160"/>
  <c r="S42" i="7648"/>
  <c r="E86" i="7648" s="1"/>
  <c r="H44" i="50149"/>
  <c r="T7" i="50149"/>
  <c r="F14" i="50149" s="1"/>
  <c r="AC24" i="50158"/>
  <c r="B162" i="50158" s="1"/>
  <c r="AC26" i="50158"/>
  <c r="B164" i="50158" s="1"/>
  <c r="AC28" i="50158"/>
  <c r="B166" i="50158" s="1"/>
  <c r="AC40" i="50158"/>
  <c r="B178" i="50158" s="1"/>
  <c r="AC42" i="50158"/>
  <c r="B180" i="50158" s="1"/>
  <c r="AC44" i="50158"/>
  <c r="B182" i="50158" s="1"/>
  <c r="F86" i="50158"/>
  <c r="AC5" i="50158"/>
  <c r="AC7" i="50158"/>
  <c r="B145" i="50158" s="1"/>
  <c r="AC9" i="50158"/>
  <c r="B147" i="50158" s="1"/>
  <c r="AC13" i="50158"/>
  <c r="B151" i="50158" s="1"/>
  <c r="AC29" i="50158"/>
  <c r="B167" i="50158" s="1"/>
  <c r="AC23" i="50158"/>
  <c r="B161" i="50158" s="1"/>
  <c r="AC15" i="50158"/>
  <c r="B153" i="50158" s="1"/>
  <c r="AC31" i="50158"/>
  <c r="B169" i="50158" s="1"/>
  <c r="AC27" i="50158"/>
  <c r="B165" i="50158" s="1"/>
  <c r="V315" i="50158"/>
  <c r="B88" i="50158" s="1"/>
  <c r="AF421" i="50161"/>
  <c r="E163" i="50161" s="1"/>
  <c r="S44" i="7648"/>
  <c r="E88" i="7648" s="1"/>
  <c r="S17" i="7648"/>
  <c r="B86" i="7648" s="1"/>
  <c r="S32" i="7648"/>
  <c r="E76" i="7648" s="1"/>
  <c r="S5" i="7648"/>
  <c r="S31" i="7648"/>
  <c r="E75" i="7648" s="1"/>
  <c r="L39" i="50149"/>
  <c r="H35" i="50149" s="1"/>
  <c r="Z322" i="50160"/>
  <c r="AI9" i="50162"/>
  <c r="B184" i="50162" s="1"/>
  <c r="E164" i="50162"/>
  <c r="H44" i="50144"/>
  <c r="AF423" i="50161"/>
  <c r="AB411" i="50162"/>
  <c r="AI24" i="50162" s="1"/>
  <c r="B199" i="50162" s="1"/>
  <c r="S36" i="7648"/>
  <c r="E80" i="7648" s="1"/>
  <c r="S9" i="7648"/>
  <c r="B78" i="7648" s="1"/>
  <c r="S24" i="7648"/>
  <c r="B93" i="7648" s="1"/>
  <c r="S23" i="7648"/>
  <c r="B92" i="7648" s="1"/>
  <c r="Z323" i="50158"/>
  <c r="L38" i="50149"/>
  <c r="H34" i="50149" s="1"/>
  <c r="H32" i="50149"/>
  <c r="L40" i="50149"/>
  <c r="H36" i="50149" s="1"/>
  <c r="AB411" i="50161"/>
  <c r="AI42" i="50161" s="1"/>
  <c r="B217" i="50161" s="1"/>
  <c r="Z323" i="50160"/>
  <c r="L89" i="267"/>
  <c r="B61" i="267" s="1"/>
  <c r="S22" i="7648"/>
  <c r="B91" i="7648" s="1"/>
  <c r="S12" i="7648"/>
  <c r="B81" i="7648" s="1"/>
  <c r="S27" i="7648"/>
  <c r="B96" i="7648" s="1"/>
  <c r="S37" i="7648"/>
  <c r="E81" i="7648" s="1"/>
  <c r="S26" i="7648"/>
  <c r="B95" i="7648" s="1"/>
  <c r="S5" i="50149"/>
  <c r="S6" i="50149"/>
  <c r="E13" i="50149" s="1"/>
  <c r="H43" i="50149"/>
  <c r="S8" i="50149"/>
  <c r="E15" i="50149" s="1"/>
  <c r="S7" i="50149"/>
  <c r="E14" i="50149" s="1"/>
  <c r="S38" i="7648"/>
  <c r="E82" i="7648" s="1"/>
  <c r="S20" i="7648"/>
  <c r="B89" i="7648" s="1"/>
  <c r="S35" i="7648"/>
  <c r="E79" i="7648" s="1"/>
  <c r="S8" i="7648"/>
  <c r="B77" i="7648" s="1"/>
  <c r="S34" i="7648"/>
  <c r="E78" i="7648" s="1"/>
  <c r="S7" i="7648"/>
  <c r="B76" i="7648" s="1"/>
  <c r="AF423" i="50162"/>
  <c r="Z321" i="50160"/>
  <c r="F85" i="50160" s="1"/>
  <c r="L87" i="267"/>
  <c r="B59" i="267" s="1"/>
  <c r="S14" i="7648"/>
  <c r="B83" i="7648" s="1"/>
  <c r="S41" i="7648"/>
  <c r="E85" i="7648" s="1"/>
  <c r="S19" i="7648"/>
  <c r="B88" i="7648" s="1"/>
  <c r="S29" i="7648"/>
  <c r="B98" i="7648" s="1"/>
  <c r="S18" i="7648"/>
  <c r="B87" i="7648" s="1"/>
  <c r="AB414" i="50162"/>
  <c r="B165" i="50162" s="1"/>
  <c r="AB414" i="50161"/>
  <c r="B165" i="50161" s="1"/>
  <c r="B70" i="267"/>
  <c r="B70" i="7648"/>
  <c r="T6" i="7648"/>
  <c r="C75" i="7648" s="1"/>
  <c r="T14" i="7648"/>
  <c r="C83" i="7648" s="1"/>
  <c r="T22" i="7648"/>
  <c r="C91" i="7648" s="1"/>
  <c r="T26" i="7648"/>
  <c r="C95" i="7648" s="1"/>
  <c r="T34" i="7648"/>
  <c r="F78" i="7648" s="1"/>
  <c r="T42" i="7648"/>
  <c r="F86" i="7648" s="1"/>
  <c r="T11" i="7648"/>
  <c r="C80" i="7648" s="1"/>
  <c r="T25" i="7648"/>
  <c r="C94" i="7648" s="1"/>
  <c r="T9" i="7648"/>
  <c r="C78" i="7648" s="1"/>
  <c r="T17" i="7648"/>
  <c r="C86" i="7648" s="1"/>
  <c r="T33" i="7648"/>
  <c r="F77" i="7648" s="1"/>
  <c r="T39" i="7648"/>
  <c r="F83" i="7648" s="1"/>
  <c r="T21" i="7648"/>
  <c r="C90" i="7648" s="1"/>
  <c r="T31" i="7648"/>
  <c r="F75" i="7648" s="1"/>
  <c r="T32" i="7648"/>
  <c r="F76" i="7648" s="1"/>
  <c r="T23" i="7648"/>
  <c r="C92" i="7648" s="1"/>
  <c r="T44" i="7648"/>
  <c r="F88" i="7648" s="1"/>
  <c r="T7" i="7648"/>
  <c r="C76" i="7648" s="1"/>
  <c r="T16" i="7648"/>
  <c r="C85" i="7648" s="1"/>
  <c r="T13" i="7648"/>
  <c r="C82" i="7648" s="1"/>
  <c r="T8" i="7648"/>
  <c r="C77" i="7648" s="1"/>
  <c r="T36" i="7648"/>
  <c r="F80" i="7648" s="1"/>
  <c r="L38" i="50144"/>
  <c r="H34" i="50144" s="1"/>
  <c r="H32" i="50144"/>
  <c r="E164" i="50161"/>
  <c r="S30" i="7648"/>
  <c r="E74" i="7648" s="1"/>
  <c r="S33" i="7648"/>
  <c r="E77" i="7648" s="1"/>
  <c r="S11" i="7648"/>
  <c r="B80" i="7648" s="1"/>
  <c r="S21" i="7648"/>
  <c r="B90" i="7648" s="1"/>
  <c r="S10" i="7648"/>
  <c r="B79" i="7648" s="1"/>
  <c r="L86" i="267"/>
  <c r="S7" i="267" s="1"/>
  <c r="B76" i="267" s="1"/>
  <c r="S6" i="7648"/>
  <c r="B75" i="7648" s="1"/>
  <c r="S25" i="7648"/>
  <c r="B94" i="7648" s="1"/>
  <c r="S40" i="7648"/>
  <c r="E84" i="7648" s="1"/>
  <c r="S13" i="7648"/>
  <c r="B82" i="7648" s="1"/>
  <c r="S39" i="7648"/>
  <c r="E83" i="7648" s="1"/>
  <c r="S6" i="267"/>
  <c r="B75" i="267" s="1"/>
  <c r="S27" i="267"/>
  <c r="B96" i="267" s="1"/>
  <c r="B69" i="267"/>
  <c r="S10" i="267"/>
  <c r="B79" i="267" s="1"/>
  <c r="S24" i="267"/>
  <c r="B93" i="267" s="1"/>
  <c r="S40" i="267"/>
  <c r="E84" i="267" s="1"/>
  <c r="S43" i="267"/>
  <c r="E87" i="267" s="1"/>
  <c r="S34" i="267"/>
  <c r="E78" i="267" s="1"/>
  <c r="S35" i="267"/>
  <c r="E79" i="267" s="1"/>
  <c r="S8" i="267"/>
  <c r="B77" i="267" s="1"/>
  <c r="S15" i="267"/>
  <c r="B84" i="267" s="1"/>
  <c r="S22" i="267"/>
  <c r="B91" i="267" s="1"/>
  <c r="S25" i="267"/>
  <c r="B94" i="267" s="1"/>
  <c r="S44" i="267"/>
  <c r="E88" i="267" s="1"/>
  <c r="S26" i="267"/>
  <c r="B95" i="267" s="1"/>
  <c r="S9" i="267"/>
  <c r="B78" i="267" s="1"/>
  <c r="S23" i="267"/>
  <c r="B92" i="267" s="1"/>
  <c r="S30" i="267"/>
  <c r="E74" i="267" s="1"/>
  <c r="S39" i="267"/>
  <c r="E83" i="267" s="1"/>
  <c r="S19" i="267"/>
  <c r="B88" i="267" s="1"/>
  <c r="S12" i="267"/>
  <c r="B81" i="267" s="1"/>
  <c r="S13" i="267"/>
  <c r="B82" i="267" s="1"/>
  <c r="S11" i="267"/>
  <c r="B80" i="267" s="1"/>
  <c r="S5" i="267"/>
  <c r="S21" i="267"/>
  <c r="B90" i="267" s="1"/>
  <c r="S18" i="267"/>
  <c r="B87" i="267" s="1"/>
  <c r="S37" i="267"/>
  <c r="E81" i="267" s="1"/>
  <c r="AI37" i="50162" l="1"/>
  <c r="B212" i="50162" s="1"/>
  <c r="AC37" i="50158"/>
  <c r="B175" i="50158" s="1"/>
  <c r="AC35" i="50158"/>
  <c r="B173" i="50158" s="1"/>
  <c r="AC38" i="50158"/>
  <c r="B176" i="50158" s="1"/>
  <c r="AC22" i="50158"/>
  <c r="B160" i="50158" s="1"/>
  <c r="S5" i="50144"/>
  <c r="AI15" i="50161"/>
  <c r="B190" i="50161" s="1"/>
  <c r="T5" i="7648"/>
  <c r="C74" i="7648" s="1"/>
  <c r="T37" i="7648"/>
  <c r="F81" i="7648" s="1"/>
  <c r="T24" i="7648"/>
  <c r="C93" i="7648" s="1"/>
  <c r="T43" i="7648"/>
  <c r="F87" i="7648" s="1"/>
  <c r="T18" i="7648"/>
  <c r="C87" i="7648" s="1"/>
  <c r="T10" i="50144"/>
  <c r="F17" i="50144" s="1"/>
  <c r="AI34" i="50162"/>
  <c r="B209" i="50162" s="1"/>
  <c r="S7" i="50144"/>
  <c r="E14" i="50144" s="1"/>
  <c r="AC21" i="50158"/>
  <c r="B159" i="50158" s="1"/>
  <c r="AC19" i="50158"/>
  <c r="B157" i="50158" s="1"/>
  <c r="AC12" i="50158"/>
  <c r="B150" i="50158" s="1"/>
  <c r="AC36" i="50158"/>
  <c r="B174" i="50158" s="1"/>
  <c r="AC20" i="50158"/>
  <c r="B158" i="50158" s="1"/>
  <c r="S8" i="50144"/>
  <c r="E15" i="50144" s="1"/>
  <c r="L40" i="50144"/>
  <c r="H36" i="50144" s="1"/>
  <c r="AI20" i="50162"/>
  <c r="B195" i="50162" s="1"/>
  <c r="AI21" i="50161"/>
  <c r="B196" i="50161" s="1"/>
  <c r="T29" i="7648"/>
  <c r="C98" i="7648" s="1"/>
  <c r="T35" i="7648"/>
  <c r="F79" i="7648" s="1"/>
  <c r="T10" i="7648"/>
  <c r="C79" i="7648" s="1"/>
  <c r="AC33" i="50158"/>
  <c r="B171" i="50158" s="1"/>
  <c r="AC41" i="50158"/>
  <c r="B179" i="50158" s="1"/>
  <c r="AC10" i="50158"/>
  <c r="B148" i="50158" s="1"/>
  <c r="AC34" i="50158"/>
  <c r="B172" i="50158" s="1"/>
  <c r="AC18" i="50158"/>
  <c r="B156" i="50158" s="1"/>
  <c r="H35" i="50144"/>
  <c r="S6" i="50144"/>
  <c r="E13" i="50144" s="1"/>
  <c r="S9" i="50144"/>
  <c r="E16" i="50144" s="1"/>
  <c r="AI9" i="50161"/>
  <c r="B184" i="50161" s="1"/>
  <c r="T7" i="50144"/>
  <c r="F14" i="50144" s="1"/>
  <c r="AC17" i="50158"/>
  <c r="B155" i="50158" s="1"/>
  <c r="AC25" i="50158"/>
  <c r="B163" i="50158" s="1"/>
  <c r="AC8" i="50158"/>
  <c r="B146" i="50158" s="1"/>
  <c r="AC32" i="50158"/>
  <c r="B170" i="50158" s="1"/>
  <c r="AC16" i="50158"/>
  <c r="B154" i="50158" s="1"/>
  <c r="AI12" i="50161"/>
  <c r="B187" i="50161" s="1"/>
  <c r="T28" i="7648"/>
  <c r="C97" i="7648" s="1"/>
  <c r="T40" i="7648"/>
  <c r="F84" i="7648" s="1"/>
  <c r="T15" i="7648"/>
  <c r="C84" i="7648" s="1"/>
  <c r="T27" i="7648"/>
  <c r="C96" i="7648" s="1"/>
  <c r="T38" i="7648"/>
  <c r="F82" i="7648" s="1"/>
  <c r="T20" i="7648"/>
  <c r="C89" i="7648" s="1"/>
  <c r="T12" i="7648"/>
  <c r="C81" i="7648" s="1"/>
  <c r="T41" i="7648"/>
  <c r="F85" i="7648" s="1"/>
  <c r="T19" i="7648"/>
  <c r="C88" i="7648" s="1"/>
  <c r="T30" i="7648"/>
  <c r="F74" i="7648" s="1"/>
  <c r="AC43" i="50158"/>
  <c r="B181" i="50158" s="1"/>
  <c r="AC39" i="50158"/>
  <c r="B177" i="50158" s="1"/>
  <c r="AC11" i="50158"/>
  <c r="B149" i="50158" s="1"/>
  <c r="AC6" i="50158"/>
  <c r="B144" i="50158" s="1"/>
  <c r="AC30" i="50158"/>
  <c r="B168" i="50158" s="1"/>
  <c r="AC14" i="50158"/>
  <c r="B152" i="50158" s="1"/>
  <c r="B84" i="50160"/>
  <c r="V315" i="50160"/>
  <c r="B88" i="50160" s="1"/>
  <c r="V313" i="50160"/>
  <c r="B86" i="50160" s="1"/>
  <c r="AB413" i="50161"/>
  <c r="B164" i="50161" s="1"/>
  <c r="AB415" i="50161"/>
  <c r="B166" i="50161" s="1"/>
  <c r="B162" i="50161"/>
  <c r="AI16" i="50162"/>
  <c r="B191" i="50162" s="1"/>
  <c r="AI12" i="50162"/>
  <c r="B187" i="50162" s="1"/>
  <c r="B143" i="50158"/>
  <c r="AI40" i="50161"/>
  <c r="B215" i="50161" s="1"/>
  <c r="C103" i="7648"/>
  <c r="AB413" i="50162"/>
  <c r="B164" i="50162" s="1"/>
  <c r="B162" i="50162"/>
  <c r="AB415" i="50162"/>
  <c r="B166" i="50162" s="1"/>
  <c r="T9" i="50144"/>
  <c r="F16" i="50144" s="1"/>
  <c r="AI7" i="50162"/>
  <c r="B182" i="50162" s="1"/>
  <c r="AI8" i="50162"/>
  <c r="B183" i="50162" s="1"/>
  <c r="AI21" i="50162"/>
  <c r="B196" i="50162" s="1"/>
  <c r="AI43" i="50162"/>
  <c r="B218" i="50162" s="1"/>
  <c r="AI18" i="50162"/>
  <c r="B193" i="50162" s="1"/>
  <c r="T5" i="50149"/>
  <c r="AD18" i="50160"/>
  <c r="C156" i="50160" s="1"/>
  <c r="AD20" i="50160"/>
  <c r="C158" i="50160" s="1"/>
  <c r="AD22" i="50160"/>
  <c r="C160" i="50160" s="1"/>
  <c r="AD34" i="50160"/>
  <c r="C172" i="50160" s="1"/>
  <c r="AD36" i="50160"/>
  <c r="C174" i="50160" s="1"/>
  <c r="AD38" i="50160"/>
  <c r="C176" i="50160" s="1"/>
  <c r="F87" i="50160"/>
  <c r="AD8" i="50160"/>
  <c r="C146" i="50160" s="1"/>
  <c r="AD10" i="50160"/>
  <c r="C148" i="50160" s="1"/>
  <c r="AD12" i="50160"/>
  <c r="C150" i="50160" s="1"/>
  <c r="AD23" i="50160"/>
  <c r="C161" i="50160" s="1"/>
  <c r="AD25" i="50160"/>
  <c r="C163" i="50160" s="1"/>
  <c r="AD27" i="50160"/>
  <c r="C165" i="50160" s="1"/>
  <c r="AD39" i="50160"/>
  <c r="C177" i="50160" s="1"/>
  <c r="AD41" i="50160"/>
  <c r="C179" i="50160" s="1"/>
  <c r="AD43" i="50160"/>
  <c r="C181" i="50160" s="1"/>
  <c r="AI17" i="50161"/>
  <c r="B192" i="50161" s="1"/>
  <c r="AI23" i="50161"/>
  <c r="B198" i="50161" s="1"/>
  <c r="AI18" i="50161"/>
  <c r="B193" i="50161" s="1"/>
  <c r="AI38" i="50161"/>
  <c r="B213" i="50161" s="1"/>
  <c r="AI25" i="50161"/>
  <c r="B200" i="50161" s="1"/>
  <c r="E12" i="50149"/>
  <c r="AI39" i="50162"/>
  <c r="B214" i="50162" s="1"/>
  <c r="AI29" i="50162"/>
  <c r="B204" i="50162" s="1"/>
  <c r="AI26" i="50162"/>
  <c r="B201" i="50162" s="1"/>
  <c r="AI31" i="50161"/>
  <c r="B206" i="50161" s="1"/>
  <c r="AI29" i="50161"/>
  <c r="B204" i="50161" s="1"/>
  <c r="AI20" i="50161"/>
  <c r="B195" i="50161" s="1"/>
  <c r="AI39" i="50161"/>
  <c r="B214" i="50161" s="1"/>
  <c r="S29" i="267"/>
  <c r="B98" i="267" s="1"/>
  <c r="S42" i="267"/>
  <c r="E86" i="267" s="1"/>
  <c r="S16" i="267"/>
  <c r="B85" i="267" s="1"/>
  <c r="S41" i="267"/>
  <c r="E85" i="267" s="1"/>
  <c r="S17" i="267"/>
  <c r="B86" i="267" s="1"/>
  <c r="AI37" i="50161"/>
  <c r="B212" i="50161" s="1"/>
  <c r="AI5" i="50161"/>
  <c r="AI28" i="50161"/>
  <c r="B203" i="50161" s="1"/>
  <c r="AI33" i="50161"/>
  <c r="B208" i="50161" s="1"/>
  <c r="S10" i="50149"/>
  <c r="E17" i="50149" s="1"/>
  <c r="AJ32" i="50161"/>
  <c r="C207" i="50161" s="1"/>
  <c r="AJ40" i="50161"/>
  <c r="C215" i="50161" s="1"/>
  <c r="AJ14" i="50161"/>
  <c r="C189" i="50161" s="1"/>
  <c r="AJ22" i="50161"/>
  <c r="C197" i="50161" s="1"/>
  <c r="AJ41" i="50161"/>
  <c r="C216" i="50161" s="1"/>
  <c r="AJ7" i="50161"/>
  <c r="C182" i="50161" s="1"/>
  <c r="AJ21" i="50161"/>
  <c r="C196" i="50161" s="1"/>
  <c r="AJ29" i="50161"/>
  <c r="C204" i="50161" s="1"/>
  <c r="AJ44" i="50161"/>
  <c r="C219" i="50161" s="1"/>
  <c r="AJ34" i="50161"/>
  <c r="C209" i="50161" s="1"/>
  <c r="E165" i="50161"/>
  <c r="AI33" i="50162"/>
  <c r="B208" i="50162" s="1"/>
  <c r="AI38" i="50162"/>
  <c r="B213" i="50162" s="1"/>
  <c r="AI13" i="50162"/>
  <c r="B188" i="50162" s="1"/>
  <c r="AI35" i="50162"/>
  <c r="B210" i="50162" s="1"/>
  <c r="AI10" i="50162"/>
  <c r="B185" i="50162" s="1"/>
  <c r="T10" i="50149"/>
  <c r="F17" i="50149" s="1"/>
  <c r="AI31" i="50162"/>
  <c r="B206" i="50162" s="1"/>
  <c r="AI5" i="50162"/>
  <c r="AC6" i="50160"/>
  <c r="B144" i="50160" s="1"/>
  <c r="AC8" i="50160"/>
  <c r="B146" i="50160" s="1"/>
  <c r="AC10" i="50160"/>
  <c r="B148" i="50160" s="1"/>
  <c r="AC12" i="50160"/>
  <c r="B150" i="50160" s="1"/>
  <c r="F86" i="50160"/>
  <c r="AC13" i="50160"/>
  <c r="B151" i="50160" s="1"/>
  <c r="AC15" i="50160"/>
  <c r="B153" i="50160" s="1"/>
  <c r="AC17" i="50160"/>
  <c r="B155" i="50160" s="1"/>
  <c r="AC19" i="50160"/>
  <c r="B157" i="50160" s="1"/>
  <c r="AC21" i="50160"/>
  <c r="B159" i="50160" s="1"/>
  <c r="AC23" i="50160"/>
  <c r="B161" i="50160" s="1"/>
  <c r="AC25" i="50160"/>
  <c r="B163" i="50160" s="1"/>
  <c r="AC27" i="50160"/>
  <c r="B165" i="50160" s="1"/>
  <c r="AC29" i="50160"/>
  <c r="B167" i="50160" s="1"/>
  <c r="AC31" i="50160"/>
  <c r="B169" i="50160" s="1"/>
  <c r="AC33" i="50160"/>
  <c r="B171" i="50160" s="1"/>
  <c r="AC35" i="50160"/>
  <c r="B173" i="50160" s="1"/>
  <c r="AC37" i="50160"/>
  <c r="B175" i="50160" s="1"/>
  <c r="AC39" i="50160"/>
  <c r="B177" i="50160" s="1"/>
  <c r="AC41" i="50160"/>
  <c r="B179" i="50160" s="1"/>
  <c r="AC43" i="50160"/>
  <c r="B181" i="50160" s="1"/>
  <c r="AC5" i="50160"/>
  <c r="AC14" i="50160"/>
  <c r="B152" i="50160" s="1"/>
  <c r="AC16" i="50160"/>
  <c r="B154" i="50160" s="1"/>
  <c r="AC18" i="50160"/>
  <c r="B156" i="50160" s="1"/>
  <c r="AC20" i="50160"/>
  <c r="B158" i="50160" s="1"/>
  <c r="AC22" i="50160"/>
  <c r="B160" i="50160" s="1"/>
  <c r="AC24" i="50160"/>
  <c r="B162" i="50160" s="1"/>
  <c r="AC26" i="50160"/>
  <c r="B164" i="50160" s="1"/>
  <c r="AC28" i="50160"/>
  <c r="B166" i="50160" s="1"/>
  <c r="AC30" i="50160"/>
  <c r="B168" i="50160" s="1"/>
  <c r="AC32" i="50160"/>
  <c r="B170" i="50160" s="1"/>
  <c r="AC34" i="50160"/>
  <c r="B172" i="50160" s="1"/>
  <c r="AC36" i="50160"/>
  <c r="B174" i="50160" s="1"/>
  <c r="AC38" i="50160"/>
  <c r="B176" i="50160" s="1"/>
  <c r="AC40" i="50160"/>
  <c r="B178" i="50160" s="1"/>
  <c r="AC42" i="50160"/>
  <c r="B180" i="50160" s="1"/>
  <c r="AC44" i="50160"/>
  <c r="B182" i="50160" s="1"/>
  <c r="AC11" i="50160"/>
  <c r="B149" i="50160" s="1"/>
  <c r="AC9" i="50160"/>
  <c r="B147" i="50160" s="1"/>
  <c r="AC7" i="50160"/>
  <c r="B145" i="50160" s="1"/>
  <c r="T9" i="50149"/>
  <c r="F16" i="50149" s="1"/>
  <c r="S28" i="267"/>
  <c r="B97" i="267" s="1"/>
  <c r="S36" i="267"/>
  <c r="E80" i="267" s="1"/>
  <c r="S38" i="267"/>
  <c r="E82" i="267" s="1"/>
  <c r="S31" i="267"/>
  <c r="E75" i="267" s="1"/>
  <c r="S14" i="267"/>
  <c r="B83" i="267" s="1"/>
  <c r="AI32" i="50161"/>
  <c r="B207" i="50161" s="1"/>
  <c r="AI11" i="50161"/>
  <c r="B186" i="50161" s="1"/>
  <c r="AI36" i="50161"/>
  <c r="B211" i="50161" s="1"/>
  <c r="AI16" i="50161"/>
  <c r="B191" i="50161" s="1"/>
  <c r="AI6" i="50161"/>
  <c r="B181" i="50161" s="1"/>
  <c r="AI19" i="50161"/>
  <c r="B194" i="50161" s="1"/>
  <c r="AD5" i="50158"/>
  <c r="AD7" i="50158"/>
  <c r="C145" i="50158" s="1"/>
  <c r="AD9" i="50158"/>
  <c r="C147" i="50158" s="1"/>
  <c r="AD11" i="50158"/>
  <c r="C149" i="50158" s="1"/>
  <c r="AD14" i="50158"/>
  <c r="C152" i="50158" s="1"/>
  <c r="AD16" i="50158"/>
  <c r="C154" i="50158" s="1"/>
  <c r="AD18" i="50158"/>
  <c r="C156" i="50158" s="1"/>
  <c r="AD20" i="50158"/>
  <c r="C158" i="50158" s="1"/>
  <c r="AD22" i="50158"/>
  <c r="C160" i="50158" s="1"/>
  <c r="AD24" i="50158"/>
  <c r="C162" i="50158" s="1"/>
  <c r="AD26" i="50158"/>
  <c r="C164" i="50158" s="1"/>
  <c r="AD28" i="50158"/>
  <c r="C166" i="50158" s="1"/>
  <c r="AD30" i="50158"/>
  <c r="C168" i="50158" s="1"/>
  <c r="AD32" i="50158"/>
  <c r="C170" i="50158" s="1"/>
  <c r="AD34" i="50158"/>
  <c r="C172" i="50158" s="1"/>
  <c r="AD36" i="50158"/>
  <c r="C174" i="50158" s="1"/>
  <c r="AD38" i="50158"/>
  <c r="C176" i="50158" s="1"/>
  <c r="AD40" i="50158"/>
  <c r="C178" i="50158" s="1"/>
  <c r="AD42" i="50158"/>
  <c r="C180" i="50158" s="1"/>
  <c r="AD44" i="50158"/>
  <c r="C182" i="50158" s="1"/>
  <c r="F87" i="50158"/>
  <c r="AD6" i="50158"/>
  <c r="C144" i="50158" s="1"/>
  <c r="AD8" i="50158"/>
  <c r="C146" i="50158" s="1"/>
  <c r="AD10" i="50158"/>
  <c r="C148" i="50158" s="1"/>
  <c r="AD12" i="50158"/>
  <c r="C150" i="50158" s="1"/>
  <c r="AD13" i="50158"/>
  <c r="C151" i="50158" s="1"/>
  <c r="AD15" i="50158"/>
  <c r="C153" i="50158" s="1"/>
  <c r="AD17" i="50158"/>
  <c r="C155" i="50158" s="1"/>
  <c r="AD19" i="50158"/>
  <c r="C157" i="50158" s="1"/>
  <c r="AD21" i="50158"/>
  <c r="C159" i="50158" s="1"/>
  <c r="AD23" i="50158"/>
  <c r="C161" i="50158" s="1"/>
  <c r="AD25" i="50158"/>
  <c r="C163" i="50158" s="1"/>
  <c r="AD27" i="50158"/>
  <c r="C165" i="50158" s="1"/>
  <c r="AD29" i="50158"/>
  <c r="C167" i="50158" s="1"/>
  <c r="AD31" i="50158"/>
  <c r="C169" i="50158" s="1"/>
  <c r="AD33" i="50158"/>
  <c r="C171" i="50158" s="1"/>
  <c r="AD35" i="50158"/>
  <c r="C173" i="50158" s="1"/>
  <c r="AD37" i="50158"/>
  <c r="C175" i="50158" s="1"/>
  <c r="AD39" i="50158"/>
  <c r="C177" i="50158" s="1"/>
  <c r="AD41" i="50158"/>
  <c r="C179" i="50158" s="1"/>
  <c r="AD43" i="50158"/>
  <c r="C181" i="50158" s="1"/>
  <c r="T5" i="50144"/>
  <c r="AI15" i="50162"/>
  <c r="B190" i="50162" s="1"/>
  <c r="AI25" i="50162"/>
  <c r="B200" i="50162" s="1"/>
  <c r="AI22" i="50162"/>
  <c r="B197" i="50162" s="1"/>
  <c r="AI44" i="50162"/>
  <c r="B219" i="50162" s="1"/>
  <c r="AI19" i="50162"/>
  <c r="B194" i="50162" s="1"/>
  <c r="S20" i="267"/>
  <c r="B89" i="267" s="1"/>
  <c r="S33" i="267"/>
  <c r="E77" i="267" s="1"/>
  <c r="S32" i="267"/>
  <c r="E76" i="267" s="1"/>
  <c r="AI43" i="50161"/>
  <c r="B218" i="50161" s="1"/>
  <c r="AI14" i="50161"/>
  <c r="B189" i="50161" s="1"/>
  <c r="AI10" i="50161"/>
  <c r="B185" i="50161" s="1"/>
  <c r="AI26" i="50161"/>
  <c r="B201" i="50161" s="1"/>
  <c r="AI13" i="50161"/>
  <c r="B188" i="50161" s="1"/>
  <c r="S9" i="50149"/>
  <c r="E16" i="50149" s="1"/>
  <c r="T8" i="50144"/>
  <c r="F15" i="50144" s="1"/>
  <c r="AI17" i="50162"/>
  <c r="B192" i="50162" s="1"/>
  <c r="AI40" i="50162"/>
  <c r="B215" i="50162" s="1"/>
  <c r="AI14" i="50162"/>
  <c r="B189" i="50162" s="1"/>
  <c r="AI36" i="50162"/>
  <c r="B211" i="50162" s="1"/>
  <c r="AI11" i="50162"/>
  <c r="B186" i="50162" s="1"/>
  <c r="B74" i="267"/>
  <c r="AI7" i="50161"/>
  <c r="B182" i="50161" s="1"/>
  <c r="AI35" i="50161"/>
  <c r="B210" i="50161" s="1"/>
  <c r="AI41" i="50161"/>
  <c r="B216" i="50161" s="1"/>
  <c r="AI8" i="50161"/>
  <c r="B183" i="50161" s="1"/>
  <c r="AI27" i="50161"/>
  <c r="B202" i="50161" s="1"/>
  <c r="AJ5" i="50162"/>
  <c r="AJ13" i="50162"/>
  <c r="C188" i="50162" s="1"/>
  <c r="AJ8" i="50162"/>
  <c r="C183" i="50162" s="1"/>
  <c r="AJ16" i="50162"/>
  <c r="C191" i="50162" s="1"/>
  <c r="AJ6" i="50162"/>
  <c r="C181" i="50162" s="1"/>
  <c r="AJ14" i="50162"/>
  <c r="C189" i="50162" s="1"/>
  <c r="AJ22" i="50162"/>
  <c r="C197" i="50162" s="1"/>
  <c r="AJ30" i="50162"/>
  <c r="C205" i="50162" s="1"/>
  <c r="AJ12" i="50162"/>
  <c r="C187" i="50162" s="1"/>
  <c r="AJ10" i="50162"/>
  <c r="C185" i="50162" s="1"/>
  <c r="AJ18" i="50162"/>
  <c r="C193" i="50162" s="1"/>
  <c r="AJ26" i="50162"/>
  <c r="C201" i="50162" s="1"/>
  <c r="AJ19" i="50162"/>
  <c r="C194" i="50162" s="1"/>
  <c r="AJ33" i="50162"/>
  <c r="C208" i="50162" s="1"/>
  <c r="AJ41" i="50162"/>
  <c r="C216" i="50162" s="1"/>
  <c r="AJ23" i="50162"/>
  <c r="C198" i="50162" s="1"/>
  <c r="AJ36" i="50162"/>
  <c r="C211" i="50162" s="1"/>
  <c r="AJ44" i="50162"/>
  <c r="C219" i="50162" s="1"/>
  <c r="AJ7" i="50162"/>
  <c r="C182" i="50162" s="1"/>
  <c r="AJ20" i="50162"/>
  <c r="C195" i="50162" s="1"/>
  <c r="AJ27" i="50162"/>
  <c r="C202" i="50162" s="1"/>
  <c r="AJ39" i="50162"/>
  <c r="C214" i="50162" s="1"/>
  <c r="AJ15" i="50162"/>
  <c r="C190" i="50162" s="1"/>
  <c r="AJ24" i="50162"/>
  <c r="C199" i="50162" s="1"/>
  <c r="AJ31" i="50162"/>
  <c r="C206" i="50162" s="1"/>
  <c r="AJ34" i="50162"/>
  <c r="C209" i="50162" s="1"/>
  <c r="AJ42" i="50162"/>
  <c r="C217" i="50162" s="1"/>
  <c r="AJ9" i="50162"/>
  <c r="C184" i="50162" s="1"/>
  <c r="AJ21" i="50162"/>
  <c r="C196" i="50162" s="1"/>
  <c r="AJ28" i="50162"/>
  <c r="C203" i="50162" s="1"/>
  <c r="AJ37" i="50162"/>
  <c r="C212" i="50162" s="1"/>
  <c r="AJ11" i="50162"/>
  <c r="C186" i="50162" s="1"/>
  <c r="AJ29" i="50162"/>
  <c r="C204" i="50162" s="1"/>
  <c r="AJ35" i="50162"/>
  <c r="C210" i="50162" s="1"/>
  <c r="AJ43" i="50162"/>
  <c r="C218" i="50162" s="1"/>
  <c r="AJ40" i="50162"/>
  <c r="C215" i="50162" s="1"/>
  <c r="AJ32" i="50162"/>
  <c r="C207" i="50162" s="1"/>
  <c r="AJ25" i="50162"/>
  <c r="C200" i="50162" s="1"/>
  <c r="AJ17" i="50162"/>
  <c r="C192" i="50162" s="1"/>
  <c r="AJ38" i="50162"/>
  <c r="C213" i="50162" s="1"/>
  <c r="E165" i="50162"/>
  <c r="AI23" i="50162"/>
  <c r="B198" i="50162" s="1"/>
  <c r="AI30" i="50162"/>
  <c r="B205" i="50162" s="1"/>
  <c r="AI27" i="50162"/>
  <c r="B202" i="50162" s="1"/>
  <c r="L90" i="267"/>
  <c r="B62" i="267" s="1"/>
  <c r="L88" i="267"/>
  <c r="B58" i="267"/>
  <c r="AI22" i="50161"/>
  <c r="B197" i="50161" s="1"/>
  <c r="AI34" i="50161"/>
  <c r="B209" i="50161" s="1"/>
  <c r="AI24" i="50161"/>
  <c r="B199" i="50161" s="1"/>
  <c r="AI44" i="50161"/>
  <c r="B219" i="50161" s="1"/>
  <c r="AI30" i="50161"/>
  <c r="B205" i="50161" s="1"/>
  <c r="T6" i="50144"/>
  <c r="F13" i="50144" s="1"/>
  <c r="AI41" i="50162"/>
  <c r="B216" i="50162" s="1"/>
  <c r="AI32" i="50162"/>
  <c r="B207" i="50162" s="1"/>
  <c r="AI6" i="50162"/>
  <c r="B181" i="50162" s="1"/>
  <c r="AI28" i="50162"/>
  <c r="B203" i="50162" s="1"/>
  <c r="AI42" i="50162"/>
  <c r="B217" i="50162" s="1"/>
  <c r="C101" i="7648"/>
  <c r="C102" i="7648"/>
  <c r="B74" i="7648"/>
  <c r="T6" i="50149"/>
  <c r="F13" i="50149" s="1"/>
  <c r="E12" i="50144"/>
  <c r="T8" i="50149"/>
  <c r="F15" i="50149" s="1"/>
  <c r="AJ13" i="50161" l="1"/>
  <c r="C188" i="50161" s="1"/>
  <c r="AJ33" i="50161"/>
  <c r="C208" i="50161" s="1"/>
  <c r="AJ6" i="50161"/>
  <c r="C181" i="50161" s="1"/>
  <c r="B91" i="50158"/>
  <c r="AJ12" i="50161"/>
  <c r="C187" i="50161" s="1"/>
  <c r="AJ24" i="50161"/>
  <c r="C199" i="50161" s="1"/>
  <c r="H48" i="50144"/>
  <c r="AJ42" i="50161"/>
  <c r="C217" i="50161" s="1"/>
  <c r="AJ5" i="50161"/>
  <c r="AJ25" i="50161"/>
  <c r="C200" i="50161" s="1"/>
  <c r="AJ43" i="50161"/>
  <c r="C218" i="50161" s="1"/>
  <c r="AJ16" i="50161"/>
  <c r="C191" i="50161" s="1"/>
  <c r="AD37" i="50160"/>
  <c r="C175" i="50160" s="1"/>
  <c r="AD21" i="50160"/>
  <c r="C159" i="50160" s="1"/>
  <c r="AD6" i="50160"/>
  <c r="C144" i="50160" s="1"/>
  <c r="AD32" i="50160"/>
  <c r="C170" i="50160" s="1"/>
  <c r="AD16" i="50160"/>
  <c r="C154" i="50160" s="1"/>
  <c r="AJ10" i="50161"/>
  <c r="C185" i="50161" s="1"/>
  <c r="AJ39" i="50161"/>
  <c r="C214" i="50161" s="1"/>
  <c r="AJ17" i="50161"/>
  <c r="C192" i="50161" s="1"/>
  <c r="AJ35" i="50161"/>
  <c r="C210" i="50161" s="1"/>
  <c r="AJ8" i="50161"/>
  <c r="C183" i="50161" s="1"/>
  <c r="AD11" i="50160"/>
  <c r="C149" i="50160" s="1"/>
  <c r="AD35" i="50160"/>
  <c r="C173" i="50160" s="1"/>
  <c r="AD19" i="50160"/>
  <c r="C157" i="50160" s="1"/>
  <c r="AD30" i="50160"/>
  <c r="C168" i="50160" s="1"/>
  <c r="AD14" i="50160"/>
  <c r="C152" i="50160" s="1"/>
  <c r="B92" i="50158"/>
  <c r="AJ36" i="50161"/>
  <c r="C211" i="50161" s="1"/>
  <c r="AJ20" i="50161"/>
  <c r="C195" i="50161" s="1"/>
  <c r="AJ31" i="50161"/>
  <c r="C206" i="50161" s="1"/>
  <c r="AJ9" i="50161"/>
  <c r="C184" i="50161" s="1"/>
  <c r="AJ27" i="50161"/>
  <c r="C202" i="50161" s="1"/>
  <c r="AD9" i="50160"/>
  <c r="C147" i="50160" s="1"/>
  <c r="AD33" i="50160"/>
  <c r="C171" i="50160" s="1"/>
  <c r="AD17" i="50160"/>
  <c r="C155" i="50160" s="1"/>
  <c r="AD44" i="50160"/>
  <c r="C182" i="50160" s="1"/>
  <c r="AD28" i="50160"/>
  <c r="C166" i="50160" s="1"/>
  <c r="AJ28" i="50161"/>
  <c r="C203" i="50161" s="1"/>
  <c r="AJ18" i="50161"/>
  <c r="C193" i="50161" s="1"/>
  <c r="AJ23" i="50161"/>
  <c r="C198" i="50161" s="1"/>
  <c r="AJ38" i="50161"/>
  <c r="C213" i="50161" s="1"/>
  <c r="AJ19" i="50161"/>
  <c r="C194" i="50161" s="1"/>
  <c r="AD7" i="50160"/>
  <c r="C145" i="50160" s="1"/>
  <c r="AD31" i="50160"/>
  <c r="C169" i="50160" s="1"/>
  <c r="AD15" i="50160"/>
  <c r="C153" i="50160" s="1"/>
  <c r="AD42" i="50160"/>
  <c r="C180" i="50160" s="1"/>
  <c r="AD26" i="50160"/>
  <c r="C164" i="50160" s="1"/>
  <c r="H47" i="50144"/>
  <c r="C101" i="267"/>
  <c r="AJ26" i="50161"/>
  <c r="C201" i="50161" s="1"/>
  <c r="AJ37" i="50161"/>
  <c r="C212" i="50161" s="1"/>
  <c r="AJ15" i="50161"/>
  <c r="C190" i="50161" s="1"/>
  <c r="AJ30" i="50161"/>
  <c r="C205" i="50161" s="1"/>
  <c r="AJ11" i="50161"/>
  <c r="C186" i="50161" s="1"/>
  <c r="AD5" i="50160"/>
  <c r="B93" i="50160" s="1"/>
  <c r="AD29" i="50160"/>
  <c r="C167" i="50160" s="1"/>
  <c r="AD13" i="50160"/>
  <c r="C151" i="50160" s="1"/>
  <c r="AD40" i="50160"/>
  <c r="C178" i="50160" s="1"/>
  <c r="AD24" i="50160"/>
  <c r="C162" i="50160" s="1"/>
  <c r="B171" i="50162"/>
  <c r="B170" i="50162"/>
  <c r="B180" i="50162"/>
  <c r="F12" i="50144"/>
  <c r="H49" i="50144"/>
  <c r="F12" i="50149"/>
  <c r="H49" i="50149"/>
  <c r="B172" i="50162"/>
  <c r="C180" i="50162"/>
  <c r="C102" i="267"/>
  <c r="B170" i="50161"/>
  <c r="B171" i="50161"/>
  <c r="B180" i="50161"/>
  <c r="H48" i="50149"/>
  <c r="H47" i="50149"/>
  <c r="B92" i="50160"/>
  <c r="B91" i="50160"/>
  <c r="B143" i="50160"/>
  <c r="C143" i="50158"/>
  <c r="B93" i="50158"/>
  <c r="B60" i="267"/>
  <c r="T28" i="267"/>
  <c r="C97" i="267" s="1"/>
  <c r="T24" i="267"/>
  <c r="C93" i="267" s="1"/>
  <c r="T6" i="267"/>
  <c r="C75" i="267" s="1"/>
  <c r="T22" i="267"/>
  <c r="C91" i="267" s="1"/>
  <c r="T17" i="267"/>
  <c r="C86" i="267" s="1"/>
  <c r="T32" i="267"/>
  <c r="F76" i="267" s="1"/>
  <c r="T14" i="267"/>
  <c r="C83" i="267" s="1"/>
  <c r="T44" i="267"/>
  <c r="F88" i="267" s="1"/>
  <c r="T38" i="267"/>
  <c r="F82" i="267" s="1"/>
  <c r="T25" i="267"/>
  <c r="C94" i="267" s="1"/>
  <c r="T23" i="267"/>
  <c r="C92" i="267" s="1"/>
  <c r="T33" i="267"/>
  <c r="F77" i="267" s="1"/>
  <c r="T9" i="267"/>
  <c r="C78" i="267" s="1"/>
  <c r="T39" i="267"/>
  <c r="F83" i="267" s="1"/>
  <c r="T18" i="267"/>
  <c r="C87" i="267" s="1"/>
  <c r="T31" i="267"/>
  <c r="F75" i="267" s="1"/>
  <c r="T42" i="267"/>
  <c r="F86" i="267" s="1"/>
  <c r="T34" i="267"/>
  <c r="F78" i="267" s="1"/>
  <c r="T27" i="267"/>
  <c r="C96" i="267" s="1"/>
  <c r="T8" i="267"/>
  <c r="C77" i="267" s="1"/>
  <c r="T37" i="267"/>
  <c r="F81" i="267" s="1"/>
  <c r="T43" i="267"/>
  <c r="F87" i="267" s="1"/>
  <c r="T21" i="267"/>
  <c r="C90" i="267" s="1"/>
  <c r="T10" i="267"/>
  <c r="C79" i="267" s="1"/>
  <c r="T12" i="267"/>
  <c r="C81" i="267" s="1"/>
  <c r="T16" i="267"/>
  <c r="C85" i="267" s="1"/>
  <c r="T20" i="267"/>
  <c r="C89" i="267" s="1"/>
  <c r="T19" i="267"/>
  <c r="C88" i="267" s="1"/>
  <c r="T40" i="267"/>
  <c r="F84" i="267" s="1"/>
  <c r="T41" i="267"/>
  <c r="F85" i="267" s="1"/>
  <c r="T36" i="267"/>
  <c r="F80" i="267" s="1"/>
  <c r="T30" i="267"/>
  <c r="F74" i="267" s="1"/>
  <c r="T26" i="267"/>
  <c r="C95" i="267" s="1"/>
  <c r="T13" i="267"/>
  <c r="C82" i="267" s="1"/>
  <c r="T5" i="267"/>
  <c r="T7" i="267"/>
  <c r="C76" i="267" s="1"/>
  <c r="T35" i="267"/>
  <c r="F79" i="267" s="1"/>
  <c r="T29" i="267"/>
  <c r="C98" i="267" s="1"/>
  <c r="T15" i="267"/>
  <c r="C84" i="267" s="1"/>
  <c r="T11" i="267"/>
  <c r="C80" i="267" s="1"/>
  <c r="C180" i="50161"/>
  <c r="C143" i="50160" l="1"/>
  <c r="B172" i="50161"/>
  <c r="C103" i="267"/>
  <c r="C74" i="267"/>
</calcChain>
</file>

<file path=xl/comments1.xml><?xml version="1.0" encoding="utf-8"?>
<comments xmlns="http://purl.oclc.org/ooxml/spreadsheetml/main" xmlns:xdr="http://purl.oclc.org/ooxml/drawingml/spreadsheetDrawing" xmlns:v="urn:schemas-microsoft-com:vml">
  <authors>
    <author>Bob Dalpiaz</author>
    <author>O'Neal User</author>
    <author>ATOMANOV</author>
    <author>4892</author>
  </authors>
  <commentList>
    <comment ref="AA1" authorId="0" shapeId="63489">
      <text>
        <r>
          <rPr>
            <sz val="8"/>
            <color indexed="81"/>
            <rFont val="Tahoma"/>
          </rPr>
          <t xml:space="preserve">              "</t>
        </r>
        <r>
          <rPr>
            <b/>
            <sz val="8"/>
            <color indexed="81"/>
            <rFont val="Tahoma"/>
            <family val="2"/>
          </rPr>
          <t>PILEGRP.xls</t>
        </r>
        <r>
          <rPr>
            <sz val="8"/>
            <color indexed="81"/>
            <rFont val="Tahoma"/>
          </rPr>
          <t>"
written by:  Alex Tomanovich, P.E.</t>
        </r>
      </text>
      <mc:AlternateContent xmlns:mc="http://schemas.openxmlformats.org/markup-compatibility/2006">
        <mc:Choice Requires="v"/>
        <mc:Fallback>
          <commentPr defaultSize="0" autoFill="0" autoLine="0">
            <anchor>
              <from>
                <xdr:col>27</xdr:col>
                <xdr:colOff>144780</xdr:colOff>
                <xdr:row>0</xdr:row>
                <xdr:rowOff>15240</xdr:rowOff>
              </from>
              <to>
                <xdr:col>29</xdr:col>
                <xdr:colOff>579120</xdr:colOff>
                <xdr:row>1</xdr:row>
                <xdr:rowOff>106680</xdr:rowOff>
              </to>
            </anchor>
          </commentPr>
        </mc:Fallback>
      </mc:AlternateContent>
    </comment>
    <comment ref="AC2" authorId="1" shapeId="63524">
      <text>
        <r>
          <rPr>
            <sz val="8"/>
            <color indexed="81"/>
            <rFont val="Tahoma"/>
            <family val="2"/>
          </rPr>
          <t>The user may manually adjust the scaling of the plotted pile group by adjusting the "X" and "Y" plot scale factors below.  The object is to try to equalize the maximum X-axis and Y-axis values which are shown.</t>
        </r>
      </text>
      <mc:AlternateContent xmlns:mc="http://schemas.openxmlformats.org/markup-compatibility/2006">
        <mc:Choice Requires="v"/>
        <mc:Fallback>
          <commentPr defaultSize="0" autoFill="0" autoLine="0">
            <anchor>
              <from>
                <xdr:col>29</xdr:col>
                <xdr:colOff>213360</xdr:colOff>
                <xdr:row>0</xdr:row>
                <xdr:rowOff>106680</xdr:rowOff>
              </from>
              <to>
                <xdr:col>31</xdr:col>
                <xdr:colOff>175260</xdr:colOff>
                <xdr:row>7</xdr:row>
                <xdr:rowOff>38100</xdr:rowOff>
              </to>
            </anchor>
          </commentPr>
        </mc:Fallback>
      </mc:AlternateContent>
    </comment>
    <comment ref="C9" authorId="2" shapeId="63521">
      <text>
        <r>
          <rPr>
            <b/>
            <sz val="8"/>
            <color indexed="81"/>
            <rFont val="Tahoma"/>
            <family val="2"/>
          </rPr>
          <t>The minimum number of piles = 2.
The maximum number of piles = 25.</t>
        </r>
      </text>
      <mc:AlternateContent xmlns:mc="http://schemas.openxmlformats.org/markup-compatibility/2006">
        <mc:Choice Requires="v"/>
        <mc:Fallback>
          <commentPr defaultSize="0" autoFill="0" autoLine="0">
            <anchor>
              <from>
                <xdr:col>3</xdr:col>
                <xdr:colOff>106680</xdr:colOff>
                <xdr:row>7</xdr:row>
                <xdr:rowOff>68580</xdr:rowOff>
              </from>
              <to>
                <xdr:col>6</xdr:col>
                <xdr:colOff>167640</xdr:colOff>
                <xdr:row>9</xdr:row>
                <xdr:rowOff>60960</xdr:rowOff>
              </to>
            </anchor>
          </commentPr>
        </mc:Fallback>
      </mc:AlternateContent>
    </comment>
    <comment ref="C10" authorId="2" shapeId="63515">
      <text>
        <r>
          <rPr>
            <sz val="8"/>
            <color indexed="81"/>
            <rFont val="Tahoma"/>
            <family val="2"/>
          </rPr>
          <t xml:space="preserve">All piles must be located in the positive 1st quadrant.  That is, all pile Xo, Yo coordinate values must be &gt;= 0.
</t>
        </r>
        <r>
          <rPr>
            <b/>
            <sz val="8"/>
            <color indexed="81"/>
            <rFont val="Tahoma"/>
            <family val="2"/>
          </rPr>
          <t>Note: The user should make sure to either clear the contents of all cells that are not used for input of pile coordinates, or those cell values should be input = 0.</t>
        </r>
      </text>
      <mc:AlternateContent xmlns:mc="http://schemas.openxmlformats.org/markup-compatibility/2006">
        <mc:Choice Requires="v"/>
        <mc:Fallback>
          <commentPr defaultSize="0" autoFill="0" autoLine="0">
            <anchor>
              <from>
                <xdr:col>3</xdr:col>
                <xdr:colOff>106680</xdr:colOff>
                <xdr:row>8</xdr:row>
                <xdr:rowOff>68580</xdr:rowOff>
              </from>
              <to>
                <xdr:col>7</xdr:col>
                <xdr:colOff>114300</xdr:colOff>
                <xdr:row>13</xdr:row>
                <xdr:rowOff>91440</xdr:rowOff>
              </to>
            </anchor>
          </commentPr>
        </mc:Fallback>
      </mc:AlternateContent>
    </comment>
    <comment ref="B11" authorId="2" shapeId="63516">
      <text>
        <r>
          <rPr>
            <sz val="8"/>
            <color indexed="81"/>
            <rFont val="Tahoma"/>
            <family val="2"/>
          </rPr>
          <t>The 'Xo' coordinate is the x-distance from the origin axis to a particular pile.</t>
        </r>
      </text>
      <mc:AlternateContent xmlns:mc="http://schemas.openxmlformats.org/markup-compatibility/2006">
        <mc:Choice Requires="v"/>
        <mc:Fallback>
          <commentPr defaultSize="0" autoFill="0" autoLine="0">
            <anchor>
              <from>
                <xdr:col>2</xdr:col>
                <xdr:colOff>106680</xdr:colOff>
                <xdr:row>9</xdr:row>
                <xdr:rowOff>68580</xdr:rowOff>
              </from>
              <to>
                <xdr:col>5</xdr:col>
                <xdr:colOff>76200</xdr:colOff>
                <xdr:row>11</xdr:row>
                <xdr:rowOff>45720</xdr:rowOff>
              </to>
            </anchor>
          </commentPr>
        </mc:Fallback>
      </mc:AlternateContent>
    </comment>
    <comment ref="C11" authorId="2" shapeId="63517">
      <text>
        <r>
          <rPr>
            <sz val="8"/>
            <color indexed="81"/>
            <rFont val="Tahoma"/>
            <family val="2"/>
          </rPr>
          <t>The 'Yo' coordinate is the y-distance from the origin axis to a particular pile.</t>
        </r>
      </text>
      <mc:AlternateContent xmlns:mc="http://schemas.openxmlformats.org/markup-compatibility/2006">
        <mc:Choice Requires="v"/>
        <mc:Fallback>
          <commentPr defaultSize="0" autoFill="0" autoLine="0">
            <anchor>
              <from>
                <xdr:col>3</xdr:col>
                <xdr:colOff>106680</xdr:colOff>
                <xdr:row>9</xdr:row>
                <xdr:rowOff>68580</xdr:rowOff>
              </from>
              <to>
                <xdr:col>6</xdr:col>
                <xdr:colOff>76200</xdr:colOff>
                <xdr:row>11</xdr:row>
                <xdr:rowOff>45720</xdr:rowOff>
              </to>
            </anchor>
          </commentPr>
        </mc:Fallback>
      </mc:AlternateContent>
    </comment>
    <comment ref="E11" authorId="3" shapeId="63513">
      <text>
        <r>
          <rPr>
            <sz val="8"/>
            <color indexed="81"/>
            <rFont val="Tahoma"/>
            <family val="2"/>
          </rPr>
          <t>The Vertical Pile Reaction, 'Rz', at each pile is calculated as follows:
   Rz = (-</t>
        </r>
        <r>
          <rPr>
            <sz val="8"/>
            <color indexed="81"/>
            <rFont val="Symbol"/>
            <family val="1"/>
            <charset val="2"/>
          </rPr>
          <t>S</t>
        </r>
        <r>
          <rPr>
            <sz val="8"/>
            <color indexed="81"/>
            <rFont val="Tahoma"/>
            <family val="2"/>
          </rPr>
          <t xml:space="preserve"> Pz)/Np +</t>
        </r>
        <r>
          <rPr>
            <sz val="8"/>
            <color indexed="81"/>
            <rFont val="Symbol"/>
            <family val="1"/>
            <charset val="2"/>
          </rPr>
          <t xml:space="preserve"> ((S</t>
        </r>
        <r>
          <rPr>
            <sz val="8"/>
            <color indexed="81"/>
            <rFont val="Tahoma"/>
            <family val="2"/>
          </rPr>
          <t xml:space="preserve"> My)*Ix-(-</t>
        </r>
        <r>
          <rPr>
            <sz val="8"/>
            <color indexed="81"/>
            <rFont val="Symbol"/>
            <family val="1"/>
            <charset val="2"/>
          </rPr>
          <t>S</t>
        </r>
        <r>
          <rPr>
            <sz val="8"/>
            <color indexed="81"/>
            <rFont val="Tahoma"/>
            <family val="2"/>
          </rPr>
          <t xml:space="preserve"> Mx)*Ixy)/(Ix*Iy-Ixy^2)*Xp + ((</t>
        </r>
        <r>
          <rPr>
            <sz val="8"/>
            <color indexed="81"/>
            <rFont val="Symbol"/>
            <family val="1"/>
            <charset val="2"/>
          </rPr>
          <t>S</t>
        </r>
        <r>
          <rPr>
            <sz val="8"/>
            <color indexed="81"/>
            <rFont val="Tahoma"/>
            <family val="2"/>
          </rPr>
          <t xml:space="preserve"> Mx)*Iy-(</t>
        </r>
        <r>
          <rPr>
            <sz val="8"/>
            <color indexed="81"/>
            <rFont val="Symbol"/>
            <family val="1"/>
            <charset val="2"/>
          </rPr>
          <t>S</t>
        </r>
        <r>
          <rPr>
            <sz val="8"/>
            <color indexed="81"/>
            <rFont val="Tahoma"/>
            <family val="2"/>
          </rPr>
          <t xml:space="preserve"> My)*Ixy)/(Ix*Iy-Ixy^2)*Yp
where:
   Xp = x-distance of pile from centroidal Y-axis
   Yp = y-distance of pile from centroidal X-axis
Sign convention for 'Rz' is as follows:
   positive (+) = compression pile reaction
   negative (-) = tension (uplift) pile reaction</t>
        </r>
      </text>
      <mc:AlternateContent xmlns:mc="http://schemas.openxmlformats.org/markup-compatibility/2006">
        <mc:Choice Requires="v"/>
        <mc:Fallback>
          <commentPr defaultSize="0" autoFill="0" autoLine="0">
            <anchor>
              <from>
                <xdr:col>5</xdr:col>
                <xdr:colOff>76200</xdr:colOff>
                <xdr:row>9</xdr:row>
                <xdr:rowOff>68580</xdr:rowOff>
              </from>
              <to>
                <xdr:col>29</xdr:col>
                <xdr:colOff>617220</xdr:colOff>
                <xdr:row>16</xdr:row>
                <xdr:rowOff>60960</xdr:rowOff>
              </to>
            </anchor>
          </commentPr>
        </mc:Fallback>
      </mc:AlternateContent>
    </comment>
    <comment ref="F11" authorId="3" shapeId="63514">
      <text>
        <r>
          <rPr>
            <sz val="8"/>
            <color indexed="81"/>
            <rFont val="Tahoma"/>
            <family val="2"/>
          </rPr>
          <t>The Horizontal Pile Reaction, 'Rh', at each pile is calculated as follows:
   Rh = (((</t>
        </r>
        <r>
          <rPr>
            <sz val="8"/>
            <color indexed="81"/>
            <rFont val="Symbol"/>
            <family val="1"/>
            <charset val="2"/>
          </rPr>
          <t>S</t>
        </r>
        <r>
          <rPr>
            <sz val="8"/>
            <color indexed="81"/>
            <rFont val="Tahoma"/>
            <family val="2"/>
          </rPr>
          <t xml:space="preserve"> Hx)/Np +</t>
        </r>
        <r>
          <rPr>
            <sz val="8"/>
            <color indexed="81"/>
            <rFont val="Symbol"/>
            <family val="1"/>
            <charset val="2"/>
          </rPr>
          <t xml:space="preserve"> (S</t>
        </r>
        <r>
          <rPr>
            <sz val="8"/>
            <color indexed="81"/>
            <rFont val="Tahoma"/>
            <family val="2"/>
          </rPr>
          <t xml:space="preserve"> Mz)*Yp/J)^2 + ((</t>
        </r>
        <r>
          <rPr>
            <sz val="8"/>
            <color indexed="81"/>
            <rFont val="Symbol"/>
            <family val="1"/>
            <charset val="2"/>
          </rPr>
          <t>S</t>
        </r>
        <r>
          <rPr>
            <sz val="8"/>
            <color indexed="81"/>
            <rFont val="Tahoma"/>
            <family val="2"/>
          </rPr>
          <t xml:space="preserve"> Hy)/Np + (</t>
        </r>
        <r>
          <rPr>
            <sz val="8"/>
            <color indexed="81"/>
            <rFont val="Symbol"/>
            <family val="1"/>
            <charset val="2"/>
          </rPr>
          <t>S</t>
        </r>
        <r>
          <rPr>
            <sz val="8"/>
            <color indexed="81"/>
            <rFont val="Tahoma"/>
            <family val="2"/>
          </rPr>
          <t xml:space="preserve"> Mz)*Xp/J)^2)^(1/2)
where:
   Xp = x-distance of pile from centroidal Y-axis
   Yp = y-distance of pile from centroidal X-axis
Note: 'Rh' is an "absolute" value with no particular sign convention, thus no
          directional sense.</t>
        </r>
      </text>
      <mc:AlternateContent xmlns:mc="http://schemas.openxmlformats.org/markup-compatibility/2006">
        <mc:Choice Requires="v"/>
        <mc:Fallback>
          <commentPr defaultSize="0" autoFill="0" autoLine="0">
            <anchor>
              <from>
                <xdr:col>6</xdr:col>
                <xdr:colOff>76200</xdr:colOff>
                <xdr:row>9</xdr:row>
                <xdr:rowOff>68580</xdr:rowOff>
              </from>
              <to>
                <xdr:col>28</xdr:col>
                <xdr:colOff>411480</xdr:colOff>
                <xdr:row>15</xdr:row>
                <xdr:rowOff>60960</xdr:rowOff>
              </to>
            </anchor>
          </commentPr>
        </mc:Fallback>
      </mc:AlternateContent>
    </comment>
    <comment ref="H30" authorId="3" shapeId="63490">
      <text>
        <r>
          <rPr>
            <sz val="8"/>
            <color indexed="81"/>
            <rFont val="Tahoma"/>
            <family val="2"/>
          </rPr>
          <t xml:space="preserve">The location of the centroidal Y-axis from the origin Y-axis is calculated as follows:
   Xc = </t>
        </r>
        <r>
          <rPr>
            <sz val="8"/>
            <color indexed="81"/>
            <rFont val="Symbol"/>
            <family val="1"/>
            <charset val="2"/>
          </rPr>
          <t>S</t>
        </r>
        <r>
          <rPr>
            <sz val="8"/>
            <color indexed="81"/>
            <rFont val="Tahoma"/>
            <family val="2"/>
          </rPr>
          <t xml:space="preserve"> (Xo)/Np
where:
   Np = total number of piles in group</t>
        </r>
      </text>
      <mc:AlternateContent xmlns:mc="http://schemas.openxmlformats.org/markup-compatibility/2006">
        <mc:Choice Requires="v"/>
        <mc:Fallback>
          <commentPr defaultSize="0" autoFill="0" autoLine="0">
            <anchor>
              <from>
                <xdr:col>8</xdr:col>
                <xdr:colOff>76200</xdr:colOff>
                <xdr:row>28</xdr:row>
                <xdr:rowOff>68580</xdr:rowOff>
              </from>
              <to>
                <xdr:col>27</xdr:col>
                <xdr:colOff>617220</xdr:colOff>
                <xdr:row>32</xdr:row>
                <xdr:rowOff>129540</xdr:rowOff>
              </to>
            </anchor>
          </commentPr>
        </mc:Fallback>
      </mc:AlternateContent>
    </comment>
    <comment ref="H31" authorId="3" shapeId="63495">
      <text>
        <r>
          <rPr>
            <sz val="8"/>
            <color indexed="81"/>
            <rFont val="Tahoma"/>
            <family val="2"/>
          </rPr>
          <t xml:space="preserve">The location of the centroidal X-axis from the origin X-axis is calculated as follows:
   Yc = </t>
        </r>
        <r>
          <rPr>
            <sz val="8"/>
            <color indexed="81"/>
            <rFont val="Symbol"/>
            <family val="1"/>
            <charset val="2"/>
          </rPr>
          <t>S</t>
        </r>
        <r>
          <rPr>
            <sz val="8"/>
            <color indexed="81"/>
            <rFont val="Tahoma"/>
            <family val="2"/>
          </rPr>
          <t xml:space="preserve"> (Yo)/Np
where:
   Np = total number of piles in group</t>
        </r>
      </text>
      <mc:AlternateContent xmlns:mc="http://schemas.openxmlformats.org/markup-compatibility/2006">
        <mc:Choice Requires="v"/>
        <mc:Fallback>
          <commentPr defaultSize="0" autoFill="0" autoLine="0">
            <anchor>
              <from>
                <xdr:col>8</xdr:col>
                <xdr:colOff>76200</xdr:colOff>
                <xdr:row>29</xdr:row>
                <xdr:rowOff>68580</xdr:rowOff>
              </from>
              <to>
                <xdr:col>27</xdr:col>
                <xdr:colOff>617220</xdr:colOff>
                <xdr:row>33</xdr:row>
                <xdr:rowOff>129540</xdr:rowOff>
              </to>
            </anchor>
          </commentPr>
        </mc:Fallback>
      </mc:AlternateContent>
    </comment>
    <comment ref="H32" authorId="3" shapeId="63668">
      <text>
        <r>
          <rPr>
            <sz val="8"/>
            <color indexed="81"/>
            <rFont val="Tahoma"/>
            <family val="2"/>
          </rPr>
          <t>The X-axis Moment of Inertia, 'Ix',  for the pile group is calculated as follows:
   Ix = Ap*</t>
        </r>
        <r>
          <rPr>
            <sz val="8"/>
            <color indexed="81"/>
            <rFont val="Symbol"/>
            <family val="1"/>
            <charset val="2"/>
          </rPr>
          <t>S</t>
        </r>
        <r>
          <rPr>
            <sz val="8"/>
            <color indexed="81"/>
            <rFont val="Tahoma"/>
            <family val="2"/>
          </rPr>
          <t xml:space="preserve"> (dy)^2
where:
   Ap = Area of pile assumed = unity (1) 
   dy = y-distance of each pile from
               centroidal X-axis </t>
        </r>
      </text>
      <mc:AlternateContent xmlns:mc="http://schemas.openxmlformats.org/markup-compatibility/2006">
        <mc:Choice Requires="v"/>
        <mc:Fallback>
          <commentPr defaultSize="0" autoFill="0" autoLine="0">
            <anchor>
              <from>
                <xdr:col>8</xdr:col>
                <xdr:colOff>144780</xdr:colOff>
                <xdr:row>30</xdr:row>
                <xdr:rowOff>68580</xdr:rowOff>
              </from>
              <to>
                <xdr:col>28</xdr:col>
                <xdr:colOff>7620</xdr:colOff>
                <xdr:row>36</xdr:row>
                <xdr:rowOff>99060</xdr:rowOff>
              </to>
            </anchor>
          </commentPr>
        </mc:Fallback>
      </mc:AlternateContent>
    </comment>
    <comment ref="H33" authorId="3" shapeId="63669">
      <text>
        <r>
          <rPr>
            <sz val="8"/>
            <color indexed="81"/>
            <rFont val="Tahoma"/>
            <family val="2"/>
          </rPr>
          <t>The Y-axis Moment of Inertia, 'Iy',  for the pile group is calculated as follows:
   Iy = Ap*</t>
        </r>
        <r>
          <rPr>
            <sz val="8"/>
            <color indexed="81"/>
            <rFont val="Symbol"/>
            <family val="1"/>
            <charset val="2"/>
          </rPr>
          <t>S</t>
        </r>
        <r>
          <rPr>
            <sz val="8"/>
            <color indexed="81"/>
            <rFont val="Tahoma"/>
            <family val="2"/>
          </rPr>
          <t xml:space="preserve"> (dx)^2
where:
   Ap = Area of pile assumed = unity (1)  
   dx = x-distance of each pile from
               centroidal Y-axis </t>
        </r>
      </text>
      <mc:AlternateContent xmlns:mc="http://schemas.openxmlformats.org/markup-compatibility/2006">
        <mc:Choice Requires="v"/>
        <mc:Fallback>
          <commentPr defaultSize="0" autoFill="0" autoLine="0">
            <anchor>
              <from>
                <xdr:col>8</xdr:col>
                <xdr:colOff>144780</xdr:colOff>
                <xdr:row>31</xdr:row>
                <xdr:rowOff>68580</xdr:rowOff>
              </from>
              <to>
                <xdr:col>28</xdr:col>
                <xdr:colOff>7620</xdr:colOff>
                <xdr:row>37</xdr:row>
                <xdr:rowOff>76200</xdr:rowOff>
              </to>
            </anchor>
          </commentPr>
        </mc:Fallback>
      </mc:AlternateContent>
    </comment>
    <comment ref="H34" authorId="3" shapeId="63493">
      <text>
        <r>
          <rPr>
            <sz val="8"/>
            <color indexed="81"/>
            <rFont val="Tahoma"/>
            <family val="2"/>
          </rPr>
          <t>The Polar Moment of Inertia for the pile group is calculated as follows:
   J = Ix+Iy</t>
        </r>
      </text>
      <mc:AlternateContent xmlns:mc="http://schemas.openxmlformats.org/markup-compatibility/2006">
        <mc:Choice Requires="v"/>
        <mc:Fallback>
          <commentPr defaultSize="0" autoFill="0" autoLine="0">
            <anchor>
              <from>
                <xdr:col>8</xdr:col>
                <xdr:colOff>76200</xdr:colOff>
                <xdr:row>32</xdr:row>
                <xdr:rowOff>68580</xdr:rowOff>
              </from>
              <to>
                <xdr:col>27</xdr:col>
                <xdr:colOff>563880</xdr:colOff>
                <xdr:row>35</xdr:row>
                <xdr:rowOff>22860</xdr:rowOff>
              </to>
            </anchor>
          </commentPr>
        </mc:Fallback>
      </mc:AlternateContent>
    </comment>
    <comment ref="H35" authorId="3" shapeId="63494">
      <text>
        <r>
          <rPr>
            <sz val="8"/>
            <color indexed="81"/>
            <rFont val="Tahoma"/>
            <family val="2"/>
          </rPr>
          <t>The Product Moment of Inertia, 'Ixy', for the pile group is calculated as follows:
   Ixy = Ap*</t>
        </r>
        <r>
          <rPr>
            <sz val="8"/>
            <color indexed="81"/>
            <rFont val="Symbol"/>
            <family val="1"/>
            <charset val="2"/>
          </rPr>
          <t>S</t>
        </r>
        <r>
          <rPr>
            <sz val="8"/>
            <color indexed="81"/>
            <rFont val="Tahoma"/>
            <family val="2"/>
          </rPr>
          <t xml:space="preserve"> (dx*dy)
where:
   Ap = Area of pile assumed = unity (1) 
   dx = x-distance of each pile from
               centroidal Y-axis
   dy = y-distance of each pile from
               centroidal X-axis
Note:  'Ixy' = 0  for a pile group with at
           least one axis of symmetry.</t>
        </r>
      </text>
      <mc:AlternateContent xmlns:mc="http://schemas.openxmlformats.org/markup-compatibility/2006">
        <mc:Choice Requires="v"/>
        <mc:Fallback>
          <commentPr defaultSize="0" autoFill="0" autoLine="0">
            <anchor>
              <from>
                <xdr:col>8</xdr:col>
                <xdr:colOff>76200</xdr:colOff>
                <xdr:row>33</xdr:row>
                <xdr:rowOff>68580</xdr:rowOff>
              </from>
              <to>
                <xdr:col>27</xdr:col>
                <xdr:colOff>601980</xdr:colOff>
                <xdr:row>42</xdr:row>
                <xdr:rowOff>137160</xdr:rowOff>
              </to>
            </anchor>
          </commentPr>
        </mc:Fallback>
      </mc:AlternateContent>
    </comment>
    <comment ref="H36" authorId="3" shapeId="63496">
      <text>
        <r>
          <rPr>
            <sz val="8"/>
            <color indexed="81"/>
            <rFont val="Tahoma"/>
            <family val="2"/>
          </rPr>
          <t>The orientation of the principal axes, is defined by the rotation angle, '</t>
        </r>
        <r>
          <rPr>
            <sz val="8"/>
            <color indexed="81"/>
            <rFont val="Symbol"/>
            <family val="1"/>
            <charset val="2"/>
          </rPr>
          <t xml:space="preserve">q </t>
        </r>
        <r>
          <rPr>
            <sz val="8"/>
            <color indexed="81"/>
            <rFont val="Tahoma"/>
            <family val="2"/>
          </rPr>
          <t xml:space="preserve">', from the centroidal axes and is calculated as follows:
   </t>
        </r>
        <r>
          <rPr>
            <sz val="8"/>
            <color indexed="81"/>
            <rFont val="Symbol"/>
            <family val="1"/>
            <charset val="2"/>
          </rPr>
          <t>q</t>
        </r>
        <r>
          <rPr>
            <sz val="8"/>
            <color indexed="81"/>
            <rFont val="Tahoma"/>
            <family val="2"/>
          </rPr>
          <t xml:space="preserve"> = (ATAN(-2*Ixy/(Ix-Iy)))/2
Note: sign convention is positive (+) ccw.
           '</t>
        </r>
        <r>
          <rPr>
            <sz val="8"/>
            <color indexed="81"/>
            <rFont val="Symbol"/>
            <family val="1"/>
            <charset val="2"/>
          </rPr>
          <t xml:space="preserve">q </t>
        </r>
        <r>
          <rPr>
            <sz val="8"/>
            <color indexed="81"/>
            <rFont val="Tahoma"/>
            <family val="2"/>
          </rPr>
          <t>' = 0  for a pile group with at least one
          axis of symmetry.</t>
        </r>
      </text>
      <mc:AlternateContent xmlns:mc="http://schemas.openxmlformats.org/markup-compatibility/2006">
        <mc:Choice Requires="v"/>
        <mc:Fallback>
          <commentPr defaultSize="0" autoFill="0" autoLine="0">
            <anchor>
              <from>
                <xdr:col>8</xdr:col>
                <xdr:colOff>76200</xdr:colOff>
                <xdr:row>34</xdr:row>
                <xdr:rowOff>68580</xdr:rowOff>
              </from>
              <to>
                <xdr:col>28</xdr:col>
                <xdr:colOff>403860</xdr:colOff>
                <xdr:row>40</xdr:row>
                <xdr:rowOff>68580</xdr:rowOff>
              </to>
            </anchor>
          </commentPr>
        </mc:Fallback>
      </mc:AlternateContent>
    </comment>
    <comment ref="H39" authorId="2" shapeId="63507">
      <text>
        <r>
          <rPr>
            <sz val="8"/>
            <color indexed="81"/>
            <rFont val="Symbol"/>
            <family val="1"/>
            <charset val="2"/>
          </rPr>
          <t xml:space="preserve">S </t>
        </r>
        <r>
          <rPr>
            <sz val="8"/>
            <color indexed="81"/>
            <rFont val="Tahoma"/>
            <family val="2"/>
          </rPr>
          <t xml:space="preserve"> Pz = sum of all applied vertical (Z-axis) loads translated to the centroid of the pile group.
Sign convention: positive in +Z-axis direction</t>
        </r>
      </text>
      <mc:AlternateContent xmlns:mc="http://schemas.openxmlformats.org/markup-compatibility/2006">
        <mc:Choice Requires="v"/>
        <mc:Fallback>
          <commentPr defaultSize="0" autoFill="0" autoLine="0">
            <anchor>
              <from>
                <xdr:col>8</xdr:col>
                <xdr:colOff>76200</xdr:colOff>
                <xdr:row>37</xdr:row>
                <xdr:rowOff>68580</xdr:rowOff>
              </from>
              <to>
                <xdr:col>28</xdr:col>
                <xdr:colOff>236220</xdr:colOff>
                <xdr:row>40</xdr:row>
                <xdr:rowOff>22860</xdr:rowOff>
              </to>
            </anchor>
          </commentPr>
        </mc:Fallback>
      </mc:AlternateContent>
    </comment>
    <comment ref="B40" authorId="2" shapeId="63497">
      <text>
        <r>
          <rPr>
            <sz val="8"/>
            <color indexed="81"/>
            <rFont val="Tahoma"/>
            <family val="2"/>
          </rPr>
          <t xml:space="preserve">All piers must be located in the positive 1st quadrant.  That is, all pier X, Y coordinate values must be &gt;= 0.
</t>
        </r>
        <r>
          <rPr>
            <b/>
            <sz val="8"/>
            <color indexed="81"/>
            <rFont val="Tahoma"/>
            <family val="2"/>
          </rPr>
          <t>Note: The user should make sure to either clear the contents of all cells that are not used for input of pier coordinates, or those cell values should be input = 0.</t>
        </r>
      </text>
      <mc:AlternateContent xmlns:mc="http://schemas.openxmlformats.org/markup-compatibility/2006">
        <mc:Choice Requires="v"/>
        <mc:Fallback>
          <commentPr defaultSize="0" autoFill="0" autoLine="0">
            <anchor>
              <from>
                <xdr:col>2</xdr:col>
                <xdr:colOff>106680</xdr:colOff>
                <xdr:row>38</xdr:row>
                <xdr:rowOff>68580</xdr:rowOff>
              </from>
              <to>
                <xdr:col>6</xdr:col>
                <xdr:colOff>449580</xdr:colOff>
                <xdr:row>42</xdr:row>
                <xdr:rowOff>121920</xdr:rowOff>
              </to>
            </anchor>
          </commentPr>
        </mc:Fallback>
      </mc:AlternateContent>
    </comment>
    <comment ref="H40" authorId="2" shapeId="63508">
      <text>
        <r>
          <rPr>
            <sz val="8"/>
            <color indexed="81"/>
            <rFont val="Symbol"/>
            <family val="1"/>
            <charset val="2"/>
          </rPr>
          <t xml:space="preserve">S </t>
        </r>
        <r>
          <rPr>
            <sz val="8"/>
            <color indexed="81"/>
            <rFont val="Tahoma"/>
            <family val="2"/>
          </rPr>
          <t xml:space="preserve"> Hx = sum of all applied horizontal (X-axis) loads translated to the centroid of the pile group.
Sign convention: positive in +X-axis direction</t>
        </r>
      </text>
      <mc:AlternateContent xmlns:mc="http://schemas.openxmlformats.org/markup-compatibility/2006">
        <mc:Choice Requires="v"/>
        <mc:Fallback>
          <commentPr defaultSize="0" autoFill="0" autoLine="0">
            <anchor>
              <from>
                <xdr:col>8</xdr:col>
                <xdr:colOff>76200</xdr:colOff>
                <xdr:row>38</xdr:row>
                <xdr:rowOff>68580</xdr:rowOff>
              </from>
              <to>
                <xdr:col>28</xdr:col>
                <xdr:colOff>388620</xdr:colOff>
                <xdr:row>41</xdr:row>
                <xdr:rowOff>7620</xdr:rowOff>
              </to>
            </anchor>
          </commentPr>
        </mc:Fallback>
      </mc:AlternateContent>
    </comment>
    <comment ref="B41" authorId="2" shapeId="63498">
      <text>
        <r>
          <rPr>
            <sz val="8"/>
            <color indexed="81"/>
            <rFont val="Tahoma"/>
            <family val="2"/>
          </rPr>
          <t>The 'X' coordinate is the x-distance from the origin axis to a particular pier/loading.</t>
        </r>
      </text>
      <mc:AlternateContent xmlns:mc="http://schemas.openxmlformats.org/markup-compatibility/2006">
        <mc:Choice Requires="v"/>
        <mc:Fallback>
          <commentPr defaultSize="0" autoFill="0" autoLine="0">
            <anchor>
              <from>
                <xdr:col>2</xdr:col>
                <xdr:colOff>106680</xdr:colOff>
                <xdr:row>39</xdr:row>
                <xdr:rowOff>68580</xdr:rowOff>
              </from>
              <to>
                <xdr:col>5</xdr:col>
                <xdr:colOff>99060</xdr:colOff>
                <xdr:row>41</xdr:row>
                <xdr:rowOff>45720</xdr:rowOff>
              </to>
            </anchor>
          </commentPr>
        </mc:Fallback>
      </mc:AlternateContent>
    </comment>
    <comment ref="H41" authorId="2" shapeId="63509">
      <text>
        <r>
          <rPr>
            <sz val="8"/>
            <color indexed="81"/>
            <rFont val="Symbol"/>
            <family val="1"/>
            <charset val="2"/>
          </rPr>
          <t xml:space="preserve">S </t>
        </r>
        <r>
          <rPr>
            <sz val="8"/>
            <color indexed="81"/>
            <rFont val="Tahoma"/>
            <family val="2"/>
          </rPr>
          <t xml:space="preserve"> Hy = sum of all applied horizontal (Y-axis) loads translated to the centroid of the pile group.
Sign convention: positive in +Y-axis direction</t>
        </r>
      </text>
      <mc:AlternateContent xmlns:mc="http://schemas.openxmlformats.org/markup-compatibility/2006">
        <mc:Choice Requires="v"/>
        <mc:Fallback>
          <commentPr defaultSize="0" autoFill="0" autoLine="0">
            <anchor>
              <from>
                <xdr:col>8</xdr:col>
                <xdr:colOff>76200</xdr:colOff>
                <xdr:row>39</xdr:row>
                <xdr:rowOff>68580</xdr:rowOff>
              </from>
              <to>
                <xdr:col>28</xdr:col>
                <xdr:colOff>388620</xdr:colOff>
                <xdr:row>42</xdr:row>
                <xdr:rowOff>7620</xdr:rowOff>
              </to>
            </anchor>
          </commentPr>
        </mc:Fallback>
      </mc:AlternateContent>
    </comment>
    <comment ref="B42" authorId="2" shapeId="63499">
      <text>
        <r>
          <rPr>
            <sz val="8"/>
            <color indexed="81"/>
            <rFont val="Tahoma"/>
            <family val="2"/>
          </rPr>
          <t>The 'Y' coordinate is the y-distance from the origin axis to a particular pier/loading.</t>
        </r>
      </text>
      <mc:AlternateContent xmlns:mc="http://schemas.openxmlformats.org/markup-compatibility/2006">
        <mc:Choice Requires="v"/>
        <mc:Fallback>
          <commentPr defaultSize="0" autoFill="0" autoLine="0">
            <anchor>
              <from>
                <xdr:col>2</xdr:col>
                <xdr:colOff>106680</xdr:colOff>
                <xdr:row>40</xdr:row>
                <xdr:rowOff>68580</xdr:rowOff>
              </from>
              <to>
                <xdr:col>5</xdr:col>
                <xdr:colOff>99060</xdr:colOff>
                <xdr:row>42</xdr:row>
                <xdr:rowOff>45720</xdr:rowOff>
              </to>
            </anchor>
          </commentPr>
        </mc:Fallback>
      </mc:AlternateContent>
    </comment>
    <comment ref="H42" authorId="2" shapeId="63510">
      <text>
        <r>
          <rPr>
            <sz val="8"/>
            <color indexed="81"/>
            <rFont val="Symbol"/>
            <family val="1"/>
            <charset val="2"/>
          </rPr>
          <t xml:space="preserve">S </t>
        </r>
        <r>
          <rPr>
            <sz val="8"/>
            <color indexed="81"/>
            <rFont val="Tahoma"/>
            <family val="2"/>
          </rPr>
          <t xml:space="preserve"> Mx = sum of all applied X-axis moments calculated at the top of the piles and  translated to the centroid of the pile group.
Sign convention: positive by "Right-Hand-Rule"
                            about +X-axis</t>
        </r>
      </text>
      <mc:AlternateContent xmlns:mc="http://schemas.openxmlformats.org/markup-compatibility/2006">
        <mc:Choice Requires="v"/>
        <mc:Fallback>
          <commentPr defaultSize="0" autoFill="0" autoLine="0">
            <anchor>
              <from>
                <xdr:col>8</xdr:col>
                <xdr:colOff>76200</xdr:colOff>
                <xdr:row>40</xdr:row>
                <xdr:rowOff>68580</xdr:rowOff>
              </from>
              <to>
                <xdr:col>28</xdr:col>
                <xdr:colOff>335280</xdr:colOff>
                <xdr:row>44</xdr:row>
                <xdr:rowOff>129540</xdr:rowOff>
              </to>
            </anchor>
          </commentPr>
        </mc:Fallback>
      </mc:AlternateContent>
    </comment>
    <comment ref="B43" authorId="2" shapeId="63500">
      <text>
        <r>
          <rPr>
            <sz val="8"/>
            <color indexed="81"/>
            <rFont val="Tahoma"/>
            <family val="2"/>
          </rPr>
          <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t>
        </r>
      </text>
      <mc:AlternateContent xmlns:mc="http://schemas.openxmlformats.org/markup-compatibility/2006">
        <mc:Choice Requires="v"/>
        <mc:Fallback>
          <commentPr defaultSize="0" autoFill="0" autoLine="0">
            <anchor>
              <from>
                <xdr:col>2</xdr:col>
                <xdr:colOff>106680</xdr:colOff>
                <xdr:row>41</xdr:row>
                <xdr:rowOff>68580</xdr:rowOff>
              </from>
              <to>
                <xdr:col>6</xdr:col>
                <xdr:colOff>274320</xdr:colOff>
                <xdr:row>47</xdr:row>
                <xdr:rowOff>68580</xdr:rowOff>
              </to>
            </anchor>
          </commentPr>
        </mc:Fallback>
      </mc:AlternateContent>
    </comment>
    <comment ref="H43" authorId="2" shapeId="63511">
      <text>
        <r>
          <rPr>
            <sz val="8"/>
            <color indexed="81"/>
            <rFont val="Symbol"/>
            <family val="1"/>
            <charset val="2"/>
          </rPr>
          <t xml:space="preserve">S </t>
        </r>
        <r>
          <rPr>
            <sz val="8"/>
            <color indexed="81"/>
            <rFont val="Tahoma"/>
            <family val="2"/>
          </rPr>
          <t xml:space="preserve"> My = sum of all applied Y-axis moments calculated at the top of the piles and  translated to the centroid of the pile group.
Sign convention: positive by "Right-Hand-Rule"
                            about +Y-axis</t>
        </r>
      </text>
      <mc:AlternateContent xmlns:mc="http://schemas.openxmlformats.org/markup-compatibility/2006">
        <mc:Choice Requires="v"/>
        <mc:Fallback>
          <commentPr defaultSize="0" autoFill="0" autoLine="0">
            <anchor>
              <from>
                <xdr:col>8</xdr:col>
                <xdr:colOff>76200</xdr:colOff>
                <xdr:row>41</xdr:row>
                <xdr:rowOff>68580</xdr:rowOff>
              </from>
              <to>
                <xdr:col>28</xdr:col>
                <xdr:colOff>335280</xdr:colOff>
                <xdr:row>45</xdr:row>
                <xdr:rowOff>129540</xdr:rowOff>
              </to>
            </anchor>
          </commentPr>
        </mc:Fallback>
      </mc:AlternateContent>
    </comment>
    <comment ref="B44" authorId="2" shapeId="63501">
      <text>
        <r>
          <rPr>
            <sz val="8"/>
            <color indexed="81"/>
            <rFont val="Tahoma"/>
            <family val="2"/>
          </rPr>
          <t>'Pz' is the vertical (Z-axis) load to be applied at the pier location.
Sign convention: + = upward (out of page)
                            -  = downward (into page) for gravity loads</t>
        </r>
      </text>
      <mc:AlternateContent xmlns:mc="http://schemas.openxmlformats.org/markup-compatibility/2006">
        <mc:Choice Requires="v"/>
        <mc:Fallback>
          <commentPr defaultSize="0" autoFill="0" autoLine="0">
            <anchor>
              <from>
                <xdr:col>2</xdr:col>
                <xdr:colOff>106680</xdr:colOff>
                <xdr:row>42</xdr:row>
                <xdr:rowOff>68580</xdr:rowOff>
              </from>
              <to>
                <xdr:col>6</xdr:col>
                <xdr:colOff>525780</xdr:colOff>
                <xdr:row>45</xdr:row>
                <xdr:rowOff>7620</xdr:rowOff>
              </to>
            </anchor>
          </commentPr>
        </mc:Fallback>
      </mc:AlternateContent>
    </comment>
    <comment ref="H44" authorId="2" shapeId="63512">
      <text>
        <r>
          <rPr>
            <sz val="8"/>
            <color indexed="81"/>
            <rFont val="Symbol"/>
            <family val="1"/>
            <charset val="2"/>
          </rPr>
          <t xml:space="preserve">S </t>
        </r>
        <r>
          <rPr>
            <sz val="8"/>
            <color indexed="81"/>
            <rFont val="Tahoma"/>
            <family val="2"/>
          </rPr>
          <t xml:space="preserve"> Mz = sum of all applied Z-axis moments translated to the centroid of the pile group.
Sign convention: positive by "Right-Hand-Rule" 
                           about +Z-axis</t>
        </r>
      </text>
      <mc:AlternateContent xmlns:mc="http://schemas.openxmlformats.org/markup-compatibility/2006">
        <mc:Choice Requires="v"/>
        <mc:Fallback>
          <commentPr defaultSize="0" autoFill="0" autoLine="0">
            <anchor>
              <from>
                <xdr:col>8</xdr:col>
                <xdr:colOff>76200</xdr:colOff>
                <xdr:row>42</xdr:row>
                <xdr:rowOff>68580</xdr:rowOff>
              </from>
              <to>
                <xdr:col>28</xdr:col>
                <xdr:colOff>266700</xdr:colOff>
                <xdr:row>45</xdr:row>
                <xdr:rowOff>129540</xdr:rowOff>
              </to>
            </anchor>
          </commentPr>
        </mc:Fallback>
      </mc:AlternateContent>
    </comment>
    <comment ref="B45" authorId="2" shapeId="63502">
      <text>
        <r>
          <rPr>
            <sz val="8"/>
            <color indexed="81"/>
            <rFont val="Tahoma"/>
            <family val="2"/>
          </rPr>
          <t>'Hx' is the horizontal (X-axis) load to be applied at the pier location.
Sign convention: + = to right</t>
        </r>
      </text>
      <mc:AlternateContent xmlns:mc="http://schemas.openxmlformats.org/markup-compatibility/2006">
        <mc:Choice Requires="v"/>
        <mc:Fallback>
          <commentPr defaultSize="0" autoFill="0" autoLine="0">
            <anchor>
              <from>
                <xdr:col>2</xdr:col>
                <xdr:colOff>106680</xdr:colOff>
                <xdr:row>43</xdr:row>
                <xdr:rowOff>68580</xdr:rowOff>
              </from>
              <to>
                <xdr:col>7</xdr:col>
                <xdr:colOff>45720</xdr:colOff>
                <xdr:row>45</xdr:row>
                <xdr:rowOff>45720</xdr:rowOff>
              </to>
            </anchor>
          </commentPr>
        </mc:Fallback>
      </mc:AlternateContent>
    </comment>
    <comment ref="B46" authorId="2" shapeId="63503">
      <text>
        <r>
          <rPr>
            <sz val="8"/>
            <color indexed="81"/>
            <rFont val="Tahoma"/>
            <family val="2"/>
          </rPr>
          <t>'Hy' is the horizontal (Y-axis) load to be applied at the pier location.
Sign convention: + = up the page</t>
        </r>
      </text>
      <mc:AlternateContent xmlns:mc="http://schemas.openxmlformats.org/markup-compatibility/2006">
        <mc:Choice Requires="v"/>
        <mc:Fallback>
          <commentPr defaultSize="0" autoFill="0" autoLine="0">
            <anchor>
              <from>
                <xdr:col>2</xdr:col>
                <xdr:colOff>106680</xdr:colOff>
                <xdr:row>44</xdr:row>
                <xdr:rowOff>68580</xdr:rowOff>
              </from>
              <to>
                <xdr:col>7</xdr:col>
                <xdr:colOff>45720</xdr:colOff>
                <xdr:row>46</xdr:row>
                <xdr:rowOff>45720</xdr:rowOff>
              </to>
            </anchor>
          </commentPr>
        </mc:Fallback>
      </mc:AlternateContent>
    </comment>
    <comment ref="B47" authorId="2" shapeId="63504">
      <text>
        <r>
          <rPr>
            <sz val="8"/>
            <color indexed="81"/>
            <rFont val="Tahoma"/>
            <family val="2"/>
          </rPr>
          <t>'Mx' is the X-axis moment to be applied at the pier location.
Sign convention: + = by "Right-Hand-Rule" about +X-axis</t>
        </r>
      </text>
      <mc:AlternateContent xmlns:mc="http://schemas.openxmlformats.org/markup-compatibility/2006">
        <mc:Choice Requires="v"/>
        <mc:Fallback>
          <commentPr defaultSize="0" autoFill="0" autoLine="0">
            <anchor>
              <from>
                <xdr:col>2</xdr:col>
                <xdr:colOff>106680</xdr:colOff>
                <xdr:row>45</xdr:row>
                <xdr:rowOff>68580</xdr:rowOff>
              </from>
              <to>
                <xdr:col>6</xdr:col>
                <xdr:colOff>274320</xdr:colOff>
                <xdr:row>47</xdr:row>
                <xdr:rowOff>45720</xdr:rowOff>
              </to>
            </anchor>
          </commentPr>
        </mc:Fallback>
      </mc:AlternateContent>
    </comment>
    <comment ref="H47" authorId="3" shapeId="63518">
      <text>
        <r>
          <rPr>
            <sz val="8"/>
            <color indexed="81"/>
            <rFont val="Tahoma"/>
            <family val="2"/>
          </rPr>
          <t>Sign convention for 'Rz(max)' is as follows:
   positive (+) = compression pile reaction
   negative (-) = tension (uplift) pile reaction</t>
        </r>
      </text>
      <mc:AlternateContent xmlns:mc="http://schemas.openxmlformats.org/markup-compatibility/2006">
        <mc:Choice Requires="v"/>
        <mc:Fallback>
          <commentPr defaultSize="0" autoFill="0" autoLine="0">
            <anchor>
              <from>
                <xdr:col>8</xdr:col>
                <xdr:colOff>68580</xdr:colOff>
                <xdr:row>43</xdr:row>
                <xdr:rowOff>68580</xdr:rowOff>
              </from>
              <to>
                <xdr:col>28</xdr:col>
                <xdr:colOff>114300</xdr:colOff>
                <xdr:row>46</xdr:row>
                <xdr:rowOff>30480</xdr:rowOff>
              </to>
            </anchor>
          </commentPr>
        </mc:Fallback>
      </mc:AlternateContent>
    </comment>
    <comment ref="B48" authorId="2" shapeId="63505">
      <text>
        <r>
          <rPr>
            <sz val="8"/>
            <color indexed="81"/>
            <rFont val="Tahoma"/>
            <family val="2"/>
          </rPr>
          <t>'My' is the Y-axis moment to be applied at the pier location.
Sign convention: + = by "Right-Hand-Rule" about +Y-axis</t>
        </r>
      </text>
      <mc:AlternateContent xmlns:mc="http://schemas.openxmlformats.org/markup-compatibility/2006">
        <mc:Choice Requires="v"/>
        <mc:Fallback>
          <commentPr defaultSize="0" autoFill="0" autoLine="0">
            <anchor>
              <from>
                <xdr:col>2</xdr:col>
                <xdr:colOff>106680</xdr:colOff>
                <xdr:row>46</xdr:row>
                <xdr:rowOff>68580</xdr:rowOff>
              </from>
              <to>
                <xdr:col>6</xdr:col>
                <xdr:colOff>274320</xdr:colOff>
                <xdr:row>48</xdr:row>
                <xdr:rowOff>45720</xdr:rowOff>
              </to>
            </anchor>
          </commentPr>
        </mc:Fallback>
      </mc:AlternateContent>
    </comment>
    <comment ref="H48" authorId="3" shapeId="63519">
      <text>
        <r>
          <rPr>
            <sz val="8"/>
            <color indexed="81"/>
            <rFont val="Tahoma"/>
            <family val="2"/>
          </rPr>
          <t>Sign convention for 'Rz(min)' is as follows:
   positive (+) = compression pile reaction
   negative (-) = tension (uplift) pile reaction</t>
        </r>
      </text>
      <mc:AlternateContent xmlns:mc="http://schemas.openxmlformats.org/markup-compatibility/2006">
        <mc:Choice Requires="v"/>
        <mc:Fallback>
          <commentPr defaultSize="0" autoFill="0" autoLine="0">
            <anchor>
              <from>
                <xdr:col>8</xdr:col>
                <xdr:colOff>76200</xdr:colOff>
                <xdr:row>46</xdr:row>
                <xdr:rowOff>68580</xdr:rowOff>
              </from>
              <to>
                <xdr:col>28</xdr:col>
                <xdr:colOff>129540</xdr:colOff>
                <xdr:row>49</xdr:row>
                <xdr:rowOff>30480</xdr:rowOff>
              </to>
            </anchor>
          </commentPr>
        </mc:Fallback>
      </mc:AlternateContent>
    </comment>
    <comment ref="B49" authorId="2" shapeId="63506">
      <text>
        <r>
          <rPr>
            <sz val="8"/>
            <color indexed="81"/>
            <rFont val="Tahoma"/>
            <family val="2"/>
          </rPr>
          <t>'Mz' is the Z-axis moment to be applied at the pier location.
Sign convention: + = by "Right-Hand-Rule" about +Z-axis</t>
        </r>
      </text>
      <mc:AlternateContent xmlns:mc="http://schemas.openxmlformats.org/markup-compatibility/2006">
        <mc:Choice Requires="v"/>
        <mc:Fallback>
          <commentPr defaultSize="0" autoFill="0" autoLine="0">
            <anchor>
              <from>
                <xdr:col>2</xdr:col>
                <xdr:colOff>106680</xdr:colOff>
                <xdr:row>47</xdr:row>
                <xdr:rowOff>68580</xdr:rowOff>
              </from>
              <to>
                <xdr:col>6</xdr:col>
                <xdr:colOff>274320</xdr:colOff>
                <xdr:row>49</xdr:row>
                <xdr:rowOff>45720</xdr:rowOff>
              </to>
            </anchor>
          </commentPr>
        </mc:Fallback>
      </mc:AlternateContent>
    </comment>
    <comment ref="H49" authorId="3" shapeId="63520">
      <text>
        <r>
          <rPr>
            <sz val="8"/>
            <color indexed="81"/>
            <rFont val="Tahoma"/>
            <family val="2"/>
          </rPr>
          <t>Note: 'Rh(max)' is an "absolute" value
          with no particular sign convention,
          thus no directional sense.</t>
        </r>
      </text>
      <mc:AlternateContent xmlns:mc="http://schemas.openxmlformats.org/markup-compatibility/2006">
        <mc:Choice Requires="v"/>
        <mc:Fallback>
          <commentPr defaultSize="0" autoFill="0" autoLine="0">
            <anchor>
              <from>
                <xdr:col>8</xdr:col>
                <xdr:colOff>76200</xdr:colOff>
                <xdr:row>47</xdr:row>
                <xdr:rowOff>68580</xdr:rowOff>
              </from>
              <to>
                <xdr:col>27</xdr:col>
                <xdr:colOff>586740</xdr:colOff>
                <xdr:row>50</xdr:row>
                <xdr:rowOff>22860</xdr:rowOff>
              </to>
            </anchor>
          </commentPr>
        </mc:Fallback>
      </mc:AlternateContent>
    </comment>
    <comment ref="AG58" authorId="2" shapeId="63533">
      <text>
        <r>
          <rPr>
            <b/>
            <sz val="8"/>
            <color indexed="81"/>
            <rFont val="Tahoma"/>
            <family val="2"/>
          </rPr>
          <t>The minimum number of piles = 3.
The maximum number of piles = 25.</t>
        </r>
      </text>
      <mc:AlternateContent xmlns:mc="http://schemas.openxmlformats.org/markup-compatibility/2006">
        <mc:Choice Requires="v"/>
        <mc:Fallback>
          <commentPr defaultSize="0" autoFill="0" autoLine="0">
            <anchor>
              <from>
                <xdr:col>33</xdr:col>
                <xdr:colOff>213360</xdr:colOff>
                <xdr:row>56</xdr:row>
                <xdr:rowOff>68580</xdr:rowOff>
              </from>
              <to>
                <xdr:col>36</xdr:col>
                <xdr:colOff>449580</xdr:colOff>
                <xdr:row>58</xdr:row>
                <xdr:rowOff>60960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authors>
    <author>Bob Dalpiaz</author>
    <author>O'Neal User</author>
    <author>ATOMANOV</author>
    <author>4892</author>
  </authors>
  <commentList>
    <comment ref="AA1" authorId="0" shapeId="33793">
      <text>
        <r>
          <rPr>
            <sz val="8"/>
            <color indexed="81"/>
            <rFont val="Tahoma"/>
          </rPr>
          <t xml:space="preserve">              "</t>
        </r>
        <r>
          <rPr>
            <b/>
            <sz val="8"/>
            <color indexed="81"/>
            <rFont val="Tahoma"/>
            <family val="2"/>
          </rPr>
          <t>PILEGRP.xls</t>
        </r>
        <r>
          <rPr>
            <sz val="8"/>
            <color indexed="81"/>
            <rFont val="Tahoma"/>
          </rPr>
          <t>"
written by:  Alex Tomanovich, P.E.</t>
        </r>
      </text>
      <mc:AlternateContent xmlns:mc="http://schemas.openxmlformats.org/markup-compatibility/2006">
        <mc:Choice Requires="v"/>
        <mc:Fallback>
          <commentPr defaultSize="0" autoFill="0" autoLine="0">
            <anchor>
              <from>
                <xdr:col>27</xdr:col>
                <xdr:colOff>144780</xdr:colOff>
                <xdr:row>0</xdr:row>
                <xdr:rowOff>15240</xdr:rowOff>
              </from>
              <to>
                <xdr:col>29</xdr:col>
                <xdr:colOff>579120</xdr:colOff>
                <xdr:row>1</xdr:row>
                <xdr:rowOff>106680</xdr:rowOff>
              </to>
            </anchor>
          </commentPr>
        </mc:Fallback>
      </mc:AlternateContent>
    </comment>
    <comment ref="AC2" authorId="1" shapeId="33828">
      <text>
        <r>
          <rPr>
            <sz val="8"/>
            <color indexed="81"/>
            <rFont val="Tahoma"/>
            <family val="2"/>
          </rPr>
          <t>The user may manually adjust the scaling of the plotted pile group by adjusting the "X" and "Y" plot scale factors below.  The object is to try to equalize the maximum X-axis and Y-axis values which are shown.</t>
        </r>
      </text>
      <mc:AlternateContent xmlns:mc="http://schemas.openxmlformats.org/markup-compatibility/2006">
        <mc:Choice Requires="v"/>
        <mc:Fallback>
          <commentPr defaultSize="0" autoFill="0" autoLine="0">
            <anchor>
              <from>
                <xdr:col>29</xdr:col>
                <xdr:colOff>213360</xdr:colOff>
                <xdr:row>0</xdr:row>
                <xdr:rowOff>106680</xdr:rowOff>
              </from>
              <to>
                <xdr:col>31</xdr:col>
                <xdr:colOff>175260</xdr:colOff>
                <xdr:row>7</xdr:row>
                <xdr:rowOff>38100</xdr:rowOff>
              </to>
            </anchor>
          </commentPr>
        </mc:Fallback>
      </mc:AlternateContent>
    </comment>
    <comment ref="C9" authorId="2" shapeId="33849">
      <text>
        <r>
          <rPr>
            <b/>
            <sz val="8"/>
            <color indexed="81"/>
            <rFont val="Tahoma"/>
            <family val="2"/>
          </rPr>
          <t>The minimum number of piles = 2.
The maximum number of piles = 25.</t>
        </r>
      </text>
      <mc:AlternateContent xmlns:mc="http://schemas.openxmlformats.org/markup-compatibility/2006">
        <mc:Choice Requires="v"/>
        <mc:Fallback>
          <commentPr defaultSize="0" autoFill="0" autoLine="0">
            <anchor>
              <from>
                <xdr:col>3</xdr:col>
                <xdr:colOff>144780</xdr:colOff>
                <xdr:row>7</xdr:row>
                <xdr:rowOff>68580</xdr:rowOff>
              </from>
              <to>
                <xdr:col>6</xdr:col>
                <xdr:colOff>205740</xdr:colOff>
                <xdr:row>9</xdr:row>
                <xdr:rowOff>60960</xdr:rowOff>
              </to>
            </anchor>
          </commentPr>
        </mc:Fallback>
      </mc:AlternateContent>
    </comment>
    <comment ref="C10" authorId="2" shapeId="33819">
      <text>
        <r>
          <rPr>
            <sz val="8"/>
            <color indexed="81"/>
            <rFont val="Tahoma"/>
            <family val="2"/>
          </rPr>
          <t xml:space="preserve">All piles must be located in the positive 1st quadrant.  That is, all pile Xo, Yo coordinate values must be &gt;= 0.
</t>
        </r>
        <r>
          <rPr>
            <b/>
            <sz val="8"/>
            <color indexed="81"/>
            <rFont val="Tahoma"/>
            <family val="2"/>
          </rPr>
          <t>Note: The user should make sure to either clear the contents of all cells that are not used for input of pile coordinates, or those cell values should be input = 0.</t>
        </r>
      </text>
      <mc:AlternateContent xmlns:mc="http://schemas.openxmlformats.org/markup-compatibility/2006">
        <mc:Choice Requires="v"/>
        <mc:Fallback>
          <commentPr defaultSize="0" autoFill="0" autoLine="0">
            <anchor>
              <from>
                <xdr:col>3</xdr:col>
                <xdr:colOff>106680</xdr:colOff>
                <xdr:row>8</xdr:row>
                <xdr:rowOff>68580</xdr:rowOff>
              </from>
              <to>
                <xdr:col>7</xdr:col>
                <xdr:colOff>114300</xdr:colOff>
                <xdr:row>13</xdr:row>
                <xdr:rowOff>91440</xdr:rowOff>
              </to>
            </anchor>
          </commentPr>
        </mc:Fallback>
      </mc:AlternateContent>
    </comment>
    <comment ref="B11" authorId="2" shapeId="33820">
      <text>
        <r>
          <rPr>
            <sz val="8"/>
            <color indexed="81"/>
            <rFont val="Tahoma"/>
            <family val="2"/>
          </rPr>
          <t>The 'Xo' coordinate is the x-distance from the origin axis to a particular pile.</t>
        </r>
      </text>
      <mc:AlternateContent xmlns:mc="http://schemas.openxmlformats.org/markup-compatibility/2006">
        <mc:Choice Requires="v"/>
        <mc:Fallback>
          <commentPr defaultSize="0" autoFill="0" autoLine="0">
            <anchor>
              <from>
                <xdr:col>2</xdr:col>
                <xdr:colOff>106680</xdr:colOff>
                <xdr:row>9</xdr:row>
                <xdr:rowOff>68580</xdr:rowOff>
              </from>
              <to>
                <xdr:col>5</xdr:col>
                <xdr:colOff>76200</xdr:colOff>
                <xdr:row>11</xdr:row>
                <xdr:rowOff>45720</xdr:rowOff>
              </to>
            </anchor>
          </commentPr>
        </mc:Fallback>
      </mc:AlternateContent>
    </comment>
    <comment ref="C11" authorId="2" shapeId="33821">
      <text>
        <r>
          <rPr>
            <sz val="8"/>
            <color indexed="81"/>
            <rFont val="Tahoma"/>
            <family val="2"/>
          </rPr>
          <t>The 'Yo' coordinate is the y-distance from the origin axis to a particular pile.</t>
        </r>
      </text>
      <mc:AlternateContent xmlns:mc="http://schemas.openxmlformats.org/markup-compatibility/2006">
        <mc:Choice Requires="v"/>
        <mc:Fallback>
          <commentPr defaultSize="0" autoFill="0" autoLine="0">
            <anchor>
              <from>
                <xdr:col>3</xdr:col>
                <xdr:colOff>106680</xdr:colOff>
                <xdr:row>9</xdr:row>
                <xdr:rowOff>68580</xdr:rowOff>
              </from>
              <to>
                <xdr:col>6</xdr:col>
                <xdr:colOff>76200</xdr:colOff>
                <xdr:row>11</xdr:row>
                <xdr:rowOff>45720</xdr:rowOff>
              </to>
            </anchor>
          </commentPr>
        </mc:Fallback>
      </mc:AlternateContent>
    </comment>
    <comment ref="E11" authorId="3" shapeId="33817">
      <text>
        <r>
          <rPr>
            <sz val="8"/>
            <color indexed="81"/>
            <rFont val="Tahoma"/>
            <family val="2"/>
          </rPr>
          <t>The Vertical Pile Reaction, 'Rz', at each pile is calculated as follows:
   Rz = (-</t>
        </r>
        <r>
          <rPr>
            <sz val="8"/>
            <color indexed="81"/>
            <rFont val="Symbol"/>
            <family val="1"/>
            <charset val="2"/>
          </rPr>
          <t>S</t>
        </r>
        <r>
          <rPr>
            <sz val="8"/>
            <color indexed="81"/>
            <rFont val="Tahoma"/>
            <family val="2"/>
          </rPr>
          <t xml:space="preserve"> Pz)/Np +</t>
        </r>
        <r>
          <rPr>
            <sz val="8"/>
            <color indexed="81"/>
            <rFont val="Symbol"/>
            <family val="1"/>
            <charset val="2"/>
          </rPr>
          <t xml:space="preserve"> ((S</t>
        </r>
        <r>
          <rPr>
            <sz val="8"/>
            <color indexed="81"/>
            <rFont val="Tahoma"/>
            <family val="2"/>
          </rPr>
          <t xml:space="preserve"> My)*Ix-(-</t>
        </r>
        <r>
          <rPr>
            <sz val="8"/>
            <color indexed="81"/>
            <rFont val="Symbol"/>
            <family val="1"/>
            <charset val="2"/>
          </rPr>
          <t>S</t>
        </r>
        <r>
          <rPr>
            <sz val="8"/>
            <color indexed="81"/>
            <rFont val="Tahoma"/>
            <family val="2"/>
          </rPr>
          <t xml:space="preserve"> Mx)*Ixy)/(Ix*Iy-Ixy^2)*Xp + ((</t>
        </r>
        <r>
          <rPr>
            <sz val="8"/>
            <color indexed="81"/>
            <rFont val="Symbol"/>
            <family val="1"/>
            <charset val="2"/>
          </rPr>
          <t>S</t>
        </r>
        <r>
          <rPr>
            <sz val="8"/>
            <color indexed="81"/>
            <rFont val="Tahoma"/>
            <family val="2"/>
          </rPr>
          <t xml:space="preserve"> Mx)*Iy-(</t>
        </r>
        <r>
          <rPr>
            <sz val="8"/>
            <color indexed="81"/>
            <rFont val="Symbol"/>
            <family val="1"/>
            <charset val="2"/>
          </rPr>
          <t>S</t>
        </r>
        <r>
          <rPr>
            <sz val="8"/>
            <color indexed="81"/>
            <rFont val="Tahoma"/>
            <family val="2"/>
          </rPr>
          <t xml:space="preserve"> My)*Ixy)/(Ix*Iy-Ixy^2)*Yp
where:
   Xp = x-distance of pile from centroidal Y-axis
   Yp = y-distance of pile from centroidal X-axis
Sign convention for 'Rz' is as follows:
   positive (+) = compression pile reaction
   negative (-) = tension (uplift) pile reaction</t>
        </r>
      </text>
      <mc:AlternateContent xmlns:mc="http://schemas.openxmlformats.org/markup-compatibility/2006">
        <mc:Choice Requires="v"/>
        <mc:Fallback>
          <commentPr defaultSize="0" autoFill="0" autoLine="0">
            <anchor>
              <from>
                <xdr:col>5</xdr:col>
                <xdr:colOff>76200</xdr:colOff>
                <xdr:row>9</xdr:row>
                <xdr:rowOff>68580</xdr:rowOff>
              </from>
              <to>
                <xdr:col>29</xdr:col>
                <xdr:colOff>617220</xdr:colOff>
                <xdr:row>16</xdr:row>
                <xdr:rowOff>60960</xdr:rowOff>
              </to>
            </anchor>
          </commentPr>
        </mc:Fallback>
      </mc:AlternateContent>
    </comment>
    <comment ref="F11" authorId="3" shapeId="33818">
      <text>
        <r>
          <rPr>
            <sz val="8"/>
            <color indexed="81"/>
            <rFont val="Tahoma"/>
            <family val="2"/>
          </rPr>
          <t>The Horizontal Pile Reaction, 'Rh', at each pile is calculated as follows:
   Rh = (((</t>
        </r>
        <r>
          <rPr>
            <sz val="8"/>
            <color indexed="81"/>
            <rFont val="Symbol"/>
            <family val="1"/>
            <charset val="2"/>
          </rPr>
          <t>S</t>
        </r>
        <r>
          <rPr>
            <sz val="8"/>
            <color indexed="81"/>
            <rFont val="Tahoma"/>
            <family val="2"/>
          </rPr>
          <t xml:space="preserve"> Hx)/Np +</t>
        </r>
        <r>
          <rPr>
            <sz val="8"/>
            <color indexed="81"/>
            <rFont val="Symbol"/>
            <family val="1"/>
            <charset val="2"/>
          </rPr>
          <t xml:space="preserve"> (S</t>
        </r>
        <r>
          <rPr>
            <sz val="8"/>
            <color indexed="81"/>
            <rFont val="Tahoma"/>
            <family val="2"/>
          </rPr>
          <t xml:space="preserve"> Mz)*Yp/J)^2 + ((</t>
        </r>
        <r>
          <rPr>
            <sz val="8"/>
            <color indexed="81"/>
            <rFont val="Symbol"/>
            <family val="1"/>
            <charset val="2"/>
          </rPr>
          <t>S</t>
        </r>
        <r>
          <rPr>
            <sz val="8"/>
            <color indexed="81"/>
            <rFont val="Tahoma"/>
            <family val="2"/>
          </rPr>
          <t xml:space="preserve"> Hy)/Np + (</t>
        </r>
        <r>
          <rPr>
            <sz val="8"/>
            <color indexed="81"/>
            <rFont val="Symbol"/>
            <family val="1"/>
            <charset val="2"/>
          </rPr>
          <t>S</t>
        </r>
        <r>
          <rPr>
            <sz val="8"/>
            <color indexed="81"/>
            <rFont val="Tahoma"/>
            <family val="2"/>
          </rPr>
          <t xml:space="preserve"> Mz)*Xp/J)^2)^(1/2)
where:
   Xp = x-distance of pile from centroidal Y-axis
   Yp = y-distance of pile from centroidal X-axis
Note: 'Rh' is an "absolute" value with no particular sign convention, thus no
          directional sense.</t>
        </r>
      </text>
      <mc:AlternateContent xmlns:mc="http://schemas.openxmlformats.org/markup-compatibility/2006">
        <mc:Choice Requires="v"/>
        <mc:Fallback>
          <commentPr defaultSize="0" autoFill="0" autoLine="0">
            <anchor>
              <from>
                <xdr:col>6</xdr:col>
                <xdr:colOff>76200</xdr:colOff>
                <xdr:row>9</xdr:row>
                <xdr:rowOff>68580</xdr:rowOff>
              </from>
              <to>
                <xdr:col>28</xdr:col>
                <xdr:colOff>411480</xdr:colOff>
                <xdr:row>15</xdr:row>
                <xdr:rowOff>60960</xdr:rowOff>
              </to>
            </anchor>
          </commentPr>
        </mc:Fallback>
      </mc:AlternateContent>
    </comment>
    <comment ref="H30" authorId="3" shapeId="33794">
      <text>
        <r>
          <rPr>
            <sz val="8"/>
            <color indexed="81"/>
            <rFont val="Tahoma"/>
            <family val="2"/>
          </rPr>
          <t xml:space="preserve">The location of the centroidal Y-axis from the origin Y-axis is calculated as follows:
   Xc = </t>
        </r>
        <r>
          <rPr>
            <sz val="8"/>
            <color indexed="81"/>
            <rFont val="Symbol"/>
            <family val="1"/>
            <charset val="2"/>
          </rPr>
          <t>S</t>
        </r>
        <r>
          <rPr>
            <sz val="8"/>
            <color indexed="81"/>
            <rFont val="Tahoma"/>
            <family val="2"/>
          </rPr>
          <t xml:space="preserve"> (Xo)/Np
where:
   Np = total number of piles in group</t>
        </r>
      </text>
      <mc:AlternateContent xmlns:mc="http://schemas.openxmlformats.org/markup-compatibility/2006">
        <mc:Choice Requires="v"/>
        <mc:Fallback>
          <commentPr defaultSize="0" autoFill="0" autoLine="0">
            <anchor>
              <from>
                <xdr:col>8</xdr:col>
                <xdr:colOff>76200</xdr:colOff>
                <xdr:row>28</xdr:row>
                <xdr:rowOff>68580</xdr:rowOff>
              </from>
              <to>
                <xdr:col>27</xdr:col>
                <xdr:colOff>617220</xdr:colOff>
                <xdr:row>32</xdr:row>
                <xdr:rowOff>129540</xdr:rowOff>
              </to>
            </anchor>
          </commentPr>
        </mc:Fallback>
      </mc:AlternateContent>
    </comment>
    <comment ref="H31" authorId="3" shapeId="33799">
      <text>
        <r>
          <rPr>
            <sz val="8"/>
            <color indexed="81"/>
            <rFont val="Tahoma"/>
            <family val="2"/>
          </rPr>
          <t xml:space="preserve">The location of the centroidal X-axis from the origin X-axis is calculated as follows:
   Yc = </t>
        </r>
        <r>
          <rPr>
            <sz val="8"/>
            <color indexed="81"/>
            <rFont val="Symbol"/>
            <family val="1"/>
            <charset val="2"/>
          </rPr>
          <t>S</t>
        </r>
        <r>
          <rPr>
            <sz val="8"/>
            <color indexed="81"/>
            <rFont val="Tahoma"/>
            <family val="2"/>
          </rPr>
          <t xml:space="preserve"> (Yo)/Np
where:
   Np = total number of piles in group</t>
        </r>
      </text>
      <mc:AlternateContent xmlns:mc="http://schemas.openxmlformats.org/markup-compatibility/2006">
        <mc:Choice Requires="v"/>
        <mc:Fallback>
          <commentPr defaultSize="0" autoFill="0" autoLine="0">
            <anchor>
              <from>
                <xdr:col>8</xdr:col>
                <xdr:colOff>76200</xdr:colOff>
                <xdr:row>29</xdr:row>
                <xdr:rowOff>68580</xdr:rowOff>
              </from>
              <to>
                <xdr:col>27</xdr:col>
                <xdr:colOff>617220</xdr:colOff>
                <xdr:row>33</xdr:row>
                <xdr:rowOff>129540</xdr:rowOff>
              </to>
            </anchor>
          </commentPr>
        </mc:Fallback>
      </mc:AlternateContent>
    </comment>
    <comment ref="H32" authorId="3" shapeId="33989">
      <text>
        <r>
          <rPr>
            <sz val="8"/>
            <color indexed="81"/>
            <rFont val="Tahoma"/>
            <family val="2"/>
          </rPr>
          <t>The X-axis Moment of Inertia, 'Ix',  for the pile group is calculated as follows:
   Ix = Ap*</t>
        </r>
        <r>
          <rPr>
            <sz val="8"/>
            <color indexed="81"/>
            <rFont val="Symbol"/>
            <family val="1"/>
            <charset val="2"/>
          </rPr>
          <t>S</t>
        </r>
        <r>
          <rPr>
            <sz val="8"/>
            <color indexed="81"/>
            <rFont val="Tahoma"/>
            <family val="2"/>
          </rPr>
          <t xml:space="preserve"> (dy)^2
where:
   Ap = Area of pile assumed = unity (1) 
   dy = y-distance of each pile from
               centroidal X-axis </t>
        </r>
      </text>
      <mc:AlternateContent xmlns:mc="http://schemas.openxmlformats.org/markup-compatibility/2006">
        <mc:Choice Requires="v"/>
        <mc:Fallback>
          <commentPr defaultSize="0" autoFill="0" autoLine="0">
            <anchor>
              <from>
                <xdr:col>8</xdr:col>
                <xdr:colOff>144780</xdr:colOff>
                <xdr:row>30</xdr:row>
                <xdr:rowOff>68580</xdr:rowOff>
              </from>
              <to>
                <xdr:col>28</xdr:col>
                <xdr:colOff>7620</xdr:colOff>
                <xdr:row>36</xdr:row>
                <xdr:rowOff>99060</xdr:rowOff>
              </to>
            </anchor>
          </commentPr>
        </mc:Fallback>
      </mc:AlternateContent>
    </comment>
    <comment ref="H33" authorId="3" shapeId="33990">
      <text>
        <r>
          <rPr>
            <sz val="8"/>
            <color indexed="81"/>
            <rFont val="Tahoma"/>
            <family val="2"/>
          </rPr>
          <t>The Y-axis Moment of Inertia, 'Iy',  for the pile group is calculated as follows:
   Iy = Ap*</t>
        </r>
        <r>
          <rPr>
            <sz val="8"/>
            <color indexed="81"/>
            <rFont val="Symbol"/>
            <family val="1"/>
            <charset val="2"/>
          </rPr>
          <t>S</t>
        </r>
        <r>
          <rPr>
            <sz val="8"/>
            <color indexed="81"/>
            <rFont val="Tahoma"/>
            <family val="2"/>
          </rPr>
          <t xml:space="preserve"> (dx)^2
where:
   Ap = Area of pile assumed = unity (1)  
   dx = x-distance of each pile from
               centroidal Y-axis </t>
        </r>
      </text>
      <mc:AlternateContent xmlns:mc="http://schemas.openxmlformats.org/markup-compatibility/2006">
        <mc:Choice Requires="v"/>
        <mc:Fallback>
          <commentPr defaultSize="0" autoFill="0" autoLine="0">
            <anchor>
              <from>
                <xdr:col>8</xdr:col>
                <xdr:colOff>144780</xdr:colOff>
                <xdr:row>31</xdr:row>
                <xdr:rowOff>68580</xdr:rowOff>
              </from>
              <to>
                <xdr:col>28</xdr:col>
                <xdr:colOff>7620</xdr:colOff>
                <xdr:row>37</xdr:row>
                <xdr:rowOff>76200</xdr:rowOff>
              </to>
            </anchor>
          </commentPr>
        </mc:Fallback>
      </mc:AlternateContent>
    </comment>
    <comment ref="H34" authorId="3" shapeId="33991">
      <text>
        <r>
          <rPr>
            <sz val="8"/>
            <color indexed="81"/>
            <rFont val="Tahoma"/>
            <family val="2"/>
          </rPr>
          <t>The Polar Moment of Inertia for the pile group is calculated as follows:
   J = Ix+Iy</t>
        </r>
      </text>
      <mc:AlternateContent xmlns:mc="http://schemas.openxmlformats.org/markup-compatibility/2006">
        <mc:Choice Requires="v"/>
        <mc:Fallback>
          <commentPr defaultSize="0" autoFill="0" autoLine="0">
            <anchor>
              <from>
                <xdr:col>8</xdr:col>
                <xdr:colOff>144780</xdr:colOff>
                <xdr:row>32</xdr:row>
                <xdr:rowOff>68580</xdr:rowOff>
              </from>
              <to>
                <xdr:col>28</xdr:col>
                <xdr:colOff>7620</xdr:colOff>
                <xdr:row>35</xdr:row>
                <xdr:rowOff>22860</xdr:rowOff>
              </to>
            </anchor>
          </commentPr>
        </mc:Fallback>
      </mc:AlternateContent>
    </comment>
    <comment ref="H35" authorId="3" shapeId="33992">
      <text>
        <r>
          <rPr>
            <sz val="8"/>
            <color indexed="81"/>
            <rFont val="Tahoma"/>
            <family val="2"/>
          </rPr>
          <t>The Product Moment of Inertia, 'Ixy', for the pile group is calculated as follows:
   Ixy = Ap*</t>
        </r>
        <r>
          <rPr>
            <sz val="8"/>
            <color indexed="81"/>
            <rFont val="Symbol"/>
            <family val="1"/>
            <charset val="2"/>
          </rPr>
          <t>S</t>
        </r>
        <r>
          <rPr>
            <sz val="8"/>
            <color indexed="81"/>
            <rFont val="Tahoma"/>
            <family val="2"/>
          </rPr>
          <t xml:space="preserve"> (dx*dy)
where:
   Ap = Area of pile assumed = unity (1) 
   dx = x-distance of each pile from
               centroidal Y-axis
   dy = y-distance of each pile from
               centroidal X-axis
Note:  'Ixy' = 0  for a pile group with at
           least one axis of symmetry.</t>
        </r>
      </text>
      <mc:AlternateContent xmlns:mc="http://schemas.openxmlformats.org/markup-compatibility/2006">
        <mc:Choice Requires="v"/>
        <mc:Fallback>
          <commentPr defaultSize="0" autoFill="0" autoLine="0">
            <anchor>
              <from>
                <xdr:col>8</xdr:col>
                <xdr:colOff>144780</xdr:colOff>
                <xdr:row>33</xdr:row>
                <xdr:rowOff>68580</xdr:rowOff>
              </from>
              <to>
                <xdr:col>28</xdr:col>
                <xdr:colOff>45720</xdr:colOff>
                <xdr:row>42</xdr:row>
                <xdr:rowOff>137160</xdr:rowOff>
              </to>
            </anchor>
          </commentPr>
        </mc:Fallback>
      </mc:AlternateContent>
    </comment>
    <comment ref="H36" authorId="3" shapeId="33800">
      <text>
        <r>
          <rPr>
            <sz val="8"/>
            <color indexed="81"/>
            <rFont val="Tahoma"/>
            <family val="2"/>
          </rPr>
          <t>The orientation of the principal axes, is defined by the rotation angle, '</t>
        </r>
        <r>
          <rPr>
            <sz val="8"/>
            <color indexed="81"/>
            <rFont val="Symbol"/>
            <family val="1"/>
            <charset val="2"/>
          </rPr>
          <t xml:space="preserve">q </t>
        </r>
        <r>
          <rPr>
            <sz val="8"/>
            <color indexed="81"/>
            <rFont val="Tahoma"/>
            <family val="2"/>
          </rPr>
          <t xml:space="preserve">', from the centroidal axes and is calculated as follows:
   </t>
        </r>
        <r>
          <rPr>
            <sz val="8"/>
            <color indexed="81"/>
            <rFont val="Symbol"/>
            <family val="1"/>
            <charset val="2"/>
          </rPr>
          <t>q</t>
        </r>
        <r>
          <rPr>
            <sz val="8"/>
            <color indexed="81"/>
            <rFont val="Tahoma"/>
            <family val="2"/>
          </rPr>
          <t xml:space="preserve"> = (ATAN(-2*Ixy/(Ix-Iy)))/2
Note: sign convention is positive (+) ccw.
           '</t>
        </r>
        <r>
          <rPr>
            <sz val="8"/>
            <color indexed="81"/>
            <rFont val="Symbol"/>
            <family val="1"/>
            <charset val="2"/>
          </rPr>
          <t xml:space="preserve">q </t>
        </r>
        <r>
          <rPr>
            <sz val="8"/>
            <color indexed="81"/>
            <rFont val="Tahoma"/>
            <family val="2"/>
          </rPr>
          <t>' = 0  for a pile group with at least one
          axis of symmetry.</t>
        </r>
      </text>
      <mc:AlternateContent xmlns:mc="http://schemas.openxmlformats.org/markup-compatibility/2006">
        <mc:Choice Requires="v"/>
        <mc:Fallback>
          <commentPr defaultSize="0" autoFill="0" autoLine="0">
            <anchor>
              <from>
                <xdr:col>8</xdr:col>
                <xdr:colOff>76200</xdr:colOff>
                <xdr:row>34</xdr:row>
                <xdr:rowOff>68580</xdr:rowOff>
              </from>
              <to>
                <xdr:col>28</xdr:col>
                <xdr:colOff>403860</xdr:colOff>
                <xdr:row>40</xdr:row>
                <xdr:rowOff>68580</xdr:rowOff>
              </to>
            </anchor>
          </commentPr>
        </mc:Fallback>
      </mc:AlternateContent>
    </comment>
    <comment ref="H39" authorId="2" shapeId="33811">
      <text>
        <r>
          <rPr>
            <sz val="8"/>
            <color indexed="81"/>
            <rFont val="Symbol"/>
            <family val="1"/>
            <charset val="2"/>
          </rPr>
          <t xml:space="preserve">S </t>
        </r>
        <r>
          <rPr>
            <sz val="8"/>
            <color indexed="81"/>
            <rFont val="Tahoma"/>
            <family val="2"/>
          </rPr>
          <t xml:space="preserve"> Pz = sum of all applied vertical (Z-axis) loads translated to the centroid of the pile group.
Sign convention: positive in +Z-axis direction</t>
        </r>
      </text>
      <mc:AlternateContent xmlns:mc="http://schemas.openxmlformats.org/markup-compatibility/2006">
        <mc:Choice Requires="v"/>
        <mc:Fallback>
          <commentPr defaultSize="0" autoFill="0" autoLine="0">
            <anchor>
              <from>
                <xdr:col>8</xdr:col>
                <xdr:colOff>76200</xdr:colOff>
                <xdr:row>37</xdr:row>
                <xdr:rowOff>68580</xdr:rowOff>
              </from>
              <to>
                <xdr:col>28</xdr:col>
                <xdr:colOff>236220</xdr:colOff>
                <xdr:row>40</xdr:row>
                <xdr:rowOff>22860</xdr:rowOff>
              </to>
            </anchor>
          </commentPr>
        </mc:Fallback>
      </mc:AlternateContent>
    </comment>
    <comment ref="B40" authorId="2" shapeId="33801">
      <text>
        <r>
          <rPr>
            <sz val="8"/>
            <color indexed="81"/>
            <rFont val="Tahoma"/>
            <family val="2"/>
          </rPr>
          <t xml:space="preserve">All piers must be located in the positive 1st quadrant.  That is, all pier X, Y coordinate values must be &gt;= 0.
</t>
        </r>
        <r>
          <rPr>
            <b/>
            <sz val="8"/>
            <color indexed="81"/>
            <rFont val="Tahoma"/>
            <family val="2"/>
          </rPr>
          <t>Note: The user should make sure to either clear the contents of all cells that are not used for input of pier coordinates, or those cell values should be input = 0.</t>
        </r>
      </text>
      <mc:AlternateContent xmlns:mc="http://schemas.openxmlformats.org/markup-compatibility/2006">
        <mc:Choice Requires="v"/>
        <mc:Fallback>
          <commentPr defaultSize="0" autoFill="0" autoLine="0">
            <anchor>
              <from>
                <xdr:col>2</xdr:col>
                <xdr:colOff>106680</xdr:colOff>
                <xdr:row>38</xdr:row>
                <xdr:rowOff>68580</xdr:rowOff>
              </from>
              <to>
                <xdr:col>6</xdr:col>
                <xdr:colOff>449580</xdr:colOff>
                <xdr:row>42</xdr:row>
                <xdr:rowOff>121920</xdr:rowOff>
              </to>
            </anchor>
          </commentPr>
        </mc:Fallback>
      </mc:AlternateContent>
    </comment>
    <comment ref="H40" authorId="2" shapeId="33812">
      <text>
        <r>
          <rPr>
            <sz val="8"/>
            <color indexed="81"/>
            <rFont val="Symbol"/>
            <family val="1"/>
            <charset val="2"/>
          </rPr>
          <t xml:space="preserve">S </t>
        </r>
        <r>
          <rPr>
            <sz val="8"/>
            <color indexed="81"/>
            <rFont val="Tahoma"/>
            <family val="2"/>
          </rPr>
          <t xml:space="preserve"> Hx = sum of all applied horizontal (X-axis) loads translated to the centroid of the pile group.
Sign convention: positive in +X-axis direction</t>
        </r>
      </text>
      <mc:AlternateContent xmlns:mc="http://schemas.openxmlformats.org/markup-compatibility/2006">
        <mc:Choice Requires="v"/>
        <mc:Fallback>
          <commentPr defaultSize="0" autoFill="0" autoLine="0">
            <anchor>
              <from>
                <xdr:col>8</xdr:col>
                <xdr:colOff>76200</xdr:colOff>
                <xdr:row>38</xdr:row>
                <xdr:rowOff>68580</xdr:rowOff>
              </from>
              <to>
                <xdr:col>28</xdr:col>
                <xdr:colOff>388620</xdr:colOff>
                <xdr:row>41</xdr:row>
                <xdr:rowOff>7620</xdr:rowOff>
              </to>
            </anchor>
          </commentPr>
        </mc:Fallback>
      </mc:AlternateContent>
    </comment>
    <comment ref="B41" authorId="2" shapeId="33802">
      <text>
        <r>
          <rPr>
            <sz val="8"/>
            <color indexed="81"/>
            <rFont val="Tahoma"/>
            <family val="2"/>
          </rPr>
          <t>The 'X' coordinate is the x-distance from the origin axis to a particular pier/loading.</t>
        </r>
      </text>
      <mc:AlternateContent xmlns:mc="http://schemas.openxmlformats.org/markup-compatibility/2006">
        <mc:Choice Requires="v"/>
        <mc:Fallback>
          <commentPr defaultSize="0" autoFill="0" autoLine="0">
            <anchor>
              <from>
                <xdr:col>2</xdr:col>
                <xdr:colOff>106680</xdr:colOff>
                <xdr:row>39</xdr:row>
                <xdr:rowOff>68580</xdr:rowOff>
              </from>
              <to>
                <xdr:col>5</xdr:col>
                <xdr:colOff>99060</xdr:colOff>
                <xdr:row>41</xdr:row>
                <xdr:rowOff>45720</xdr:rowOff>
              </to>
            </anchor>
          </commentPr>
        </mc:Fallback>
      </mc:AlternateContent>
    </comment>
    <comment ref="H41" authorId="2" shapeId="33813">
      <text>
        <r>
          <rPr>
            <sz val="8"/>
            <color indexed="81"/>
            <rFont val="Symbol"/>
            <family val="1"/>
            <charset val="2"/>
          </rPr>
          <t xml:space="preserve">S </t>
        </r>
        <r>
          <rPr>
            <sz val="8"/>
            <color indexed="81"/>
            <rFont val="Tahoma"/>
            <family val="2"/>
          </rPr>
          <t xml:space="preserve"> Hy = sum of all applied horizontal (Y-axis) loads translated to the centroid of the pile group.
Sign convention: positive in +Y-axis direction</t>
        </r>
      </text>
      <mc:AlternateContent xmlns:mc="http://schemas.openxmlformats.org/markup-compatibility/2006">
        <mc:Choice Requires="v"/>
        <mc:Fallback>
          <commentPr defaultSize="0" autoFill="0" autoLine="0">
            <anchor>
              <from>
                <xdr:col>8</xdr:col>
                <xdr:colOff>76200</xdr:colOff>
                <xdr:row>39</xdr:row>
                <xdr:rowOff>68580</xdr:rowOff>
              </from>
              <to>
                <xdr:col>28</xdr:col>
                <xdr:colOff>388620</xdr:colOff>
                <xdr:row>42</xdr:row>
                <xdr:rowOff>7620</xdr:rowOff>
              </to>
            </anchor>
          </commentPr>
        </mc:Fallback>
      </mc:AlternateContent>
    </comment>
    <comment ref="B42" authorId="2" shapeId="33803">
      <text>
        <r>
          <rPr>
            <sz val="8"/>
            <color indexed="81"/>
            <rFont val="Tahoma"/>
            <family val="2"/>
          </rPr>
          <t>The 'Y' coordinate is the y-distance from the origin axis to a particular pier/loading.</t>
        </r>
      </text>
      <mc:AlternateContent xmlns:mc="http://schemas.openxmlformats.org/markup-compatibility/2006">
        <mc:Choice Requires="v"/>
        <mc:Fallback>
          <commentPr defaultSize="0" autoFill="0" autoLine="0">
            <anchor>
              <from>
                <xdr:col>2</xdr:col>
                <xdr:colOff>106680</xdr:colOff>
                <xdr:row>40</xdr:row>
                <xdr:rowOff>68580</xdr:rowOff>
              </from>
              <to>
                <xdr:col>5</xdr:col>
                <xdr:colOff>99060</xdr:colOff>
                <xdr:row>42</xdr:row>
                <xdr:rowOff>45720</xdr:rowOff>
              </to>
            </anchor>
          </commentPr>
        </mc:Fallback>
      </mc:AlternateContent>
    </comment>
    <comment ref="H42" authorId="2" shapeId="33814">
      <text>
        <r>
          <rPr>
            <sz val="8"/>
            <color indexed="81"/>
            <rFont val="Symbol"/>
            <family val="1"/>
            <charset val="2"/>
          </rPr>
          <t xml:space="preserve">S </t>
        </r>
        <r>
          <rPr>
            <sz val="8"/>
            <color indexed="81"/>
            <rFont val="Tahoma"/>
            <family val="2"/>
          </rPr>
          <t xml:space="preserve"> Mx = sum of all applied X-axis moments calculated at the top of the piles and  translated to the centroid of the pile group.
Sign convention: positive by "Right-Hand-Rule"
                            about +X-axis</t>
        </r>
      </text>
      <mc:AlternateContent xmlns:mc="http://schemas.openxmlformats.org/markup-compatibility/2006">
        <mc:Choice Requires="v"/>
        <mc:Fallback>
          <commentPr defaultSize="0" autoFill="0" autoLine="0">
            <anchor>
              <from>
                <xdr:col>8</xdr:col>
                <xdr:colOff>76200</xdr:colOff>
                <xdr:row>40</xdr:row>
                <xdr:rowOff>68580</xdr:rowOff>
              </from>
              <to>
                <xdr:col>28</xdr:col>
                <xdr:colOff>335280</xdr:colOff>
                <xdr:row>44</xdr:row>
                <xdr:rowOff>129540</xdr:rowOff>
              </to>
            </anchor>
          </commentPr>
        </mc:Fallback>
      </mc:AlternateContent>
    </comment>
    <comment ref="B43" authorId="2" shapeId="33804">
      <text>
        <r>
          <rPr>
            <sz val="8"/>
            <color indexed="81"/>
            <rFont val="Tahoma"/>
            <family val="2"/>
          </rPr>
          <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t>
        </r>
      </text>
      <mc:AlternateContent xmlns:mc="http://schemas.openxmlformats.org/markup-compatibility/2006">
        <mc:Choice Requires="v"/>
        <mc:Fallback>
          <commentPr defaultSize="0" autoFill="0" autoLine="0">
            <anchor>
              <from>
                <xdr:col>2</xdr:col>
                <xdr:colOff>106680</xdr:colOff>
                <xdr:row>41</xdr:row>
                <xdr:rowOff>68580</xdr:rowOff>
              </from>
              <to>
                <xdr:col>6</xdr:col>
                <xdr:colOff>274320</xdr:colOff>
                <xdr:row>47</xdr:row>
                <xdr:rowOff>68580</xdr:rowOff>
              </to>
            </anchor>
          </commentPr>
        </mc:Fallback>
      </mc:AlternateContent>
    </comment>
    <comment ref="H43" authorId="2" shapeId="33815">
      <text>
        <r>
          <rPr>
            <sz val="8"/>
            <color indexed="81"/>
            <rFont val="Symbol"/>
            <family val="1"/>
            <charset val="2"/>
          </rPr>
          <t xml:space="preserve">S </t>
        </r>
        <r>
          <rPr>
            <sz val="8"/>
            <color indexed="81"/>
            <rFont val="Tahoma"/>
            <family val="2"/>
          </rPr>
          <t xml:space="preserve"> My = sum of all applied Y-axis moments calculated at the top of the piles and  translated to the centroid of the pile group.
Sign convention: positive by "Right-Hand-Rule"
                            about +Y-axis</t>
        </r>
      </text>
      <mc:AlternateContent xmlns:mc="http://schemas.openxmlformats.org/markup-compatibility/2006">
        <mc:Choice Requires="v"/>
        <mc:Fallback>
          <commentPr defaultSize="0" autoFill="0" autoLine="0">
            <anchor>
              <from>
                <xdr:col>8</xdr:col>
                <xdr:colOff>76200</xdr:colOff>
                <xdr:row>41</xdr:row>
                <xdr:rowOff>68580</xdr:rowOff>
              </from>
              <to>
                <xdr:col>28</xdr:col>
                <xdr:colOff>335280</xdr:colOff>
                <xdr:row>45</xdr:row>
                <xdr:rowOff>129540</xdr:rowOff>
              </to>
            </anchor>
          </commentPr>
        </mc:Fallback>
      </mc:AlternateContent>
    </comment>
    <comment ref="B44" authorId="2" shapeId="33805">
      <text>
        <r>
          <rPr>
            <sz val="8"/>
            <color indexed="81"/>
            <rFont val="Tahoma"/>
            <family val="2"/>
          </rPr>
          <t>'Pz' is the vertical (Z-axis) load to be applied at the pier location.
Sign convention: + = upward (out of page)
                            -  = downward (into page) for gravity loads</t>
        </r>
      </text>
      <mc:AlternateContent xmlns:mc="http://schemas.openxmlformats.org/markup-compatibility/2006">
        <mc:Choice Requires="v"/>
        <mc:Fallback>
          <commentPr defaultSize="0" autoFill="0" autoLine="0">
            <anchor>
              <from>
                <xdr:col>2</xdr:col>
                <xdr:colOff>106680</xdr:colOff>
                <xdr:row>42</xdr:row>
                <xdr:rowOff>68580</xdr:rowOff>
              </from>
              <to>
                <xdr:col>6</xdr:col>
                <xdr:colOff>525780</xdr:colOff>
                <xdr:row>45</xdr:row>
                <xdr:rowOff>7620</xdr:rowOff>
              </to>
            </anchor>
          </commentPr>
        </mc:Fallback>
      </mc:AlternateContent>
    </comment>
    <comment ref="H44" authorId="2" shapeId="33816">
      <text>
        <r>
          <rPr>
            <sz val="8"/>
            <color indexed="81"/>
            <rFont val="Symbol"/>
            <family val="1"/>
            <charset val="2"/>
          </rPr>
          <t xml:space="preserve">S </t>
        </r>
        <r>
          <rPr>
            <sz val="8"/>
            <color indexed="81"/>
            <rFont val="Tahoma"/>
            <family val="2"/>
          </rPr>
          <t xml:space="preserve"> Mz = sum of all applied Z-axis moments translated to the centroid of the pile group.
Sign convention: positive by "Right-Hand-Rule" 
                           about +Z-axis</t>
        </r>
      </text>
      <mc:AlternateContent xmlns:mc="http://schemas.openxmlformats.org/markup-compatibility/2006">
        <mc:Choice Requires="v"/>
        <mc:Fallback>
          <commentPr defaultSize="0" autoFill="0" autoLine="0">
            <anchor>
              <from>
                <xdr:col>8</xdr:col>
                <xdr:colOff>76200</xdr:colOff>
                <xdr:row>42</xdr:row>
                <xdr:rowOff>68580</xdr:rowOff>
              </from>
              <to>
                <xdr:col>28</xdr:col>
                <xdr:colOff>266700</xdr:colOff>
                <xdr:row>45</xdr:row>
                <xdr:rowOff>129540</xdr:rowOff>
              </to>
            </anchor>
          </commentPr>
        </mc:Fallback>
      </mc:AlternateContent>
    </comment>
    <comment ref="B45" authorId="2" shapeId="33806">
      <text>
        <r>
          <rPr>
            <sz val="8"/>
            <color indexed="81"/>
            <rFont val="Tahoma"/>
            <family val="2"/>
          </rPr>
          <t>'Hx' is the horizontal (X-axis) load to be applied at the pier location.
Sign convention: + = to right</t>
        </r>
      </text>
      <mc:AlternateContent xmlns:mc="http://schemas.openxmlformats.org/markup-compatibility/2006">
        <mc:Choice Requires="v"/>
        <mc:Fallback>
          <commentPr defaultSize="0" autoFill="0" autoLine="0">
            <anchor>
              <from>
                <xdr:col>2</xdr:col>
                <xdr:colOff>106680</xdr:colOff>
                <xdr:row>43</xdr:row>
                <xdr:rowOff>68580</xdr:rowOff>
              </from>
              <to>
                <xdr:col>7</xdr:col>
                <xdr:colOff>45720</xdr:colOff>
                <xdr:row>45</xdr:row>
                <xdr:rowOff>45720</xdr:rowOff>
              </to>
            </anchor>
          </commentPr>
        </mc:Fallback>
      </mc:AlternateContent>
    </comment>
    <comment ref="B46" authorId="2" shapeId="33807">
      <text>
        <r>
          <rPr>
            <sz val="8"/>
            <color indexed="81"/>
            <rFont val="Tahoma"/>
            <family val="2"/>
          </rPr>
          <t>'Hy' is the horizontal (Y-axis) load to be applied at the pier location.
Sign convention: + = up the page</t>
        </r>
      </text>
      <mc:AlternateContent xmlns:mc="http://schemas.openxmlformats.org/markup-compatibility/2006">
        <mc:Choice Requires="v"/>
        <mc:Fallback>
          <commentPr defaultSize="0" autoFill="0" autoLine="0">
            <anchor>
              <from>
                <xdr:col>2</xdr:col>
                <xdr:colOff>106680</xdr:colOff>
                <xdr:row>44</xdr:row>
                <xdr:rowOff>68580</xdr:rowOff>
              </from>
              <to>
                <xdr:col>7</xdr:col>
                <xdr:colOff>45720</xdr:colOff>
                <xdr:row>46</xdr:row>
                <xdr:rowOff>45720</xdr:rowOff>
              </to>
            </anchor>
          </commentPr>
        </mc:Fallback>
      </mc:AlternateContent>
    </comment>
    <comment ref="B47" authorId="2" shapeId="33808">
      <text>
        <r>
          <rPr>
            <sz val="8"/>
            <color indexed="81"/>
            <rFont val="Tahoma"/>
            <family val="2"/>
          </rPr>
          <t>'Mx' is the X-axis moment to be applied at the pier location.
Sign convention: + = by "Right-Hand-Rule" about +X-axis</t>
        </r>
      </text>
      <mc:AlternateContent xmlns:mc="http://schemas.openxmlformats.org/markup-compatibility/2006">
        <mc:Choice Requires="v"/>
        <mc:Fallback>
          <commentPr defaultSize="0" autoFill="0" autoLine="0">
            <anchor>
              <from>
                <xdr:col>2</xdr:col>
                <xdr:colOff>106680</xdr:colOff>
                <xdr:row>45</xdr:row>
                <xdr:rowOff>68580</xdr:rowOff>
              </from>
              <to>
                <xdr:col>6</xdr:col>
                <xdr:colOff>274320</xdr:colOff>
                <xdr:row>47</xdr:row>
                <xdr:rowOff>45720</xdr:rowOff>
              </to>
            </anchor>
          </commentPr>
        </mc:Fallback>
      </mc:AlternateContent>
    </comment>
    <comment ref="H47" authorId="3" shapeId="33822">
      <text>
        <r>
          <rPr>
            <sz val="8"/>
            <color indexed="81"/>
            <rFont val="Tahoma"/>
            <family val="2"/>
          </rPr>
          <t>Sign convention for 'Rz(max)' is as follows:
   positive (+) = compression pile reaction
   negative (-) = tension (uplift) pile reaction</t>
        </r>
      </text>
      <mc:AlternateContent xmlns:mc="http://schemas.openxmlformats.org/markup-compatibility/2006">
        <mc:Choice Requires="v"/>
        <mc:Fallback>
          <commentPr defaultSize="0" autoFill="0" autoLine="0">
            <anchor>
              <from>
                <xdr:col>8</xdr:col>
                <xdr:colOff>68580</xdr:colOff>
                <xdr:row>43</xdr:row>
                <xdr:rowOff>68580</xdr:rowOff>
              </from>
              <to>
                <xdr:col>28</xdr:col>
                <xdr:colOff>114300</xdr:colOff>
                <xdr:row>46</xdr:row>
                <xdr:rowOff>30480</xdr:rowOff>
              </to>
            </anchor>
          </commentPr>
        </mc:Fallback>
      </mc:AlternateContent>
    </comment>
    <comment ref="B48" authorId="2" shapeId="33809">
      <text>
        <r>
          <rPr>
            <sz val="8"/>
            <color indexed="81"/>
            <rFont val="Tahoma"/>
            <family val="2"/>
          </rPr>
          <t>'My' is the Y-axis moment to be applied at the pier location.
Sign convention: + = by "Right-Hand-Rule" about +Y-axis</t>
        </r>
      </text>
      <mc:AlternateContent xmlns:mc="http://schemas.openxmlformats.org/markup-compatibility/2006">
        <mc:Choice Requires="v"/>
        <mc:Fallback>
          <commentPr defaultSize="0" autoFill="0" autoLine="0">
            <anchor>
              <from>
                <xdr:col>2</xdr:col>
                <xdr:colOff>106680</xdr:colOff>
                <xdr:row>46</xdr:row>
                <xdr:rowOff>68580</xdr:rowOff>
              </from>
              <to>
                <xdr:col>6</xdr:col>
                <xdr:colOff>274320</xdr:colOff>
                <xdr:row>48</xdr:row>
                <xdr:rowOff>45720</xdr:rowOff>
              </to>
            </anchor>
          </commentPr>
        </mc:Fallback>
      </mc:AlternateContent>
    </comment>
    <comment ref="H48" authorId="3" shapeId="33823">
      <text>
        <r>
          <rPr>
            <sz val="8"/>
            <color indexed="81"/>
            <rFont val="Tahoma"/>
            <family val="2"/>
          </rPr>
          <t>Sign convention for 'Rz(min)' is as follows:
   positive (+) = compression pile reaction
   negative (-) = tension (uplift) pile reaction</t>
        </r>
      </text>
      <mc:AlternateContent xmlns:mc="http://schemas.openxmlformats.org/markup-compatibility/2006">
        <mc:Choice Requires="v"/>
        <mc:Fallback>
          <commentPr defaultSize="0" autoFill="0" autoLine="0">
            <anchor>
              <from>
                <xdr:col>8</xdr:col>
                <xdr:colOff>76200</xdr:colOff>
                <xdr:row>46</xdr:row>
                <xdr:rowOff>68580</xdr:rowOff>
              </from>
              <to>
                <xdr:col>28</xdr:col>
                <xdr:colOff>129540</xdr:colOff>
                <xdr:row>49</xdr:row>
                <xdr:rowOff>30480</xdr:rowOff>
              </to>
            </anchor>
          </commentPr>
        </mc:Fallback>
      </mc:AlternateContent>
    </comment>
    <comment ref="B49" authorId="2" shapeId="33810">
      <text>
        <r>
          <rPr>
            <sz val="8"/>
            <color indexed="81"/>
            <rFont val="Tahoma"/>
            <family val="2"/>
          </rPr>
          <t>'Mz' is the Z-axis moment to be applied at the pier location.
Sign convention: + = by "Right-Hand-Rule" about +Z-axis</t>
        </r>
      </text>
      <mc:AlternateContent xmlns:mc="http://schemas.openxmlformats.org/markup-compatibility/2006">
        <mc:Choice Requires="v"/>
        <mc:Fallback>
          <commentPr defaultSize="0" autoFill="0" autoLine="0">
            <anchor>
              <from>
                <xdr:col>2</xdr:col>
                <xdr:colOff>106680</xdr:colOff>
                <xdr:row>47</xdr:row>
                <xdr:rowOff>68580</xdr:rowOff>
              </from>
              <to>
                <xdr:col>6</xdr:col>
                <xdr:colOff>274320</xdr:colOff>
                <xdr:row>49</xdr:row>
                <xdr:rowOff>45720</xdr:rowOff>
              </to>
            </anchor>
          </commentPr>
        </mc:Fallback>
      </mc:AlternateContent>
    </comment>
    <comment ref="H49" authorId="3" shapeId="33824">
      <text>
        <r>
          <rPr>
            <sz val="8"/>
            <color indexed="81"/>
            <rFont val="Tahoma"/>
            <family val="2"/>
          </rPr>
          <t>Note: 'Rh(max)' is an "absolute" value
          with no particular sign convention,
          thus no directional sense.</t>
        </r>
      </text>
      <mc:AlternateContent xmlns:mc="http://schemas.openxmlformats.org/markup-compatibility/2006">
        <mc:Choice Requires="v"/>
        <mc:Fallback>
          <commentPr defaultSize="0" autoFill="0" autoLine="0">
            <anchor>
              <from>
                <xdr:col>8</xdr:col>
                <xdr:colOff>76200</xdr:colOff>
                <xdr:row>47</xdr:row>
                <xdr:rowOff>68580</xdr:rowOff>
              </from>
              <to>
                <xdr:col>27</xdr:col>
                <xdr:colOff>586740</xdr:colOff>
                <xdr:row>50</xdr:row>
                <xdr:rowOff>22860</xdr:rowOff>
              </to>
            </anchor>
          </commentPr>
        </mc:Fallback>
      </mc:AlternateContent>
    </comment>
    <comment ref="AG58" authorId="2" shapeId="33854">
      <text>
        <r>
          <rPr>
            <b/>
            <sz val="8"/>
            <color indexed="81"/>
            <rFont val="Tahoma"/>
            <family val="2"/>
          </rPr>
          <t>The minimum number of piles = 3.
The maximum number of piles = 25.</t>
        </r>
      </text>
      <mc:AlternateContent xmlns:mc="http://schemas.openxmlformats.org/markup-compatibility/2006">
        <mc:Choice Requires="v"/>
        <mc:Fallback>
          <commentPr defaultSize="0" autoFill="0" autoLine="0">
            <anchor>
              <from>
                <xdr:col>33</xdr:col>
                <xdr:colOff>213360</xdr:colOff>
                <xdr:row>56</xdr:row>
                <xdr:rowOff>68580</xdr:rowOff>
              </from>
              <to>
                <xdr:col>36</xdr:col>
                <xdr:colOff>449580</xdr:colOff>
                <xdr:row>58</xdr:row>
                <xdr:rowOff>60960</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authors>
    <author>Bob Dalpiaz</author>
    <author>O'Neal User</author>
    <author>ATOMANOV</author>
    <author>4892</author>
  </authors>
  <commentList>
    <comment ref="AA1" authorId="0" shapeId="9217">
      <text>
        <r>
          <rPr>
            <sz val="8"/>
            <color indexed="81"/>
            <rFont val="Tahoma"/>
          </rPr>
          <t xml:space="preserve">              "</t>
        </r>
        <r>
          <rPr>
            <b/>
            <sz val="8"/>
            <color indexed="81"/>
            <rFont val="Tahoma"/>
            <family val="2"/>
          </rPr>
          <t>PILEGRP.xls</t>
        </r>
        <r>
          <rPr>
            <sz val="8"/>
            <color indexed="81"/>
            <rFont val="Tahoma"/>
          </rPr>
          <t>"
written by:  Alex Tomanovich, P.E.</t>
        </r>
      </text>
      <mc:AlternateContent xmlns:mc="http://schemas.openxmlformats.org/markup-compatibility/2006">
        <mc:Choice Requires="v"/>
        <mc:Fallback>
          <commentPr defaultSize="0" autoFill="0" autoLine="0">
            <anchor>
              <from>
                <xdr:col>27</xdr:col>
                <xdr:colOff>106680</xdr:colOff>
                <xdr:row>0</xdr:row>
                <xdr:rowOff>15240</xdr:rowOff>
              </from>
              <to>
                <xdr:col>29</xdr:col>
                <xdr:colOff>426720</xdr:colOff>
                <xdr:row>1</xdr:row>
                <xdr:rowOff>106680</xdr:rowOff>
              </to>
            </anchor>
          </commentPr>
        </mc:Fallback>
      </mc:AlternateContent>
    </comment>
    <comment ref="AC2" authorId="1" shapeId="9418">
      <text>
        <r>
          <rPr>
            <sz val="8"/>
            <color indexed="81"/>
            <rFont val="Tahoma"/>
            <family val="2"/>
          </rPr>
          <t>The user may manually adjust the scaling of the plotted pile group by adjusting the "X" and "Y" plot scale factors below.  The object is to try to equalize the maximum X-axis and Y-axis values which are shown.</t>
        </r>
      </text>
      <mc:AlternateContent xmlns:mc="http://schemas.openxmlformats.org/markup-compatibility/2006">
        <mc:Choice Requires="v"/>
        <mc:Fallback>
          <commentPr defaultSize="0" autoFill="0" autoLine="0">
            <anchor>
              <from>
                <xdr:col>29</xdr:col>
                <xdr:colOff>106680</xdr:colOff>
                <xdr:row>0</xdr:row>
                <xdr:rowOff>106680</xdr:rowOff>
              </from>
              <to>
                <xdr:col>31</xdr:col>
                <xdr:colOff>274320</xdr:colOff>
                <xdr:row>7</xdr:row>
                <xdr:rowOff>38100</xdr:rowOff>
              </to>
            </anchor>
          </commentPr>
        </mc:Fallback>
      </mc:AlternateContent>
    </comment>
    <comment ref="C9" authorId="2" shapeId="9456">
      <text>
        <r>
          <rPr>
            <b/>
            <sz val="8"/>
            <color indexed="81"/>
            <rFont val="Tahoma"/>
            <family val="2"/>
          </rPr>
          <t>The minimum number of piles = 2.
The maximum number of piles = 75.</t>
        </r>
      </text>
      <mc:AlternateContent xmlns:mc="http://schemas.openxmlformats.org/markup-compatibility/2006">
        <mc:Choice Requires="v"/>
        <mc:Fallback>
          <commentPr defaultSize="0" autoFill="0" autoLine="0">
            <anchor>
              <from>
                <xdr:col>3</xdr:col>
                <xdr:colOff>106680</xdr:colOff>
                <xdr:row>7</xdr:row>
                <xdr:rowOff>68580</xdr:rowOff>
              </from>
              <to>
                <xdr:col>6</xdr:col>
                <xdr:colOff>274320</xdr:colOff>
                <xdr:row>9</xdr:row>
                <xdr:rowOff>60960</xdr:rowOff>
              </to>
            </anchor>
          </commentPr>
        </mc:Fallback>
      </mc:AlternateContent>
    </comment>
    <comment ref="C10" authorId="2" shapeId="9379">
      <text>
        <r>
          <rPr>
            <sz val="8"/>
            <color indexed="81"/>
            <rFont val="Tahoma"/>
            <family val="2"/>
          </rPr>
          <t xml:space="preserve">All piles must be located in the positive 1st quadrant.  That is, all pile Xo, Yo coordinate values must be &gt;= 0.
</t>
        </r>
        <r>
          <rPr>
            <b/>
            <sz val="8"/>
            <color indexed="81"/>
            <rFont val="Tahoma"/>
            <family val="2"/>
          </rPr>
          <t>Note: The user should make sure to either clear the contents of all cells that are not used for input of pile coordinates, or those cell values should be input = 0.</t>
        </r>
      </text>
      <mc:AlternateContent xmlns:mc="http://schemas.openxmlformats.org/markup-compatibility/2006">
        <mc:Choice Requires="v"/>
        <mc:Fallback>
          <commentPr defaultSize="0" autoFill="0" autoLine="0">
            <anchor>
              <from>
                <xdr:col>3</xdr:col>
                <xdr:colOff>68580</xdr:colOff>
                <xdr:row>8</xdr:row>
                <xdr:rowOff>68580</xdr:rowOff>
              </from>
              <to>
                <xdr:col>7</xdr:col>
                <xdr:colOff>182880</xdr:colOff>
                <xdr:row>13</xdr:row>
                <xdr:rowOff>91440</xdr:rowOff>
              </to>
            </anchor>
          </commentPr>
        </mc:Fallback>
      </mc:AlternateContent>
    </comment>
    <comment ref="B11" authorId="2" shapeId="9380">
      <text>
        <r>
          <rPr>
            <sz val="8"/>
            <color indexed="81"/>
            <rFont val="Tahoma"/>
            <family val="2"/>
          </rPr>
          <t>The 'Xo' coordinate is the x-distance from the origin axis to a particular pile.</t>
        </r>
      </text>
      <mc:AlternateContent xmlns:mc="http://schemas.openxmlformats.org/markup-compatibility/2006">
        <mc:Choice Requires="v"/>
        <mc:Fallback>
          <commentPr defaultSize="0" autoFill="0" autoLine="0">
            <anchor>
              <from>
                <xdr:col>2</xdr:col>
                <xdr:colOff>106680</xdr:colOff>
                <xdr:row>9</xdr:row>
                <xdr:rowOff>68580</xdr:rowOff>
              </from>
              <to>
                <xdr:col>5</xdr:col>
                <xdr:colOff>144780</xdr:colOff>
                <xdr:row>11</xdr:row>
                <xdr:rowOff>45720</xdr:rowOff>
              </to>
            </anchor>
          </commentPr>
        </mc:Fallback>
      </mc:AlternateContent>
    </comment>
    <comment ref="C11" authorId="2" shapeId="9381">
      <text>
        <r>
          <rPr>
            <sz val="8"/>
            <color indexed="81"/>
            <rFont val="Tahoma"/>
            <family val="2"/>
          </rPr>
          <t>The 'Yo' coordinate is the y-distance from the origin axis to a particular pile.</t>
        </r>
      </text>
      <mc:AlternateContent xmlns:mc="http://schemas.openxmlformats.org/markup-compatibility/2006">
        <mc:Choice Requires="v"/>
        <mc:Fallback>
          <commentPr defaultSize="0" autoFill="0" autoLine="0">
            <anchor>
              <from>
                <xdr:col>3</xdr:col>
                <xdr:colOff>68580</xdr:colOff>
                <xdr:row>9</xdr:row>
                <xdr:rowOff>68580</xdr:rowOff>
              </from>
              <to>
                <xdr:col>6</xdr:col>
                <xdr:colOff>144780</xdr:colOff>
                <xdr:row>11</xdr:row>
                <xdr:rowOff>45720</xdr:rowOff>
              </to>
            </anchor>
          </commentPr>
        </mc:Fallback>
      </mc:AlternateContent>
    </comment>
    <comment ref="F39" authorId="2" shapeId="9386">
      <text>
        <r>
          <rPr>
            <sz val="8"/>
            <color indexed="81"/>
            <rFont val="Tahoma"/>
            <family val="2"/>
          </rPr>
          <t xml:space="preserve">All piers must be located in the positive 1st quadrant.  That is, all pier X, Y coordinate values must be &gt;= 0.
</t>
        </r>
        <r>
          <rPr>
            <b/>
            <sz val="8"/>
            <color indexed="81"/>
            <rFont val="Tahoma"/>
            <family val="2"/>
          </rPr>
          <t>Note: The user should make sure to either clear the contents of all cells that are not used for input of pier coordinates, or those cell values should be input = 0.</t>
        </r>
      </text>
      <mc:AlternateContent xmlns:mc="http://schemas.openxmlformats.org/markup-compatibility/2006">
        <mc:Choice Requires="v"/>
        <mc:Fallback>
          <commentPr defaultSize="0" autoFill="0" autoLine="0">
            <anchor>
              <from>
                <xdr:col>6</xdr:col>
                <xdr:colOff>38100</xdr:colOff>
                <xdr:row>37</xdr:row>
                <xdr:rowOff>68580</xdr:rowOff>
              </from>
              <to>
                <xdr:col>27</xdr:col>
                <xdr:colOff>312420</xdr:colOff>
                <xdr:row>41</xdr:row>
                <xdr:rowOff>121920</xdr:rowOff>
              </to>
            </anchor>
          </commentPr>
        </mc:Fallback>
      </mc:AlternateContent>
    </comment>
    <comment ref="A41" authorId="2" shapeId="9387">
      <text>
        <r>
          <rPr>
            <sz val="8"/>
            <color indexed="81"/>
            <rFont val="Tahoma"/>
            <family val="2"/>
          </rPr>
          <t>The 'X' coordinate is the x-distance from the origin axis to a particular pier/loading.</t>
        </r>
      </text>
      <mc:AlternateContent xmlns:mc="http://schemas.openxmlformats.org/markup-compatibility/2006">
        <mc:Choice Requires="v"/>
        <mc:Fallback>
          <commentPr defaultSize="0" autoFill="0" autoLine="0">
            <anchor>
              <from>
                <xdr:col>1</xdr:col>
                <xdr:colOff>106680</xdr:colOff>
                <xdr:row>39</xdr:row>
                <xdr:rowOff>68580</xdr:rowOff>
              </from>
              <to>
                <xdr:col>4</xdr:col>
                <xdr:colOff>60960</xdr:colOff>
                <xdr:row>41</xdr:row>
                <xdr:rowOff>45720</xdr:rowOff>
              </to>
            </anchor>
          </commentPr>
        </mc:Fallback>
      </mc:AlternateContent>
    </comment>
    <comment ref="A42" authorId="2" shapeId="9388">
      <text>
        <r>
          <rPr>
            <sz val="8"/>
            <color indexed="81"/>
            <rFont val="Tahoma"/>
            <family val="2"/>
          </rPr>
          <t>The 'Y' coordinate is the y-distance from the origin axis to a particular pier/loading.</t>
        </r>
      </text>
      <mc:AlternateContent xmlns:mc="http://schemas.openxmlformats.org/markup-compatibility/2006">
        <mc:Choice Requires="v"/>
        <mc:Fallback>
          <commentPr defaultSize="0" autoFill="0" autoLine="0">
            <anchor>
              <from>
                <xdr:col>1</xdr:col>
                <xdr:colOff>106680</xdr:colOff>
                <xdr:row>40</xdr:row>
                <xdr:rowOff>68580</xdr:rowOff>
              </from>
              <to>
                <xdr:col>4</xdr:col>
                <xdr:colOff>60960</xdr:colOff>
                <xdr:row>42</xdr:row>
                <xdr:rowOff>45720</xdr:rowOff>
              </to>
            </anchor>
          </commentPr>
        </mc:Fallback>
      </mc:AlternateContent>
    </comment>
    <comment ref="A43" authorId="2" shapeId="9389">
      <text>
        <r>
          <rPr>
            <sz val="8"/>
            <color indexed="81"/>
            <rFont val="Tahoma"/>
            <family val="2"/>
          </rPr>
          <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t>
        </r>
      </text>
      <mc:AlternateContent xmlns:mc="http://schemas.openxmlformats.org/markup-compatibility/2006">
        <mc:Choice Requires="v"/>
        <mc:Fallback>
          <commentPr defaultSize="0" autoFill="0" autoLine="0">
            <anchor>
              <from>
                <xdr:col>1</xdr:col>
                <xdr:colOff>106680</xdr:colOff>
                <xdr:row>41</xdr:row>
                <xdr:rowOff>68580</xdr:rowOff>
              </from>
              <to>
                <xdr:col>5</xdr:col>
                <xdr:colOff>236220</xdr:colOff>
                <xdr:row>47</xdr:row>
                <xdr:rowOff>68580</xdr:rowOff>
              </to>
            </anchor>
          </commentPr>
        </mc:Fallback>
      </mc:AlternateContent>
    </comment>
    <comment ref="A44" authorId="2" shapeId="9396">
      <text>
        <r>
          <rPr>
            <sz val="8"/>
            <color indexed="81"/>
            <rFont val="Tahoma"/>
            <family val="2"/>
          </rPr>
          <t>'Pz' is the vertical (Z-axis) load to be applied at the pier location.
Sign convention: + = upward (out of page)
                            -  = downward (into page) for gravity loads</t>
        </r>
      </text>
      <mc:AlternateContent xmlns:mc="http://schemas.openxmlformats.org/markup-compatibility/2006">
        <mc:Choice Requires="v"/>
        <mc:Fallback>
          <commentPr defaultSize="0" autoFill="0" autoLine="0">
            <anchor>
              <from>
                <xdr:col>1</xdr:col>
                <xdr:colOff>106680</xdr:colOff>
                <xdr:row>42</xdr:row>
                <xdr:rowOff>68580</xdr:rowOff>
              </from>
              <to>
                <xdr:col>5</xdr:col>
                <xdr:colOff>487680</xdr:colOff>
                <xdr:row>45</xdr:row>
                <xdr:rowOff>7620</xdr:rowOff>
              </to>
            </anchor>
          </commentPr>
        </mc:Fallback>
      </mc:AlternateContent>
    </comment>
    <comment ref="A45" authorId="2" shapeId="9391">
      <text>
        <r>
          <rPr>
            <sz val="8"/>
            <color indexed="81"/>
            <rFont val="Tahoma"/>
            <family val="2"/>
          </rPr>
          <t>'Hx' is the horizontal (X-axis) load to be applied at the pier location.
Sign convention: + = to right</t>
        </r>
      </text>
      <mc:AlternateContent xmlns:mc="http://schemas.openxmlformats.org/markup-compatibility/2006">
        <mc:Choice Requires="v"/>
        <mc:Fallback>
          <commentPr defaultSize="0" autoFill="0" autoLine="0">
            <anchor>
              <from>
                <xdr:col>1</xdr:col>
                <xdr:colOff>106680</xdr:colOff>
                <xdr:row>43</xdr:row>
                <xdr:rowOff>68580</xdr:rowOff>
              </from>
              <to>
                <xdr:col>6</xdr:col>
                <xdr:colOff>7620</xdr:colOff>
                <xdr:row>45</xdr:row>
                <xdr:rowOff>45720</xdr:rowOff>
              </to>
            </anchor>
          </commentPr>
        </mc:Fallback>
      </mc:AlternateContent>
    </comment>
    <comment ref="A46" authorId="2" shapeId="9392">
      <text>
        <r>
          <rPr>
            <sz val="8"/>
            <color indexed="81"/>
            <rFont val="Tahoma"/>
            <family val="2"/>
          </rPr>
          <t>'Hy' is the horizontal (Y-axis) load to be applied at the pier location.
Sign convention: + = up the page</t>
        </r>
      </text>
      <mc:AlternateContent xmlns:mc="http://schemas.openxmlformats.org/markup-compatibility/2006">
        <mc:Choice Requires="v"/>
        <mc:Fallback>
          <commentPr defaultSize="0" autoFill="0" autoLine="0">
            <anchor>
              <from>
                <xdr:col>1</xdr:col>
                <xdr:colOff>106680</xdr:colOff>
                <xdr:row>44</xdr:row>
                <xdr:rowOff>68580</xdr:rowOff>
              </from>
              <to>
                <xdr:col>6</xdr:col>
                <xdr:colOff>7620</xdr:colOff>
                <xdr:row>46</xdr:row>
                <xdr:rowOff>45720</xdr:rowOff>
              </to>
            </anchor>
          </commentPr>
        </mc:Fallback>
      </mc:AlternateContent>
    </comment>
    <comment ref="A47" authorId="2" shapeId="9397">
      <text>
        <r>
          <rPr>
            <sz val="8"/>
            <color indexed="81"/>
            <rFont val="Tahoma"/>
            <family val="2"/>
          </rPr>
          <t>'Mx' is the X-axis moment to be applied at the pier location.
Sign convention: + = by "Right-Hand-Rule" about +X-axis</t>
        </r>
      </text>
      <mc:AlternateContent xmlns:mc="http://schemas.openxmlformats.org/markup-compatibility/2006">
        <mc:Choice Requires="v"/>
        <mc:Fallback>
          <commentPr defaultSize="0" autoFill="0" autoLine="0">
            <anchor>
              <from>
                <xdr:col>1</xdr:col>
                <xdr:colOff>106680</xdr:colOff>
                <xdr:row>45</xdr:row>
                <xdr:rowOff>68580</xdr:rowOff>
              </from>
              <to>
                <xdr:col>5</xdr:col>
                <xdr:colOff>236220</xdr:colOff>
                <xdr:row>47</xdr:row>
                <xdr:rowOff>45720</xdr:rowOff>
              </to>
            </anchor>
          </commentPr>
        </mc:Fallback>
      </mc:AlternateContent>
    </comment>
    <comment ref="A48" authorId="2" shapeId="9398">
      <text>
        <r>
          <rPr>
            <sz val="8"/>
            <color indexed="81"/>
            <rFont val="Tahoma"/>
            <family val="2"/>
          </rPr>
          <t>'My' is the Y-axis moment to be applied at the pier location.
Sign convention: + = by "Right-Hand-Rule" about +Y-axis</t>
        </r>
      </text>
      <mc:AlternateContent xmlns:mc="http://schemas.openxmlformats.org/markup-compatibility/2006">
        <mc:Choice Requires="v"/>
        <mc:Fallback>
          <commentPr defaultSize="0" autoFill="0" autoLine="0">
            <anchor>
              <from>
                <xdr:col>1</xdr:col>
                <xdr:colOff>106680</xdr:colOff>
                <xdr:row>46</xdr:row>
                <xdr:rowOff>68580</xdr:rowOff>
              </from>
              <to>
                <xdr:col>5</xdr:col>
                <xdr:colOff>236220</xdr:colOff>
                <xdr:row>48</xdr:row>
                <xdr:rowOff>45720</xdr:rowOff>
              </to>
            </anchor>
          </commentPr>
        </mc:Fallback>
      </mc:AlternateContent>
    </comment>
    <comment ref="A49" authorId="2" shapeId="9399">
      <text>
        <r>
          <rPr>
            <sz val="8"/>
            <color indexed="81"/>
            <rFont val="Tahoma"/>
            <family val="2"/>
          </rPr>
          <t>'Mz' is the Z-axis moment to be applied at the pier location.
Sign convention: + = by "Right-Hand-Rule" about +Z-axis</t>
        </r>
      </text>
      <mc:AlternateContent xmlns:mc="http://schemas.openxmlformats.org/markup-compatibility/2006">
        <mc:Choice Requires="v"/>
        <mc:Fallback>
          <commentPr defaultSize="0" autoFill="0" autoLine="0">
            <anchor>
              <from>
                <xdr:col>1</xdr:col>
                <xdr:colOff>106680</xdr:colOff>
                <xdr:row>47</xdr:row>
                <xdr:rowOff>68580</xdr:rowOff>
              </from>
              <to>
                <xdr:col>5</xdr:col>
                <xdr:colOff>236220</xdr:colOff>
                <xdr:row>49</xdr:row>
                <xdr:rowOff>45720</xdr:rowOff>
              </to>
            </anchor>
          </commentPr>
        </mc:Fallback>
      </mc:AlternateContent>
    </comment>
    <comment ref="B56" authorId="3" shapeId="9372">
      <text>
        <r>
          <rPr>
            <sz val="8"/>
            <color indexed="81"/>
            <rFont val="Tahoma"/>
            <family val="2"/>
          </rPr>
          <t xml:space="preserve">The location of the centroidal Y-axis from the origin Y-axis is calculated as follows:
   Xc = </t>
        </r>
        <r>
          <rPr>
            <sz val="8"/>
            <color indexed="81"/>
            <rFont val="Symbol"/>
            <family val="1"/>
            <charset val="2"/>
          </rPr>
          <t>S</t>
        </r>
        <r>
          <rPr>
            <sz val="8"/>
            <color indexed="81"/>
            <rFont val="Tahoma"/>
            <family val="2"/>
          </rPr>
          <t xml:space="preserve"> (Xo)/Np
where:
   Np = total number of piles in group</t>
        </r>
      </text>
      <mc:AlternateContent xmlns:mc="http://schemas.openxmlformats.org/markup-compatibility/2006">
        <mc:Choice Requires="v"/>
        <mc:Fallback>
          <commentPr defaultSize="0" autoFill="0" autoLine="0">
            <anchor>
              <from>
                <xdr:col>2</xdr:col>
                <xdr:colOff>106680</xdr:colOff>
                <xdr:row>54</xdr:row>
                <xdr:rowOff>68580</xdr:rowOff>
              </from>
              <to>
                <xdr:col>5</xdr:col>
                <xdr:colOff>160020</xdr:colOff>
                <xdr:row>58</xdr:row>
                <xdr:rowOff>129540</xdr:rowOff>
              </to>
            </anchor>
          </commentPr>
        </mc:Fallback>
      </mc:AlternateContent>
    </comment>
    <comment ref="B57" authorId="3" shapeId="9373">
      <text>
        <r>
          <rPr>
            <sz val="8"/>
            <color indexed="81"/>
            <rFont val="Tahoma"/>
            <family val="2"/>
          </rPr>
          <t xml:space="preserve">The location of the centroidal X-axis from the origin X-axis is calculated as follows:
   Yc = </t>
        </r>
        <r>
          <rPr>
            <sz val="8"/>
            <color indexed="81"/>
            <rFont val="Symbol"/>
            <family val="1"/>
            <charset val="2"/>
          </rPr>
          <t>S</t>
        </r>
        <r>
          <rPr>
            <sz val="8"/>
            <color indexed="81"/>
            <rFont val="Tahoma"/>
            <family val="2"/>
          </rPr>
          <t xml:space="preserve"> (Yo)/Np
where:
   Np = total number of piles in group</t>
        </r>
      </text>
      <mc:AlternateContent xmlns:mc="http://schemas.openxmlformats.org/markup-compatibility/2006">
        <mc:Choice Requires="v"/>
        <mc:Fallback>
          <commentPr defaultSize="0" autoFill="0" autoLine="0">
            <anchor>
              <from>
                <xdr:col>2</xdr:col>
                <xdr:colOff>106680</xdr:colOff>
                <xdr:row>55</xdr:row>
                <xdr:rowOff>68580</xdr:rowOff>
              </from>
              <to>
                <xdr:col>5</xdr:col>
                <xdr:colOff>160020</xdr:colOff>
                <xdr:row>59</xdr:row>
                <xdr:rowOff>129540</xdr:rowOff>
              </to>
            </anchor>
          </commentPr>
        </mc:Fallback>
      </mc:AlternateContent>
    </comment>
    <comment ref="B58" authorId="3" shapeId="9599">
      <text>
        <r>
          <rPr>
            <sz val="8"/>
            <color indexed="81"/>
            <rFont val="Tahoma"/>
            <family val="2"/>
          </rPr>
          <t>The X-axis Moment of Inertia, 'Ix',  for the pile group is calculated as follows:
   Ix = Ap*</t>
        </r>
        <r>
          <rPr>
            <sz val="8"/>
            <color indexed="81"/>
            <rFont val="Symbol"/>
            <family val="1"/>
            <charset val="2"/>
          </rPr>
          <t>S</t>
        </r>
        <r>
          <rPr>
            <sz val="8"/>
            <color indexed="81"/>
            <rFont val="Tahoma"/>
            <family val="2"/>
          </rPr>
          <t xml:space="preserve"> (dy)^2
where:
   Ap = Area of pile assumed = unity (1) 
   dy = y-distance of each pile from
               centroidal X-axis </t>
        </r>
      </text>
      <mc:AlternateContent xmlns:mc="http://schemas.openxmlformats.org/markup-compatibility/2006">
        <mc:Choice Requires="v"/>
        <mc:Fallback>
          <commentPr defaultSize="0" autoFill="0" autoLine="0">
            <anchor>
              <from>
                <xdr:col>2</xdr:col>
                <xdr:colOff>144780</xdr:colOff>
                <xdr:row>56</xdr:row>
                <xdr:rowOff>68580</xdr:rowOff>
              </from>
              <to>
                <xdr:col>5</xdr:col>
                <xdr:colOff>144780</xdr:colOff>
                <xdr:row>62</xdr:row>
                <xdr:rowOff>99060</xdr:rowOff>
              </to>
            </anchor>
          </commentPr>
        </mc:Fallback>
      </mc:AlternateContent>
    </comment>
    <comment ref="AG58" authorId="2" shapeId="9467">
      <text>
        <r>
          <rPr>
            <b/>
            <sz val="8"/>
            <color indexed="81"/>
            <rFont val="Tahoma"/>
            <family val="2"/>
          </rPr>
          <t>The minimum number of piles = 3.
The maximum number of piles = 75.</t>
        </r>
      </text>
      <mc:AlternateContent xmlns:mc="http://schemas.openxmlformats.org/markup-compatibility/2006">
        <mc:Choice Requires="v"/>
        <mc:Fallback>
          <commentPr defaultSize="0" autoFill="0" autoLine="0">
            <anchor>
              <from>
                <xdr:col>33</xdr:col>
                <xdr:colOff>60960</xdr:colOff>
                <xdr:row>56</xdr:row>
                <xdr:rowOff>68580</xdr:rowOff>
              </from>
              <to>
                <xdr:col>36</xdr:col>
                <xdr:colOff>144780</xdr:colOff>
                <xdr:row>58</xdr:row>
                <xdr:rowOff>60960</xdr:rowOff>
              </to>
            </anchor>
          </commentPr>
        </mc:Fallback>
      </mc:AlternateContent>
    </comment>
    <comment ref="B59" authorId="3" shapeId="9600">
      <text>
        <r>
          <rPr>
            <sz val="8"/>
            <color indexed="81"/>
            <rFont val="Tahoma"/>
            <family val="2"/>
          </rPr>
          <t>The Y-axis Moment of Inertia, 'Iy',  for the pile group is calculated as follows:
   Iy = Ap*</t>
        </r>
        <r>
          <rPr>
            <sz val="8"/>
            <color indexed="81"/>
            <rFont val="Symbol"/>
            <family val="1"/>
            <charset val="2"/>
          </rPr>
          <t>S</t>
        </r>
        <r>
          <rPr>
            <sz val="8"/>
            <color indexed="81"/>
            <rFont val="Tahoma"/>
            <family val="2"/>
          </rPr>
          <t xml:space="preserve"> (dx)^2
where:
   Ap = Area of pile assumed = unity (1)  
   dx = x-distance of each pile from
               centroidal Y-axis </t>
        </r>
      </text>
      <mc:AlternateContent xmlns:mc="http://schemas.openxmlformats.org/markup-compatibility/2006">
        <mc:Choice Requires="v"/>
        <mc:Fallback>
          <commentPr defaultSize="0" autoFill="0" autoLine="0">
            <anchor>
              <from>
                <xdr:col>2</xdr:col>
                <xdr:colOff>144780</xdr:colOff>
                <xdr:row>57</xdr:row>
                <xdr:rowOff>68580</xdr:rowOff>
              </from>
              <to>
                <xdr:col>5</xdr:col>
                <xdr:colOff>144780</xdr:colOff>
                <xdr:row>63</xdr:row>
                <xdr:rowOff>76200</xdr:rowOff>
              </to>
            </anchor>
          </commentPr>
        </mc:Fallback>
      </mc:AlternateContent>
    </comment>
    <comment ref="B60" authorId="3" shapeId="9601">
      <text>
        <r>
          <rPr>
            <sz val="8"/>
            <color indexed="81"/>
            <rFont val="Tahoma"/>
            <family val="2"/>
          </rPr>
          <t>The Polar Moment of Inertia for the pile group is calculated as follows:
   J = Ix+Iy</t>
        </r>
      </text>
      <mc:AlternateContent xmlns:mc="http://schemas.openxmlformats.org/markup-compatibility/2006">
        <mc:Choice Requires="v"/>
        <mc:Fallback>
          <commentPr defaultSize="0" autoFill="0" autoLine="0">
            <anchor>
              <from>
                <xdr:col>2</xdr:col>
                <xdr:colOff>144780</xdr:colOff>
                <xdr:row>58</xdr:row>
                <xdr:rowOff>68580</xdr:rowOff>
              </from>
              <to>
                <xdr:col>5</xdr:col>
                <xdr:colOff>144780</xdr:colOff>
                <xdr:row>61</xdr:row>
                <xdr:rowOff>22860</xdr:rowOff>
              </to>
            </anchor>
          </commentPr>
        </mc:Fallback>
      </mc:AlternateContent>
    </comment>
    <comment ref="B61" authorId="3" shapeId="9602">
      <text>
        <r>
          <rPr>
            <sz val="8"/>
            <color indexed="81"/>
            <rFont val="Tahoma"/>
            <family val="2"/>
          </rPr>
          <t>The Product Moment of Inertia, 'Ixy', for the pile group is calculated as follows:
   Ixy = Ap*</t>
        </r>
        <r>
          <rPr>
            <sz val="8"/>
            <color indexed="81"/>
            <rFont val="Symbol"/>
            <family val="1"/>
            <charset val="2"/>
          </rPr>
          <t>S</t>
        </r>
        <r>
          <rPr>
            <sz val="8"/>
            <color indexed="81"/>
            <rFont val="Tahoma"/>
            <family val="2"/>
          </rPr>
          <t xml:space="preserve"> (dx*dy)
where:
   Ap = Area of pile assumed = unity (1) 
   dx = x-distance of each pile from
               centroidal Y-axis
   dy = y-distance of each pile from
               centroidal X-axis
Note:  'Ixy' = 0  for a pile group with at
           least one axis of symmetry.</t>
        </r>
      </text>
      <mc:AlternateContent xmlns:mc="http://schemas.openxmlformats.org/markup-compatibility/2006">
        <mc:Choice Requires="v"/>
        <mc:Fallback>
          <commentPr defaultSize="0" autoFill="0" autoLine="0">
            <anchor>
              <from>
                <xdr:col>2</xdr:col>
                <xdr:colOff>144780</xdr:colOff>
                <xdr:row>59</xdr:row>
                <xdr:rowOff>68580</xdr:rowOff>
              </from>
              <to>
                <xdr:col>5</xdr:col>
                <xdr:colOff>182880</xdr:colOff>
                <xdr:row>68</xdr:row>
                <xdr:rowOff>137160</xdr:rowOff>
              </to>
            </anchor>
          </commentPr>
        </mc:Fallback>
      </mc:AlternateContent>
    </comment>
    <comment ref="B62" authorId="3" shapeId="9378">
      <text>
        <r>
          <rPr>
            <sz val="8"/>
            <color indexed="81"/>
            <rFont val="Tahoma"/>
            <family val="2"/>
          </rPr>
          <t>The orientation of the principal axes, is defined by the rotation angle, '</t>
        </r>
        <r>
          <rPr>
            <sz val="8"/>
            <color indexed="81"/>
            <rFont val="Symbol"/>
            <family val="1"/>
            <charset val="2"/>
          </rPr>
          <t xml:space="preserve">q </t>
        </r>
        <r>
          <rPr>
            <sz val="8"/>
            <color indexed="81"/>
            <rFont val="Tahoma"/>
            <family val="2"/>
          </rPr>
          <t xml:space="preserve">', from the centroidal axes and is calculated as follows:
   </t>
        </r>
        <r>
          <rPr>
            <sz val="8"/>
            <color indexed="81"/>
            <rFont val="Symbol"/>
            <family val="1"/>
            <charset val="2"/>
          </rPr>
          <t>q</t>
        </r>
        <r>
          <rPr>
            <sz val="8"/>
            <color indexed="81"/>
            <rFont val="Tahoma"/>
            <family val="2"/>
          </rPr>
          <t xml:space="preserve"> = (ATAN(-2*Ixy/(Ix-Iy)))/2
Note: sign convention is positive (+) ccw.
           '</t>
        </r>
        <r>
          <rPr>
            <sz val="8"/>
            <color indexed="81"/>
            <rFont val="Symbol"/>
            <family val="1"/>
            <charset val="2"/>
          </rPr>
          <t xml:space="preserve">q </t>
        </r>
        <r>
          <rPr>
            <sz val="8"/>
            <color indexed="81"/>
            <rFont val="Tahoma"/>
            <family val="2"/>
          </rPr>
          <t>' = 0  for a pile group with at least one
          axis of symmetry.</t>
        </r>
      </text>
      <mc:AlternateContent xmlns:mc="http://schemas.openxmlformats.org/markup-compatibility/2006">
        <mc:Choice Requires="v"/>
        <mc:Fallback>
          <commentPr defaultSize="0" autoFill="0" autoLine="0">
            <anchor>
              <from>
                <xdr:col>2</xdr:col>
                <xdr:colOff>106680</xdr:colOff>
                <xdr:row>60</xdr:row>
                <xdr:rowOff>68580</xdr:rowOff>
              </from>
              <to>
                <xdr:col>5</xdr:col>
                <xdr:colOff>563880</xdr:colOff>
                <xdr:row>66</xdr:row>
                <xdr:rowOff>68580</xdr:rowOff>
              </to>
            </anchor>
          </commentPr>
        </mc:Fallback>
      </mc:AlternateContent>
    </comment>
    <comment ref="B65" authorId="2" shapeId="9361">
      <text>
        <r>
          <rPr>
            <sz val="8"/>
            <color indexed="81"/>
            <rFont val="Symbol"/>
            <family val="1"/>
            <charset val="2"/>
          </rPr>
          <t xml:space="preserve">S </t>
        </r>
        <r>
          <rPr>
            <sz val="8"/>
            <color indexed="81"/>
            <rFont val="Tahoma"/>
            <family val="2"/>
          </rPr>
          <t xml:space="preserve"> Pz = sum of all applied vertical (Z-axis) loads translated to the centroid of the pile group.
Sign convention: positive in +Z-axis direction</t>
        </r>
      </text>
      <mc:AlternateContent xmlns:mc="http://schemas.openxmlformats.org/markup-compatibility/2006">
        <mc:Choice Requires="v"/>
        <mc:Fallback>
          <commentPr defaultSize="0" autoFill="0" autoLine="0">
            <anchor>
              <from>
                <xdr:col>2</xdr:col>
                <xdr:colOff>76200</xdr:colOff>
                <xdr:row>63</xdr:row>
                <xdr:rowOff>68580</xdr:rowOff>
              </from>
              <to>
                <xdr:col>5</xdr:col>
                <xdr:colOff>373380</xdr:colOff>
                <xdr:row>66</xdr:row>
                <xdr:rowOff>22860</xdr:rowOff>
              </to>
            </anchor>
          </commentPr>
        </mc:Fallback>
      </mc:AlternateContent>
    </comment>
    <comment ref="B66" authorId="2" shapeId="9362">
      <text>
        <r>
          <rPr>
            <sz val="8"/>
            <color indexed="81"/>
            <rFont val="Symbol"/>
            <family val="1"/>
            <charset val="2"/>
          </rPr>
          <t xml:space="preserve">S </t>
        </r>
        <r>
          <rPr>
            <sz val="8"/>
            <color indexed="81"/>
            <rFont val="Tahoma"/>
            <family val="2"/>
          </rPr>
          <t xml:space="preserve"> Hx = sum of all applied horizontal (X-axis) loads translated to the centroid of the pile group.
Sign convention: positive in +X-axis direction</t>
        </r>
      </text>
      <mc:AlternateContent xmlns:mc="http://schemas.openxmlformats.org/markup-compatibility/2006">
        <mc:Choice Requires="v"/>
        <mc:Fallback>
          <commentPr defaultSize="0" autoFill="0" autoLine="0">
            <anchor>
              <from>
                <xdr:col>2</xdr:col>
                <xdr:colOff>76200</xdr:colOff>
                <xdr:row>64</xdr:row>
                <xdr:rowOff>68580</xdr:rowOff>
              </from>
              <to>
                <xdr:col>5</xdr:col>
                <xdr:colOff>525780</xdr:colOff>
                <xdr:row>67</xdr:row>
                <xdr:rowOff>7620</xdr:rowOff>
              </to>
            </anchor>
          </commentPr>
        </mc:Fallback>
      </mc:AlternateContent>
    </comment>
    <comment ref="B67" authorId="2" shapeId="9363">
      <text>
        <r>
          <rPr>
            <sz val="8"/>
            <color indexed="81"/>
            <rFont val="Symbol"/>
            <family val="1"/>
            <charset val="2"/>
          </rPr>
          <t xml:space="preserve">S </t>
        </r>
        <r>
          <rPr>
            <sz val="8"/>
            <color indexed="81"/>
            <rFont val="Tahoma"/>
            <family val="2"/>
          </rPr>
          <t xml:space="preserve"> Hy = sum of all applied horizontal (Y-axis) loads translated to the centroid of the pile group.
Sign convention: positive in +Y-axis direction</t>
        </r>
      </text>
      <mc:AlternateContent xmlns:mc="http://schemas.openxmlformats.org/markup-compatibility/2006">
        <mc:Choice Requires="v"/>
        <mc:Fallback>
          <commentPr defaultSize="0" autoFill="0" autoLine="0">
            <anchor>
              <from>
                <xdr:col>2</xdr:col>
                <xdr:colOff>76200</xdr:colOff>
                <xdr:row>65</xdr:row>
                <xdr:rowOff>68580</xdr:rowOff>
              </from>
              <to>
                <xdr:col>5</xdr:col>
                <xdr:colOff>525780</xdr:colOff>
                <xdr:row>68</xdr:row>
                <xdr:rowOff>7620</xdr:rowOff>
              </to>
            </anchor>
          </commentPr>
        </mc:Fallback>
      </mc:AlternateContent>
    </comment>
    <comment ref="B68" authorId="2" shapeId="9400">
      <text>
        <r>
          <rPr>
            <sz val="8"/>
            <color indexed="81"/>
            <rFont val="Symbol"/>
            <family val="1"/>
            <charset val="2"/>
          </rPr>
          <t xml:space="preserve">S </t>
        </r>
        <r>
          <rPr>
            <sz val="8"/>
            <color indexed="81"/>
            <rFont val="Tahoma"/>
            <family val="2"/>
          </rPr>
          <t xml:space="preserve"> Mx = sum of all applied X-axis moments calculated at the top of the piles and  translated to the centroid of the pile group.
Sign convention: positive by "Right-Hand-Rule"
                            about +X-axis</t>
        </r>
      </text>
      <mc:AlternateContent xmlns:mc="http://schemas.openxmlformats.org/markup-compatibility/2006">
        <mc:Choice Requires="v"/>
        <mc:Fallback>
          <commentPr defaultSize="0" autoFill="0" autoLine="0">
            <anchor>
              <from>
                <xdr:col>2</xdr:col>
                <xdr:colOff>76200</xdr:colOff>
                <xdr:row>66</xdr:row>
                <xdr:rowOff>68580</xdr:rowOff>
              </from>
              <to>
                <xdr:col>5</xdr:col>
                <xdr:colOff>472440</xdr:colOff>
                <xdr:row>70</xdr:row>
                <xdr:rowOff>129540</xdr:rowOff>
              </to>
            </anchor>
          </commentPr>
        </mc:Fallback>
      </mc:AlternateContent>
    </comment>
    <comment ref="B69" authorId="2" shapeId="9401">
      <text>
        <r>
          <rPr>
            <sz val="8"/>
            <color indexed="81"/>
            <rFont val="Symbol"/>
            <family val="1"/>
            <charset val="2"/>
          </rPr>
          <t xml:space="preserve">S </t>
        </r>
        <r>
          <rPr>
            <sz val="8"/>
            <color indexed="81"/>
            <rFont val="Tahoma"/>
            <family val="2"/>
          </rPr>
          <t xml:space="preserve"> My = sum of all applied Y-axis moments calculated at the top of the piles and  translated to the centroid of the pile group.
Sign convention: positive by "Right-Hand-Rule"
                            about +Y-axis</t>
        </r>
      </text>
      <mc:AlternateContent xmlns:mc="http://schemas.openxmlformats.org/markup-compatibility/2006">
        <mc:Choice Requires="v"/>
        <mc:Fallback>
          <commentPr defaultSize="0" autoFill="0" autoLine="0">
            <anchor>
              <from>
                <xdr:col>2</xdr:col>
                <xdr:colOff>76200</xdr:colOff>
                <xdr:row>67</xdr:row>
                <xdr:rowOff>68580</xdr:rowOff>
              </from>
              <to>
                <xdr:col>5</xdr:col>
                <xdr:colOff>472440</xdr:colOff>
                <xdr:row>71</xdr:row>
                <xdr:rowOff>129540</xdr:rowOff>
              </to>
            </anchor>
          </commentPr>
        </mc:Fallback>
      </mc:AlternateContent>
    </comment>
    <comment ref="B70" authorId="2" shapeId="9402">
      <text>
        <r>
          <rPr>
            <sz val="8"/>
            <color indexed="81"/>
            <rFont val="Symbol"/>
            <family val="1"/>
            <charset val="2"/>
          </rPr>
          <t xml:space="preserve">S </t>
        </r>
        <r>
          <rPr>
            <sz val="8"/>
            <color indexed="81"/>
            <rFont val="Tahoma"/>
            <family val="2"/>
          </rPr>
          <t xml:space="preserve"> Mz = sum of all applied Z-axis moments translated to the centroid of the pile group.
Sign convention: positive by "Right-Hand-Rule" 
                           about +Z-axis</t>
        </r>
      </text>
      <mc:AlternateContent xmlns:mc="http://schemas.openxmlformats.org/markup-compatibility/2006">
        <mc:Choice Requires="v"/>
        <mc:Fallback>
          <commentPr defaultSize="0" autoFill="0" autoLine="0">
            <anchor>
              <from>
                <xdr:col>2</xdr:col>
                <xdr:colOff>76200</xdr:colOff>
                <xdr:row>68</xdr:row>
                <xdr:rowOff>68580</xdr:rowOff>
              </from>
              <to>
                <xdr:col>5</xdr:col>
                <xdr:colOff>403860</xdr:colOff>
                <xdr:row>71</xdr:row>
                <xdr:rowOff>129540</xdr:rowOff>
              </to>
            </anchor>
          </commentPr>
        </mc:Fallback>
      </mc:AlternateContent>
    </comment>
    <comment ref="B73" authorId="3" shapeId="9353">
      <text>
        <r>
          <rPr>
            <sz val="8"/>
            <color indexed="81"/>
            <rFont val="Tahoma"/>
            <family val="2"/>
          </rPr>
          <t>The Vertical Pile Reaction, 'Rz', at each pile is calculated as follows:
   Rz = (-</t>
        </r>
        <r>
          <rPr>
            <sz val="8"/>
            <color indexed="81"/>
            <rFont val="Symbol"/>
            <family val="1"/>
            <charset val="2"/>
          </rPr>
          <t>S</t>
        </r>
        <r>
          <rPr>
            <sz val="8"/>
            <color indexed="81"/>
            <rFont val="Tahoma"/>
            <family val="2"/>
          </rPr>
          <t xml:space="preserve"> Pz)/Np +</t>
        </r>
        <r>
          <rPr>
            <sz val="8"/>
            <color indexed="81"/>
            <rFont val="Symbol"/>
            <family val="1"/>
            <charset val="2"/>
          </rPr>
          <t xml:space="preserve"> ((S</t>
        </r>
        <r>
          <rPr>
            <sz val="8"/>
            <color indexed="81"/>
            <rFont val="Tahoma"/>
            <family val="2"/>
          </rPr>
          <t xml:space="preserve"> My)*Ix-(-</t>
        </r>
        <r>
          <rPr>
            <sz val="8"/>
            <color indexed="81"/>
            <rFont val="Symbol"/>
            <family val="1"/>
            <charset val="2"/>
          </rPr>
          <t>S</t>
        </r>
        <r>
          <rPr>
            <sz val="8"/>
            <color indexed="81"/>
            <rFont val="Tahoma"/>
            <family val="2"/>
          </rPr>
          <t xml:space="preserve"> Mx)*Ixy)/(Ix*Iy-Ixy^2)*Xp + ((</t>
        </r>
        <r>
          <rPr>
            <sz val="8"/>
            <color indexed="81"/>
            <rFont val="Symbol"/>
            <family val="1"/>
            <charset val="2"/>
          </rPr>
          <t>S</t>
        </r>
        <r>
          <rPr>
            <sz val="8"/>
            <color indexed="81"/>
            <rFont val="Tahoma"/>
            <family val="2"/>
          </rPr>
          <t xml:space="preserve"> Mx)*Iy-(</t>
        </r>
        <r>
          <rPr>
            <sz val="8"/>
            <color indexed="81"/>
            <rFont val="Symbol"/>
            <family val="1"/>
            <charset val="2"/>
          </rPr>
          <t>S</t>
        </r>
        <r>
          <rPr>
            <sz val="8"/>
            <color indexed="81"/>
            <rFont val="Tahoma"/>
            <family val="2"/>
          </rPr>
          <t xml:space="preserve"> My)*Ixy)/(Ix*Iy-Ixy^2)*Yp
where:
   Xp = x-distance of pile from centroidal Y-axis
   Yp = y-distance of pile from centroidal X-axis
Sign convention for 'Rz' is as follows:
   positive (+) = compression pile reaction
   negative (-) = tension (uplift) pile reaction</t>
        </r>
      </text>
      <mc:AlternateContent xmlns:mc="http://schemas.openxmlformats.org/markup-compatibility/2006">
        <mc:Choice Requires="v"/>
        <mc:Fallback>
          <commentPr defaultSize="0" autoFill="0" autoLine="0">
            <anchor>
              <from>
                <xdr:col>2</xdr:col>
                <xdr:colOff>106680</xdr:colOff>
                <xdr:row>71</xdr:row>
                <xdr:rowOff>68580</xdr:rowOff>
              </from>
              <to>
                <xdr:col>26</xdr:col>
                <xdr:colOff>579120</xdr:colOff>
                <xdr:row>78</xdr:row>
                <xdr:rowOff>60960</xdr:rowOff>
              </to>
            </anchor>
          </commentPr>
        </mc:Fallback>
      </mc:AlternateContent>
    </comment>
    <comment ref="C73" authorId="3" shapeId="9355">
      <text>
        <r>
          <rPr>
            <sz val="8"/>
            <color indexed="81"/>
            <rFont val="Tahoma"/>
            <family val="2"/>
          </rPr>
          <t>The Horizontal Pile Reaction, 'Rh', at each pile is calculated as follows:
   Rh = (((</t>
        </r>
        <r>
          <rPr>
            <sz val="8"/>
            <color indexed="81"/>
            <rFont val="Symbol"/>
            <family val="1"/>
            <charset val="2"/>
          </rPr>
          <t>S</t>
        </r>
        <r>
          <rPr>
            <sz val="8"/>
            <color indexed="81"/>
            <rFont val="Tahoma"/>
            <family val="2"/>
          </rPr>
          <t xml:space="preserve"> Hx)/Np +</t>
        </r>
        <r>
          <rPr>
            <sz val="8"/>
            <color indexed="81"/>
            <rFont val="Symbol"/>
            <family val="1"/>
            <charset val="2"/>
          </rPr>
          <t xml:space="preserve"> (S</t>
        </r>
        <r>
          <rPr>
            <sz val="8"/>
            <color indexed="81"/>
            <rFont val="Tahoma"/>
            <family val="2"/>
          </rPr>
          <t xml:space="preserve"> Mz)*Yp/J)^2 + ((</t>
        </r>
        <r>
          <rPr>
            <sz val="8"/>
            <color indexed="81"/>
            <rFont val="Symbol"/>
            <family val="1"/>
            <charset val="2"/>
          </rPr>
          <t>S</t>
        </r>
        <r>
          <rPr>
            <sz val="8"/>
            <color indexed="81"/>
            <rFont val="Tahoma"/>
            <family val="2"/>
          </rPr>
          <t xml:space="preserve"> Hy)/Np + (</t>
        </r>
        <r>
          <rPr>
            <sz val="8"/>
            <color indexed="81"/>
            <rFont val="Symbol"/>
            <family val="1"/>
            <charset val="2"/>
          </rPr>
          <t>S</t>
        </r>
        <r>
          <rPr>
            <sz val="8"/>
            <color indexed="81"/>
            <rFont val="Tahoma"/>
            <family val="2"/>
          </rPr>
          <t xml:space="preserve"> Mz)*Xp/J)^2)^(1/2)
where:
   Xp = x-distance of pile from centroidal Y-axis
   Yp = y-distance of pile from centroidal X-axis
Note: 'Rh' is an "absolute" value with no particular sign convention, thus no
          directional sense.</t>
        </r>
      </text>
      <mc:AlternateContent xmlns:mc="http://schemas.openxmlformats.org/markup-compatibility/2006">
        <mc:Choice Requires="v"/>
        <mc:Fallback>
          <commentPr defaultSize="0" autoFill="0" autoLine="0">
            <anchor>
              <from>
                <xdr:col>3</xdr:col>
                <xdr:colOff>68580</xdr:colOff>
                <xdr:row>71</xdr:row>
                <xdr:rowOff>68580</xdr:rowOff>
              </from>
              <to>
                <xdr:col>8</xdr:col>
                <xdr:colOff>579120</xdr:colOff>
                <xdr:row>77</xdr:row>
                <xdr:rowOff>60960</xdr:rowOff>
              </to>
            </anchor>
          </commentPr>
        </mc:Fallback>
      </mc:AlternateContent>
    </comment>
    <comment ref="C101" authorId="3" shapeId="9403">
      <text>
        <r>
          <rPr>
            <sz val="8"/>
            <color indexed="81"/>
            <rFont val="Tahoma"/>
            <family val="2"/>
          </rPr>
          <t>Sign convention for 'Rz(max)' is as follows:
   positive (+) = compression pile reaction
   negative (-) = tension (uplift) pile reaction</t>
        </r>
      </text>
      <mc:AlternateContent xmlns:mc="http://schemas.openxmlformats.org/markup-compatibility/2006">
        <mc:Choice Requires="v"/>
        <mc:Fallback>
          <commentPr defaultSize="0" autoFill="0" autoLine="0">
            <anchor>
              <from>
                <xdr:col>3</xdr:col>
                <xdr:colOff>68580</xdr:colOff>
                <xdr:row>99</xdr:row>
                <xdr:rowOff>68580</xdr:rowOff>
              </from>
              <to>
                <xdr:col>6</xdr:col>
                <xdr:colOff>289560</xdr:colOff>
                <xdr:row>102</xdr:row>
                <xdr:rowOff>30480</xdr:rowOff>
              </to>
            </anchor>
          </commentPr>
        </mc:Fallback>
      </mc:AlternateContent>
    </comment>
    <comment ref="C102" authorId="3" shapeId="9404">
      <text>
        <r>
          <rPr>
            <sz val="8"/>
            <color indexed="81"/>
            <rFont val="Tahoma"/>
            <family val="2"/>
          </rPr>
          <t>Sign convention for 'Rz(min)' is as follows:
   positive (+) = compression pile reaction
   negative (-) = tension (uplift) pile reaction</t>
        </r>
      </text>
      <mc:AlternateContent xmlns:mc="http://schemas.openxmlformats.org/markup-compatibility/2006">
        <mc:Choice Requires="v"/>
        <mc:Fallback>
          <commentPr defaultSize="0" autoFill="0" autoLine="0">
            <anchor>
              <from>
                <xdr:col>3</xdr:col>
                <xdr:colOff>68580</xdr:colOff>
                <xdr:row>100</xdr:row>
                <xdr:rowOff>68580</xdr:rowOff>
              </from>
              <to>
                <xdr:col>6</xdr:col>
                <xdr:colOff>289560</xdr:colOff>
                <xdr:row>103</xdr:row>
                <xdr:rowOff>30480</xdr:rowOff>
              </to>
            </anchor>
          </commentPr>
        </mc:Fallback>
      </mc:AlternateContent>
    </comment>
    <comment ref="C103" authorId="3" shapeId="9405">
      <text>
        <r>
          <rPr>
            <sz val="8"/>
            <color indexed="81"/>
            <rFont val="Tahoma"/>
            <family val="2"/>
          </rPr>
          <t>Note: 'Rh(max)' is an "absolute" value
          with no particular sign convention,
          thus no directional sense.</t>
        </r>
      </text>
      <mc:AlternateContent xmlns:mc="http://schemas.openxmlformats.org/markup-compatibility/2006">
        <mc:Choice Requires="v"/>
        <mc:Fallback>
          <commentPr defaultSize="0" autoFill="0" autoLine="0">
            <anchor>
              <from>
                <xdr:col>3</xdr:col>
                <xdr:colOff>68580</xdr:colOff>
                <xdr:row>101</xdr:row>
                <xdr:rowOff>68580</xdr:rowOff>
              </from>
              <to>
                <xdr:col>6</xdr:col>
                <xdr:colOff>129540</xdr:colOff>
                <xdr:row>104</xdr:row>
                <xdr:rowOff>22860</xdr:rowOff>
              </to>
            </anchor>
          </commentPr>
        </mc:Fallback>
      </mc:AlternateContent>
    </comment>
  </commentList>
</comments>
</file>

<file path=xl/comments4.xml><?xml version="1.0" encoding="utf-8"?>
<comments xmlns="http://purl.oclc.org/ooxml/spreadsheetml/main" xmlns:xdr="http://purl.oclc.org/ooxml/drawingml/spreadsheetDrawing" xmlns:v="urn:schemas-microsoft-com:vml">
  <authors>
    <author>Bob Dalpiaz</author>
    <author>O'Neal User</author>
    <author>ATOMANOV</author>
    <author>4892</author>
  </authors>
  <commentList>
    <comment ref="AA1" authorId="0" shapeId="36865">
      <text>
        <r>
          <rPr>
            <sz val="8"/>
            <color indexed="81"/>
            <rFont val="Tahoma"/>
          </rPr>
          <t xml:space="preserve">              "</t>
        </r>
        <r>
          <rPr>
            <b/>
            <sz val="8"/>
            <color indexed="81"/>
            <rFont val="Tahoma"/>
            <family val="2"/>
          </rPr>
          <t>PILEGRP.xls</t>
        </r>
        <r>
          <rPr>
            <sz val="8"/>
            <color indexed="81"/>
            <rFont val="Tahoma"/>
          </rPr>
          <t>"
written by:  Alex Tomanovich, P.E.</t>
        </r>
      </text>
      <mc:AlternateContent xmlns:mc="http://schemas.openxmlformats.org/markup-compatibility/2006">
        <mc:Choice Requires="v"/>
        <mc:Fallback>
          <commentPr defaultSize="0" autoFill="0" autoLine="0">
            <anchor>
              <from>
                <xdr:col>27</xdr:col>
                <xdr:colOff>106680</xdr:colOff>
                <xdr:row>0</xdr:row>
                <xdr:rowOff>15240</xdr:rowOff>
              </from>
              <to>
                <xdr:col>29</xdr:col>
                <xdr:colOff>426720</xdr:colOff>
                <xdr:row>1</xdr:row>
                <xdr:rowOff>106680</xdr:rowOff>
              </to>
            </anchor>
          </commentPr>
        </mc:Fallback>
      </mc:AlternateContent>
    </comment>
    <comment ref="AC2" authorId="1" shapeId="36899">
      <text>
        <r>
          <rPr>
            <sz val="8"/>
            <color indexed="81"/>
            <rFont val="Tahoma"/>
            <family val="2"/>
          </rPr>
          <t>The user may manually adjust the scaling of the plotted pile group by adjusting the "X" and "Y" plot scale factors below.  The object is to try to equalize the maximum X-axis and Y-axis values which are shown.</t>
        </r>
      </text>
      <mc:AlternateContent xmlns:mc="http://schemas.openxmlformats.org/markup-compatibility/2006">
        <mc:Choice Requires="v"/>
        <mc:Fallback>
          <commentPr defaultSize="0" autoFill="0" autoLine="0">
            <anchor>
              <from>
                <xdr:col>29</xdr:col>
                <xdr:colOff>106680</xdr:colOff>
                <xdr:row>0</xdr:row>
                <xdr:rowOff>106680</xdr:rowOff>
              </from>
              <to>
                <xdr:col>31</xdr:col>
                <xdr:colOff>274320</xdr:colOff>
                <xdr:row>7</xdr:row>
                <xdr:rowOff>38100</xdr:rowOff>
              </to>
            </anchor>
          </commentPr>
        </mc:Fallback>
      </mc:AlternateContent>
    </comment>
    <comment ref="C9" authorId="2" shapeId="36930">
      <text>
        <r>
          <rPr>
            <b/>
            <sz val="8"/>
            <color indexed="81"/>
            <rFont val="Tahoma"/>
            <family val="2"/>
          </rPr>
          <t>The minimum number of piles = 2.
The maximum number of piles = 75.</t>
        </r>
      </text>
      <mc:AlternateContent xmlns:mc="http://schemas.openxmlformats.org/markup-compatibility/2006">
        <mc:Choice Requires="v"/>
        <mc:Fallback>
          <commentPr defaultSize="0" autoFill="0" autoLine="0">
            <anchor>
              <from>
                <xdr:col>3</xdr:col>
                <xdr:colOff>106680</xdr:colOff>
                <xdr:row>7</xdr:row>
                <xdr:rowOff>68580</xdr:rowOff>
              </from>
              <to>
                <xdr:col>6</xdr:col>
                <xdr:colOff>274320</xdr:colOff>
                <xdr:row>9</xdr:row>
                <xdr:rowOff>60960</xdr:rowOff>
              </to>
            </anchor>
          </commentPr>
        </mc:Fallback>
      </mc:AlternateContent>
    </comment>
    <comment ref="C10" authorId="2" shapeId="36878">
      <text>
        <r>
          <rPr>
            <sz val="8"/>
            <color indexed="81"/>
            <rFont val="Tahoma"/>
            <family val="2"/>
          </rPr>
          <t xml:space="preserve">All piles must be located in the positive 1st quadrant.  That is, all pile Xo, Yo coordinate values must be &gt;= 0.
</t>
        </r>
        <r>
          <rPr>
            <b/>
            <sz val="8"/>
            <color indexed="81"/>
            <rFont val="Tahoma"/>
            <family val="2"/>
          </rPr>
          <t>Note: The user should make sure to either clear the contents of all cells that are not used for input of pile coordinates, or those cell values should be input = 0.</t>
        </r>
      </text>
      <mc:AlternateContent xmlns:mc="http://schemas.openxmlformats.org/markup-compatibility/2006">
        <mc:Choice Requires="v"/>
        <mc:Fallback>
          <commentPr defaultSize="0" autoFill="0" autoLine="0">
            <anchor>
              <from>
                <xdr:col>3</xdr:col>
                <xdr:colOff>68580</xdr:colOff>
                <xdr:row>8</xdr:row>
                <xdr:rowOff>68580</xdr:rowOff>
              </from>
              <to>
                <xdr:col>7</xdr:col>
                <xdr:colOff>182880</xdr:colOff>
                <xdr:row>13</xdr:row>
                <xdr:rowOff>91440</xdr:rowOff>
              </to>
            </anchor>
          </commentPr>
        </mc:Fallback>
      </mc:AlternateContent>
    </comment>
    <comment ref="B11" authorId="2" shapeId="36879">
      <text>
        <r>
          <rPr>
            <sz val="8"/>
            <color indexed="81"/>
            <rFont val="Tahoma"/>
            <family val="2"/>
          </rPr>
          <t>The 'Xo' coordinate is the x-distance from the origin axis to a particular pile.</t>
        </r>
      </text>
      <mc:AlternateContent xmlns:mc="http://schemas.openxmlformats.org/markup-compatibility/2006">
        <mc:Choice Requires="v"/>
        <mc:Fallback>
          <commentPr defaultSize="0" autoFill="0" autoLine="0">
            <anchor>
              <from>
                <xdr:col>2</xdr:col>
                <xdr:colOff>106680</xdr:colOff>
                <xdr:row>9</xdr:row>
                <xdr:rowOff>68580</xdr:rowOff>
              </from>
              <to>
                <xdr:col>5</xdr:col>
                <xdr:colOff>144780</xdr:colOff>
                <xdr:row>11</xdr:row>
                <xdr:rowOff>45720</xdr:rowOff>
              </to>
            </anchor>
          </commentPr>
        </mc:Fallback>
      </mc:AlternateContent>
    </comment>
    <comment ref="C11" authorId="2" shapeId="36880">
      <text>
        <r>
          <rPr>
            <sz val="8"/>
            <color indexed="81"/>
            <rFont val="Tahoma"/>
            <family val="2"/>
          </rPr>
          <t>The 'Yo' coordinate is the y-distance from the origin axis to a particular pile.</t>
        </r>
      </text>
      <mc:AlternateContent xmlns:mc="http://schemas.openxmlformats.org/markup-compatibility/2006">
        <mc:Choice Requires="v"/>
        <mc:Fallback>
          <commentPr defaultSize="0" autoFill="0" autoLine="0">
            <anchor>
              <from>
                <xdr:col>3</xdr:col>
                <xdr:colOff>68580</xdr:colOff>
                <xdr:row>9</xdr:row>
                <xdr:rowOff>68580</xdr:rowOff>
              </from>
              <to>
                <xdr:col>6</xdr:col>
                <xdr:colOff>144780</xdr:colOff>
                <xdr:row>11</xdr:row>
                <xdr:rowOff>45720</xdr:rowOff>
              </to>
            </anchor>
          </commentPr>
        </mc:Fallback>
      </mc:AlternateContent>
    </comment>
    <comment ref="F39" authorId="2" shapeId="36881">
      <text>
        <r>
          <rPr>
            <sz val="8"/>
            <color indexed="81"/>
            <rFont val="Tahoma"/>
            <family val="2"/>
          </rPr>
          <t xml:space="preserve">All piers must be located in the positive 1st quadrant.  That is, all pier X, Y coordinate values must be &gt;= 0.
</t>
        </r>
        <r>
          <rPr>
            <b/>
            <sz val="8"/>
            <color indexed="81"/>
            <rFont val="Tahoma"/>
            <family val="2"/>
          </rPr>
          <t>Note: The user should make sure to either clear the contents of all cells that are not used for input of pier coordinates, or those cell values should be input = 0.</t>
        </r>
      </text>
      <mc:AlternateContent xmlns:mc="http://schemas.openxmlformats.org/markup-compatibility/2006">
        <mc:Choice Requires="v"/>
        <mc:Fallback>
          <commentPr defaultSize="0" autoFill="0" autoLine="0">
            <anchor>
              <from>
                <xdr:col>6</xdr:col>
                <xdr:colOff>38100</xdr:colOff>
                <xdr:row>37</xdr:row>
                <xdr:rowOff>68580</xdr:rowOff>
              </from>
              <to>
                <xdr:col>27</xdr:col>
                <xdr:colOff>312420</xdr:colOff>
                <xdr:row>41</xdr:row>
                <xdr:rowOff>121920</xdr:rowOff>
              </to>
            </anchor>
          </commentPr>
        </mc:Fallback>
      </mc:AlternateContent>
    </comment>
    <comment ref="A41" authorId="2" shapeId="36882">
      <text>
        <r>
          <rPr>
            <sz val="8"/>
            <color indexed="81"/>
            <rFont val="Tahoma"/>
            <family val="2"/>
          </rPr>
          <t>The 'X' coordinate is the x-distance from the origin axis to a particular pier/loading.</t>
        </r>
      </text>
      <mc:AlternateContent xmlns:mc="http://schemas.openxmlformats.org/markup-compatibility/2006">
        <mc:Choice Requires="v"/>
        <mc:Fallback>
          <commentPr defaultSize="0" autoFill="0" autoLine="0">
            <anchor>
              <from>
                <xdr:col>1</xdr:col>
                <xdr:colOff>106680</xdr:colOff>
                <xdr:row>39</xdr:row>
                <xdr:rowOff>68580</xdr:rowOff>
              </from>
              <to>
                <xdr:col>4</xdr:col>
                <xdr:colOff>60960</xdr:colOff>
                <xdr:row>41</xdr:row>
                <xdr:rowOff>45720</xdr:rowOff>
              </to>
            </anchor>
          </commentPr>
        </mc:Fallback>
      </mc:AlternateContent>
    </comment>
    <comment ref="A42" authorId="2" shapeId="36883">
      <text>
        <r>
          <rPr>
            <sz val="8"/>
            <color indexed="81"/>
            <rFont val="Tahoma"/>
            <family val="2"/>
          </rPr>
          <t>The 'Y' coordinate is the y-distance from the origin axis to a particular pier/loading.</t>
        </r>
      </text>
      <mc:AlternateContent xmlns:mc="http://schemas.openxmlformats.org/markup-compatibility/2006">
        <mc:Choice Requires="v"/>
        <mc:Fallback>
          <commentPr defaultSize="0" autoFill="0" autoLine="0">
            <anchor>
              <from>
                <xdr:col>1</xdr:col>
                <xdr:colOff>106680</xdr:colOff>
                <xdr:row>40</xdr:row>
                <xdr:rowOff>68580</xdr:rowOff>
              </from>
              <to>
                <xdr:col>4</xdr:col>
                <xdr:colOff>60960</xdr:colOff>
                <xdr:row>42</xdr:row>
                <xdr:rowOff>45720</xdr:rowOff>
              </to>
            </anchor>
          </commentPr>
        </mc:Fallback>
      </mc:AlternateContent>
    </comment>
    <comment ref="A43" authorId="2" shapeId="36884">
      <text>
        <r>
          <rPr>
            <sz val="8"/>
            <color indexed="81"/>
            <rFont val="Tahoma"/>
            <family val="2"/>
          </rPr>
          <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t>
        </r>
      </text>
      <mc:AlternateContent xmlns:mc="http://schemas.openxmlformats.org/markup-compatibility/2006">
        <mc:Choice Requires="v"/>
        <mc:Fallback>
          <commentPr defaultSize="0" autoFill="0" autoLine="0">
            <anchor>
              <from>
                <xdr:col>1</xdr:col>
                <xdr:colOff>106680</xdr:colOff>
                <xdr:row>41</xdr:row>
                <xdr:rowOff>68580</xdr:rowOff>
              </from>
              <to>
                <xdr:col>5</xdr:col>
                <xdr:colOff>236220</xdr:colOff>
                <xdr:row>47</xdr:row>
                <xdr:rowOff>68580</xdr:rowOff>
              </to>
            </anchor>
          </commentPr>
        </mc:Fallback>
      </mc:AlternateContent>
    </comment>
    <comment ref="A44" authorId="2" shapeId="36887">
      <text>
        <r>
          <rPr>
            <sz val="8"/>
            <color indexed="81"/>
            <rFont val="Tahoma"/>
            <family val="2"/>
          </rPr>
          <t>'Pz' is the vertical (Z-axis) load to be applied at the pier location.
Sign convention: + = upward (out of page)
                            -  = downward (into page) for gravity loads</t>
        </r>
      </text>
      <mc:AlternateContent xmlns:mc="http://schemas.openxmlformats.org/markup-compatibility/2006">
        <mc:Choice Requires="v"/>
        <mc:Fallback>
          <commentPr defaultSize="0" autoFill="0" autoLine="0">
            <anchor>
              <from>
                <xdr:col>1</xdr:col>
                <xdr:colOff>106680</xdr:colOff>
                <xdr:row>42</xdr:row>
                <xdr:rowOff>68580</xdr:rowOff>
              </from>
              <to>
                <xdr:col>5</xdr:col>
                <xdr:colOff>487680</xdr:colOff>
                <xdr:row>45</xdr:row>
                <xdr:rowOff>7620</xdr:rowOff>
              </to>
            </anchor>
          </commentPr>
        </mc:Fallback>
      </mc:AlternateContent>
    </comment>
    <comment ref="A45" authorId="2" shapeId="36885">
      <text>
        <r>
          <rPr>
            <sz val="8"/>
            <color indexed="81"/>
            <rFont val="Tahoma"/>
            <family val="2"/>
          </rPr>
          <t>'Hx' is the horizontal (X-axis) load to be applied at the pier location.
Sign convention: + = to right</t>
        </r>
      </text>
      <mc:AlternateContent xmlns:mc="http://schemas.openxmlformats.org/markup-compatibility/2006">
        <mc:Choice Requires="v"/>
        <mc:Fallback>
          <commentPr defaultSize="0" autoFill="0" autoLine="0">
            <anchor>
              <from>
                <xdr:col>1</xdr:col>
                <xdr:colOff>106680</xdr:colOff>
                <xdr:row>43</xdr:row>
                <xdr:rowOff>68580</xdr:rowOff>
              </from>
              <to>
                <xdr:col>6</xdr:col>
                <xdr:colOff>7620</xdr:colOff>
                <xdr:row>45</xdr:row>
                <xdr:rowOff>45720</xdr:rowOff>
              </to>
            </anchor>
          </commentPr>
        </mc:Fallback>
      </mc:AlternateContent>
    </comment>
    <comment ref="A46" authorId="2" shapeId="36886">
      <text>
        <r>
          <rPr>
            <sz val="8"/>
            <color indexed="81"/>
            <rFont val="Tahoma"/>
            <family val="2"/>
          </rPr>
          <t>'Hy' is the horizontal (Y-axis) load to be applied at the pier location.
Sign convention: + = up the page</t>
        </r>
      </text>
      <mc:AlternateContent xmlns:mc="http://schemas.openxmlformats.org/markup-compatibility/2006">
        <mc:Choice Requires="v"/>
        <mc:Fallback>
          <commentPr defaultSize="0" autoFill="0" autoLine="0">
            <anchor>
              <from>
                <xdr:col>1</xdr:col>
                <xdr:colOff>106680</xdr:colOff>
                <xdr:row>44</xdr:row>
                <xdr:rowOff>68580</xdr:rowOff>
              </from>
              <to>
                <xdr:col>6</xdr:col>
                <xdr:colOff>7620</xdr:colOff>
                <xdr:row>46</xdr:row>
                <xdr:rowOff>45720</xdr:rowOff>
              </to>
            </anchor>
          </commentPr>
        </mc:Fallback>
      </mc:AlternateContent>
    </comment>
    <comment ref="A47" authorId="2" shapeId="36888">
      <text>
        <r>
          <rPr>
            <sz val="8"/>
            <color indexed="81"/>
            <rFont val="Tahoma"/>
            <family val="2"/>
          </rPr>
          <t>'Mx' is the X-axis moment to be applied at the pier location.
Sign convention: + = by "Right-Hand-Rule" about +X-axis</t>
        </r>
      </text>
      <mc:AlternateContent xmlns:mc="http://schemas.openxmlformats.org/markup-compatibility/2006">
        <mc:Choice Requires="v"/>
        <mc:Fallback>
          <commentPr defaultSize="0" autoFill="0" autoLine="0">
            <anchor>
              <from>
                <xdr:col>1</xdr:col>
                <xdr:colOff>106680</xdr:colOff>
                <xdr:row>45</xdr:row>
                <xdr:rowOff>68580</xdr:rowOff>
              </from>
              <to>
                <xdr:col>5</xdr:col>
                <xdr:colOff>236220</xdr:colOff>
                <xdr:row>47</xdr:row>
                <xdr:rowOff>45720</xdr:rowOff>
              </to>
            </anchor>
          </commentPr>
        </mc:Fallback>
      </mc:AlternateContent>
    </comment>
    <comment ref="A48" authorId="2" shapeId="36889">
      <text>
        <r>
          <rPr>
            <sz val="8"/>
            <color indexed="81"/>
            <rFont val="Tahoma"/>
            <family val="2"/>
          </rPr>
          <t>'My' is the Y-axis moment to be applied at the pier location.
Sign convention: + = by "Right-Hand-Rule" about +Y-axis</t>
        </r>
      </text>
      <mc:AlternateContent xmlns:mc="http://schemas.openxmlformats.org/markup-compatibility/2006">
        <mc:Choice Requires="v"/>
        <mc:Fallback>
          <commentPr defaultSize="0" autoFill="0" autoLine="0">
            <anchor>
              <from>
                <xdr:col>1</xdr:col>
                <xdr:colOff>106680</xdr:colOff>
                <xdr:row>46</xdr:row>
                <xdr:rowOff>68580</xdr:rowOff>
              </from>
              <to>
                <xdr:col>5</xdr:col>
                <xdr:colOff>236220</xdr:colOff>
                <xdr:row>48</xdr:row>
                <xdr:rowOff>45720</xdr:rowOff>
              </to>
            </anchor>
          </commentPr>
        </mc:Fallback>
      </mc:AlternateContent>
    </comment>
    <comment ref="A49" authorId="2" shapeId="36890">
      <text>
        <r>
          <rPr>
            <sz val="8"/>
            <color indexed="81"/>
            <rFont val="Tahoma"/>
            <family val="2"/>
          </rPr>
          <t>'Mz' is the Z-axis moment to be applied at the pier location.
Sign convention: + = by "Right-Hand-Rule" about +Z-axis</t>
        </r>
      </text>
      <mc:AlternateContent xmlns:mc="http://schemas.openxmlformats.org/markup-compatibility/2006">
        <mc:Choice Requires="v"/>
        <mc:Fallback>
          <commentPr defaultSize="0" autoFill="0" autoLine="0">
            <anchor>
              <from>
                <xdr:col>1</xdr:col>
                <xdr:colOff>106680</xdr:colOff>
                <xdr:row>47</xdr:row>
                <xdr:rowOff>68580</xdr:rowOff>
              </from>
              <to>
                <xdr:col>5</xdr:col>
                <xdr:colOff>236220</xdr:colOff>
                <xdr:row>49</xdr:row>
                <xdr:rowOff>45720</xdr:rowOff>
              </to>
            </anchor>
          </commentPr>
        </mc:Fallback>
      </mc:AlternateContent>
    </comment>
    <comment ref="B56" authorId="3" shapeId="36871">
      <text>
        <r>
          <rPr>
            <sz val="8"/>
            <color indexed="81"/>
            <rFont val="Tahoma"/>
            <family val="2"/>
          </rPr>
          <t xml:space="preserve">The location of the centroidal Y-axis from the origin Y-axis is calculated as follows:
   Xc = </t>
        </r>
        <r>
          <rPr>
            <sz val="8"/>
            <color indexed="81"/>
            <rFont val="Symbol"/>
            <family val="1"/>
            <charset val="2"/>
          </rPr>
          <t>S</t>
        </r>
        <r>
          <rPr>
            <sz val="8"/>
            <color indexed="81"/>
            <rFont val="Tahoma"/>
            <family val="2"/>
          </rPr>
          <t xml:space="preserve"> (Xo)/Np
where:
   Np = total number of piles in group</t>
        </r>
      </text>
      <mc:AlternateContent xmlns:mc="http://schemas.openxmlformats.org/markup-compatibility/2006">
        <mc:Choice Requires="v"/>
        <mc:Fallback>
          <commentPr defaultSize="0" autoFill="0" autoLine="0">
            <anchor>
              <from>
                <xdr:col>2</xdr:col>
                <xdr:colOff>106680</xdr:colOff>
                <xdr:row>54</xdr:row>
                <xdr:rowOff>68580</xdr:rowOff>
              </from>
              <to>
                <xdr:col>5</xdr:col>
                <xdr:colOff>167640</xdr:colOff>
                <xdr:row>58</xdr:row>
                <xdr:rowOff>129540</xdr:rowOff>
              </to>
            </anchor>
          </commentPr>
        </mc:Fallback>
      </mc:AlternateContent>
    </comment>
    <comment ref="B57" authorId="3" shapeId="36872">
      <text>
        <r>
          <rPr>
            <sz val="8"/>
            <color indexed="81"/>
            <rFont val="Tahoma"/>
            <family val="2"/>
          </rPr>
          <t xml:space="preserve">The location of the centroidal X-axis from the origin X-axis is calculated as follows:
   Yc = </t>
        </r>
        <r>
          <rPr>
            <sz val="8"/>
            <color indexed="81"/>
            <rFont val="Symbol"/>
            <family val="1"/>
            <charset val="2"/>
          </rPr>
          <t>S</t>
        </r>
        <r>
          <rPr>
            <sz val="8"/>
            <color indexed="81"/>
            <rFont val="Tahoma"/>
            <family val="2"/>
          </rPr>
          <t xml:space="preserve"> (Yo)/Np
where:
   Np = total number of piles in group</t>
        </r>
      </text>
      <mc:AlternateContent xmlns:mc="http://schemas.openxmlformats.org/markup-compatibility/2006">
        <mc:Choice Requires="v"/>
        <mc:Fallback>
          <commentPr defaultSize="0" autoFill="0" autoLine="0">
            <anchor>
              <from>
                <xdr:col>2</xdr:col>
                <xdr:colOff>106680</xdr:colOff>
                <xdr:row>55</xdr:row>
                <xdr:rowOff>68580</xdr:rowOff>
              </from>
              <to>
                <xdr:col>5</xdr:col>
                <xdr:colOff>167640</xdr:colOff>
                <xdr:row>59</xdr:row>
                <xdr:rowOff>129540</xdr:rowOff>
              </to>
            </anchor>
          </commentPr>
        </mc:Fallback>
      </mc:AlternateContent>
    </comment>
    <comment ref="B58" authorId="3" shapeId="37067">
      <text>
        <r>
          <rPr>
            <sz val="8"/>
            <color indexed="81"/>
            <rFont val="Tahoma"/>
            <family val="2"/>
          </rPr>
          <t>The X-axis Moment of Inertia, 'Ix',  for the pile group is calculated as follows:
   Ix = Ap*</t>
        </r>
        <r>
          <rPr>
            <sz val="8"/>
            <color indexed="81"/>
            <rFont val="Symbol"/>
            <family val="1"/>
            <charset val="2"/>
          </rPr>
          <t>S</t>
        </r>
        <r>
          <rPr>
            <sz val="8"/>
            <color indexed="81"/>
            <rFont val="Tahoma"/>
            <family val="2"/>
          </rPr>
          <t xml:space="preserve"> (dy)^2
where:
   Ap = Area of pile assumed = unity (1) 
   dy = y-distance of each pile from
               centroidal X-axis </t>
        </r>
      </text>
      <mc:AlternateContent xmlns:mc="http://schemas.openxmlformats.org/markup-compatibility/2006">
        <mc:Choice Requires="v"/>
        <mc:Fallback>
          <commentPr defaultSize="0" autoFill="0" autoLine="0">
            <anchor>
              <from>
                <xdr:col>2</xdr:col>
                <xdr:colOff>144780</xdr:colOff>
                <xdr:row>56</xdr:row>
                <xdr:rowOff>68580</xdr:rowOff>
              </from>
              <to>
                <xdr:col>5</xdr:col>
                <xdr:colOff>144780</xdr:colOff>
                <xdr:row>62</xdr:row>
                <xdr:rowOff>99060</xdr:rowOff>
              </to>
            </anchor>
          </commentPr>
        </mc:Fallback>
      </mc:AlternateContent>
    </comment>
    <comment ref="AG58" authorId="2" shapeId="36936">
      <text>
        <r>
          <rPr>
            <b/>
            <sz val="8"/>
            <color indexed="81"/>
            <rFont val="Tahoma"/>
            <family val="2"/>
          </rPr>
          <t>The minimum number of piles = 3.
The maximum number of piles = 75.</t>
        </r>
      </text>
      <mc:AlternateContent xmlns:mc="http://schemas.openxmlformats.org/markup-compatibility/2006">
        <mc:Choice Requires="v"/>
        <mc:Fallback>
          <commentPr defaultSize="0" autoFill="0" autoLine="0">
            <anchor>
              <from>
                <xdr:col>33</xdr:col>
                <xdr:colOff>91440</xdr:colOff>
                <xdr:row>56</xdr:row>
                <xdr:rowOff>68580</xdr:rowOff>
              </from>
              <to>
                <xdr:col>36</xdr:col>
                <xdr:colOff>175260</xdr:colOff>
                <xdr:row>58</xdr:row>
                <xdr:rowOff>60960</xdr:rowOff>
              </to>
            </anchor>
          </commentPr>
        </mc:Fallback>
      </mc:AlternateContent>
    </comment>
    <comment ref="B59" authorId="3" shapeId="37068">
      <text>
        <r>
          <rPr>
            <sz val="8"/>
            <color indexed="81"/>
            <rFont val="Tahoma"/>
            <family val="2"/>
          </rPr>
          <t>The Y-axis Moment of Inertia, 'Iy',  for the pile group is calculated as follows:
   Iy = Ap*</t>
        </r>
        <r>
          <rPr>
            <sz val="8"/>
            <color indexed="81"/>
            <rFont val="Symbol"/>
            <family val="1"/>
            <charset val="2"/>
          </rPr>
          <t>S</t>
        </r>
        <r>
          <rPr>
            <sz val="8"/>
            <color indexed="81"/>
            <rFont val="Tahoma"/>
            <family val="2"/>
          </rPr>
          <t xml:space="preserve"> (dx)^2
where:
   Ap = Area of pile assumed = unity (1)  
   dx = x-distance of each pile from
               centroidal Y-axis </t>
        </r>
      </text>
      <mc:AlternateContent xmlns:mc="http://schemas.openxmlformats.org/markup-compatibility/2006">
        <mc:Choice Requires="v"/>
        <mc:Fallback>
          <commentPr defaultSize="0" autoFill="0" autoLine="0">
            <anchor>
              <from>
                <xdr:col>2</xdr:col>
                <xdr:colOff>144780</xdr:colOff>
                <xdr:row>57</xdr:row>
                <xdr:rowOff>68580</xdr:rowOff>
              </from>
              <to>
                <xdr:col>5</xdr:col>
                <xdr:colOff>144780</xdr:colOff>
                <xdr:row>63</xdr:row>
                <xdr:rowOff>76200</xdr:rowOff>
              </to>
            </anchor>
          </commentPr>
        </mc:Fallback>
      </mc:AlternateContent>
    </comment>
    <comment ref="B60" authorId="3" shapeId="37069">
      <text>
        <r>
          <rPr>
            <sz val="8"/>
            <color indexed="81"/>
            <rFont val="Tahoma"/>
            <family val="2"/>
          </rPr>
          <t>The Polar Moment of Inertia for the pile group is calculated as follows:
   J = Ix+Iy</t>
        </r>
      </text>
      <mc:AlternateContent xmlns:mc="http://schemas.openxmlformats.org/markup-compatibility/2006">
        <mc:Choice Requires="v"/>
        <mc:Fallback>
          <commentPr defaultSize="0" autoFill="0" autoLine="0">
            <anchor>
              <from>
                <xdr:col>2</xdr:col>
                <xdr:colOff>144780</xdr:colOff>
                <xdr:row>58</xdr:row>
                <xdr:rowOff>68580</xdr:rowOff>
              </from>
              <to>
                <xdr:col>5</xdr:col>
                <xdr:colOff>144780</xdr:colOff>
                <xdr:row>61</xdr:row>
                <xdr:rowOff>22860</xdr:rowOff>
              </to>
            </anchor>
          </commentPr>
        </mc:Fallback>
      </mc:AlternateContent>
    </comment>
    <comment ref="B61" authorId="3" shapeId="37070">
      <text>
        <r>
          <rPr>
            <sz val="8"/>
            <color indexed="81"/>
            <rFont val="Tahoma"/>
            <family val="2"/>
          </rPr>
          <t>The Product Moment of Inertia, 'Ixy', for the pile group is calculated as follows:
   Ixy = Ap*</t>
        </r>
        <r>
          <rPr>
            <sz val="8"/>
            <color indexed="81"/>
            <rFont val="Symbol"/>
            <family val="1"/>
            <charset val="2"/>
          </rPr>
          <t>S</t>
        </r>
        <r>
          <rPr>
            <sz val="8"/>
            <color indexed="81"/>
            <rFont val="Tahoma"/>
            <family val="2"/>
          </rPr>
          <t xml:space="preserve"> (dx*dy)
where:
   Ap = Area of pile assumed = unity (1) 
   dx = x-distance of each pile from
               centroidal Y-axis
   dy = y-distance of each pile from
               centroidal X-axis
Note:  'Ixy' = 0  for a pile group with at
           least one axis of symmetry.</t>
        </r>
      </text>
      <mc:AlternateContent xmlns:mc="http://schemas.openxmlformats.org/markup-compatibility/2006">
        <mc:Choice Requires="v"/>
        <mc:Fallback>
          <commentPr defaultSize="0" autoFill="0" autoLine="0">
            <anchor>
              <from>
                <xdr:col>2</xdr:col>
                <xdr:colOff>144780</xdr:colOff>
                <xdr:row>59</xdr:row>
                <xdr:rowOff>68580</xdr:rowOff>
              </from>
              <to>
                <xdr:col>5</xdr:col>
                <xdr:colOff>175260</xdr:colOff>
                <xdr:row>68</xdr:row>
                <xdr:rowOff>129540</xdr:rowOff>
              </to>
            </anchor>
          </commentPr>
        </mc:Fallback>
      </mc:AlternateContent>
    </comment>
    <comment ref="B62" authorId="3" shapeId="36877">
      <text>
        <r>
          <rPr>
            <sz val="8"/>
            <color indexed="81"/>
            <rFont val="Tahoma"/>
            <family val="2"/>
          </rPr>
          <t>The orientation of the principal axes, is defined by the rotation angle, '</t>
        </r>
        <r>
          <rPr>
            <sz val="8"/>
            <color indexed="81"/>
            <rFont val="Symbol"/>
            <family val="1"/>
            <charset val="2"/>
          </rPr>
          <t xml:space="preserve">q </t>
        </r>
        <r>
          <rPr>
            <sz val="8"/>
            <color indexed="81"/>
            <rFont val="Tahoma"/>
            <family val="2"/>
          </rPr>
          <t xml:space="preserve">', from the centroidal axes and is calculated as follows:
   </t>
        </r>
        <r>
          <rPr>
            <sz val="8"/>
            <color indexed="81"/>
            <rFont val="Symbol"/>
            <family val="1"/>
            <charset val="2"/>
          </rPr>
          <t>q</t>
        </r>
        <r>
          <rPr>
            <sz val="8"/>
            <color indexed="81"/>
            <rFont val="Tahoma"/>
            <family val="2"/>
          </rPr>
          <t xml:space="preserve"> = (ATAN(-2*Ixy/(Ix-Iy)))/2
Note: sign convention is positive (+) ccw.
           '</t>
        </r>
        <r>
          <rPr>
            <sz val="8"/>
            <color indexed="81"/>
            <rFont val="Symbol"/>
            <family val="1"/>
            <charset val="2"/>
          </rPr>
          <t xml:space="preserve">q </t>
        </r>
        <r>
          <rPr>
            <sz val="8"/>
            <color indexed="81"/>
            <rFont val="Tahoma"/>
            <family val="2"/>
          </rPr>
          <t>' = 0  for a pile group with at least one
          axis of symmetry.</t>
        </r>
      </text>
      <mc:AlternateContent xmlns:mc="http://schemas.openxmlformats.org/markup-compatibility/2006">
        <mc:Choice Requires="v"/>
        <mc:Fallback>
          <commentPr defaultSize="0" autoFill="0" autoLine="0">
            <anchor>
              <from>
                <xdr:col>2</xdr:col>
                <xdr:colOff>106680</xdr:colOff>
                <xdr:row>60</xdr:row>
                <xdr:rowOff>68580</xdr:rowOff>
              </from>
              <to>
                <xdr:col>5</xdr:col>
                <xdr:colOff>563880</xdr:colOff>
                <xdr:row>66</xdr:row>
                <xdr:rowOff>68580</xdr:rowOff>
              </to>
            </anchor>
          </commentPr>
        </mc:Fallback>
      </mc:AlternateContent>
    </comment>
    <comment ref="B65" authorId="2" shapeId="36868">
      <text>
        <r>
          <rPr>
            <sz val="8"/>
            <color indexed="81"/>
            <rFont val="Symbol"/>
            <family val="1"/>
            <charset val="2"/>
          </rPr>
          <t xml:space="preserve">S </t>
        </r>
        <r>
          <rPr>
            <sz val="8"/>
            <color indexed="81"/>
            <rFont val="Tahoma"/>
            <family val="2"/>
          </rPr>
          <t xml:space="preserve"> Pz = sum of all applied vertical (Z-axis) loads translated to the centroid of the pile group.
Sign convention: positive in +Z-axis direction</t>
        </r>
      </text>
      <mc:AlternateContent xmlns:mc="http://schemas.openxmlformats.org/markup-compatibility/2006">
        <mc:Choice Requires="v"/>
        <mc:Fallback>
          <commentPr defaultSize="0" autoFill="0" autoLine="0">
            <anchor>
              <from>
                <xdr:col>2</xdr:col>
                <xdr:colOff>76200</xdr:colOff>
                <xdr:row>63</xdr:row>
                <xdr:rowOff>68580</xdr:rowOff>
              </from>
              <to>
                <xdr:col>5</xdr:col>
                <xdr:colOff>373380</xdr:colOff>
                <xdr:row>66</xdr:row>
                <xdr:rowOff>22860</xdr:rowOff>
              </to>
            </anchor>
          </commentPr>
        </mc:Fallback>
      </mc:AlternateContent>
    </comment>
    <comment ref="B66" authorId="2" shapeId="36869">
      <text>
        <r>
          <rPr>
            <sz val="8"/>
            <color indexed="81"/>
            <rFont val="Symbol"/>
            <family val="1"/>
            <charset val="2"/>
          </rPr>
          <t xml:space="preserve">S </t>
        </r>
        <r>
          <rPr>
            <sz val="8"/>
            <color indexed="81"/>
            <rFont val="Tahoma"/>
            <family val="2"/>
          </rPr>
          <t xml:space="preserve"> Hx = sum of all applied horizontal (X-axis) loads translated to the centroid of the pile group.
Sign convention: positive in +X-axis direction</t>
        </r>
      </text>
      <mc:AlternateContent xmlns:mc="http://schemas.openxmlformats.org/markup-compatibility/2006">
        <mc:Choice Requires="v"/>
        <mc:Fallback>
          <commentPr defaultSize="0" autoFill="0" autoLine="0">
            <anchor>
              <from>
                <xdr:col>2</xdr:col>
                <xdr:colOff>76200</xdr:colOff>
                <xdr:row>64</xdr:row>
                <xdr:rowOff>68580</xdr:rowOff>
              </from>
              <to>
                <xdr:col>5</xdr:col>
                <xdr:colOff>518160</xdr:colOff>
                <xdr:row>67</xdr:row>
                <xdr:rowOff>22860</xdr:rowOff>
              </to>
            </anchor>
          </commentPr>
        </mc:Fallback>
      </mc:AlternateContent>
    </comment>
    <comment ref="B67" authorId="2" shapeId="36870">
      <text>
        <r>
          <rPr>
            <sz val="8"/>
            <color indexed="81"/>
            <rFont val="Symbol"/>
            <family val="1"/>
            <charset val="2"/>
          </rPr>
          <t xml:space="preserve">S </t>
        </r>
        <r>
          <rPr>
            <sz val="8"/>
            <color indexed="81"/>
            <rFont val="Tahoma"/>
            <family val="2"/>
          </rPr>
          <t xml:space="preserve"> Hy = sum of all applied horizontal (Y-axis) loads translated to the centroid of the pile group.
Sign convention: positive in +Y-axis direction</t>
        </r>
      </text>
      <mc:AlternateContent xmlns:mc="http://schemas.openxmlformats.org/markup-compatibility/2006">
        <mc:Choice Requires="v"/>
        <mc:Fallback>
          <commentPr defaultSize="0" autoFill="0" autoLine="0">
            <anchor>
              <from>
                <xdr:col>2</xdr:col>
                <xdr:colOff>76200</xdr:colOff>
                <xdr:row>65</xdr:row>
                <xdr:rowOff>68580</xdr:rowOff>
              </from>
              <to>
                <xdr:col>5</xdr:col>
                <xdr:colOff>518160</xdr:colOff>
                <xdr:row>68</xdr:row>
                <xdr:rowOff>22860</xdr:rowOff>
              </to>
            </anchor>
          </commentPr>
        </mc:Fallback>
      </mc:AlternateContent>
    </comment>
    <comment ref="B68" authorId="2" shapeId="36891">
      <text>
        <r>
          <rPr>
            <sz val="8"/>
            <color indexed="81"/>
            <rFont val="Symbol"/>
            <family val="1"/>
            <charset val="2"/>
          </rPr>
          <t xml:space="preserve">S </t>
        </r>
        <r>
          <rPr>
            <sz val="8"/>
            <color indexed="81"/>
            <rFont val="Tahoma"/>
            <family val="2"/>
          </rPr>
          <t xml:space="preserve"> Mx = sum of all applied X-axis moments calculated at the top of the piles and  translated to the centroid of the pile group.
Sign convention: positive by "Right-Hand-Rule"
                            about +X-axis</t>
        </r>
      </text>
      <mc:AlternateContent xmlns:mc="http://schemas.openxmlformats.org/markup-compatibility/2006">
        <mc:Choice Requires="v"/>
        <mc:Fallback>
          <commentPr defaultSize="0" autoFill="0" autoLine="0">
            <anchor>
              <from>
                <xdr:col>2</xdr:col>
                <xdr:colOff>76200</xdr:colOff>
                <xdr:row>66</xdr:row>
                <xdr:rowOff>68580</xdr:rowOff>
              </from>
              <to>
                <xdr:col>5</xdr:col>
                <xdr:colOff>472440</xdr:colOff>
                <xdr:row>70</xdr:row>
                <xdr:rowOff>129540</xdr:rowOff>
              </to>
            </anchor>
          </commentPr>
        </mc:Fallback>
      </mc:AlternateContent>
    </comment>
    <comment ref="B69" authorId="2" shapeId="36892">
      <text>
        <r>
          <rPr>
            <sz val="8"/>
            <color indexed="81"/>
            <rFont val="Symbol"/>
            <family val="1"/>
            <charset val="2"/>
          </rPr>
          <t xml:space="preserve">S </t>
        </r>
        <r>
          <rPr>
            <sz val="8"/>
            <color indexed="81"/>
            <rFont val="Tahoma"/>
            <family val="2"/>
          </rPr>
          <t xml:space="preserve"> My = sum of all applied Y-axis moments calculated at the top of the piles and  translated to the centroid of the pile group.
Sign convention: positive by "Right-Hand-Rule"
                            about +Y-axis</t>
        </r>
      </text>
      <mc:AlternateContent xmlns:mc="http://schemas.openxmlformats.org/markup-compatibility/2006">
        <mc:Choice Requires="v"/>
        <mc:Fallback>
          <commentPr defaultSize="0" autoFill="0" autoLine="0">
            <anchor>
              <from>
                <xdr:col>2</xdr:col>
                <xdr:colOff>76200</xdr:colOff>
                <xdr:row>67</xdr:row>
                <xdr:rowOff>68580</xdr:rowOff>
              </from>
              <to>
                <xdr:col>5</xdr:col>
                <xdr:colOff>472440</xdr:colOff>
                <xdr:row>71</xdr:row>
                <xdr:rowOff>129540</xdr:rowOff>
              </to>
            </anchor>
          </commentPr>
        </mc:Fallback>
      </mc:AlternateContent>
    </comment>
    <comment ref="B70" authorId="2" shapeId="36893">
      <text>
        <r>
          <rPr>
            <sz val="8"/>
            <color indexed="81"/>
            <rFont val="Symbol"/>
            <family val="1"/>
            <charset val="2"/>
          </rPr>
          <t xml:space="preserve">S </t>
        </r>
        <r>
          <rPr>
            <sz val="8"/>
            <color indexed="81"/>
            <rFont val="Tahoma"/>
            <family val="2"/>
          </rPr>
          <t xml:space="preserve"> Mz = sum of all applied Z-axis moments translated to the centroid of the pile group.
Sign convention: positive by "Right-Hand-Rule" 
                           about +Z-axis</t>
        </r>
      </text>
      <mc:AlternateContent xmlns:mc="http://schemas.openxmlformats.org/markup-compatibility/2006">
        <mc:Choice Requires="v"/>
        <mc:Fallback>
          <commentPr defaultSize="0" autoFill="0" autoLine="0">
            <anchor>
              <from>
                <xdr:col>2</xdr:col>
                <xdr:colOff>76200</xdr:colOff>
                <xdr:row>68</xdr:row>
                <xdr:rowOff>68580</xdr:rowOff>
              </from>
              <to>
                <xdr:col>5</xdr:col>
                <xdr:colOff>411480</xdr:colOff>
                <xdr:row>71</xdr:row>
                <xdr:rowOff>129540</xdr:rowOff>
              </to>
            </anchor>
          </commentPr>
        </mc:Fallback>
      </mc:AlternateContent>
    </comment>
    <comment ref="B73" authorId="3" shapeId="36866">
      <text>
        <r>
          <rPr>
            <sz val="8"/>
            <color indexed="81"/>
            <rFont val="Tahoma"/>
            <family val="2"/>
          </rPr>
          <t>The Vertical Pile Reaction, 'Rz', at each pile is calculated as follows:
   Rz = (-</t>
        </r>
        <r>
          <rPr>
            <sz val="8"/>
            <color indexed="81"/>
            <rFont val="Symbol"/>
            <family val="1"/>
            <charset val="2"/>
          </rPr>
          <t>S</t>
        </r>
        <r>
          <rPr>
            <sz val="8"/>
            <color indexed="81"/>
            <rFont val="Tahoma"/>
            <family val="2"/>
          </rPr>
          <t xml:space="preserve"> Pz)/Np +</t>
        </r>
        <r>
          <rPr>
            <sz val="8"/>
            <color indexed="81"/>
            <rFont val="Symbol"/>
            <family val="1"/>
            <charset val="2"/>
          </rPr>
          <t xml:space="preserve"> ((S</t>
        </r>
        <r>
          <rPr>
            <sz val="8"/>
            <color indexed="81"/>
            <rFont val="Tahoma"/>
            <family val="2"/>
          </rPr>
          <t xml:space="preserve"> My)*Ix-(-</t>
        </r>
        <r>
          <rPr>
            <sz val="8"/>
            <color indexed="81"/>
            <rFont val="Symbol"/>
            <family val="1"/>
            <charset val="2"/>
          </rPr>
          <t>S</t>
        </r>
        <r>
          <rPr>
            <sz val="8"/>
            <color indexed="81"/>
            <rFont val="Tahoma"/>
            <family val="2"/>
          </rPr>
          <t xml:space="preserve"> Mx)*Ixy)/(Ix*Iy-Ixy^2)*Xp + ((</t>
        </r>
        <r>
          <rPr>
            <sz val="8"/>
            <color indexed="81"/>
            <rFont val="Symbol"/>
            <family val="1"/>
            <charset val="2"/>
          </rPr>
          <t>S</t>
        </r>
        <r>
          <rPr>
            <sz val="8"/>
            <color indexed="81"/>
            <rFont val="Tahoma"/>
            <family val="2"/>
          </rPr>
          <t xml:space="preserve"> Mx)*Iy-(</t>
        </r>
        <r>
          <rPr>
            <sz val="8"/>
            <color indexed="81"/>
            <rFont val="Symbol"/>
            <family val="1"/>
            <charset val="2"/>
          </rPr>
          <t>S</t>
        </r>
        <r>
          <rPr>
            <sz val="8"/>
            <color indexed="81"/>
            <rFont val="Tahoma"/>
            <family val="2"/>
          </rPr>
          <t xml:space="preserve"> My)*Ixy)/(Ix*Iy-Ixy^2)*Yp
where:
   Xp = x-distance of pile from centroidal Y-axis
   Yp = y-distance of pile from centroidal X-axis
Sign convention for 'Rz' is as follows:
   positive (+) = compression pile reaction
   negative (-) = tension (uplift) pile reaction</t>
        </r>
      </text>
      <mc:AlternateContent xmlns:mc="http://schemas.openxmlformats.org/markup-compatibility/2006">
        <mc:Choice Requires="v"/>
        <mc:Fallback>
          <commentPr defaultSize="0" autoFill="0" autoLine="0">
            <anchor>
              <from>
                <xdr:col>2</xdr:col>
                <xdr:colOff>106680</xdr:colOff>
                <xdr:row>71</xdr:row>
                <xdr:rowOff>68580</xdr:rowOff>
              </from>
              <to>
                <xdr:col>26</xdr:col>
                <xdr:colOff>563880</xdr:colOff>
                <xdr:row>78</xdr:row>
                <xdr:rowOff>68580</xdr:rowOff>
              </to>
            </anchor>
          </commentPr>
        </mc:Fallback>
      </mc:AlternateContent>
    </comment>
    <comment ref="C73" authorId="3" shapeId="36867">
      <text>
        <r>
          <rPr>
            <sz val="8"/>
            <color indexed="81"/>
            <rFont val="Tahoma"/>
            <family val="2"/>
          </rPr>
          <t>The Horizontal Pile Reaction, 'Rh', at each pile is calculated as follows:
   Rh = (((</t>
        </r>
        <r>
          <rPr>
            <sz val="8"/>
            <color indexed="81"/>
            <rFont val="Symbol"/>
            <family val="1"/>
            <charset val="2"/>
          </rPr>
          <t>S</t>
        </r>
        <r>
          <rPr>
            <sz val="8"/>
            <color indexed="81"/>
            <rFont val="Tahoma"/>
            <family val="2"/>
          </rPr>
          <t xml:space="preserve"> Hx)/Np +</t>
        </r>
        <r>
          <rPr>
            <sz val="8"/>
            <color indexed="81"/>
            <rFont val="Symbol"/>
            <family val="1"/>
            <charset val="2"/>
          </rPr>
          <t xml:space="preserve"> (S</t>
        </r>
        <r>
          <rPr>
            <sz val="8"/>
            <color indexed="81"/>
            <rFont val="Tahoma"/>
            <family val="2"/>
          </rPr>
          <t xml:space="preserve"> Mz)*Yp/J)^2 + ((</t>
        </r>
        <r>
          <rPr>
            <sz val="8"/>
            <color indexed="81"/>
            <rFont val="Symbol"/>
            <family val="1"/>
            <charset val="2"/>
          </rPr>
          <t>S</t>
        </r>
        <r>
          <rPr>
            <sz val="8"/>
            <color indexed="81"/>
            <rFont val="Tahoma"/>
            <family val="2"/>
          </rPr>
          <t xml:space="preserve"> Hy)/Np + (</t>
        </r>
        <r>
          <rPr>
            <sz val="8"/>
            <color indexed="81"/>
            <rFont val="Symbol"/>
            <family val="1"/>
            <charset val="2"/>
          </rPr>
          <t>S</t>
        </r>
        <r>
          <rPr>
            <sz val="8"/>
            <color indexed="81"/>
            <rFont val="Tahoma"/>
            <family val="2"/>
          </rPr>
          <t xml:space="preserve"> Mz)*Xp/J)^2)^(1/2)
where:
   Xp = x-distance of pile from centroidal Y-axis
   Yp = y-distance of pile from centroidal X-axis
Note: 'Rh' is an "absolute" value with no particular sign convention, thus no
          directional sense.</t>
        </r>
      </text>
      <mc:AlternateContent xmlns:mc="http://schemas.openxmlformats.org/markup-compatibility/2006">
        <mc:Choice Requires="v"/>
        <mc:Fallback>
          <commentPr defaultSize="0" autoFill="0" autoLine="0">
            <anchor>
              <from>
                <xdr:col>3</xdr:col>
                <xdr:colOff>68580</xdr:colOff>
                <xdr:row>71</xdr:row>
                <xdr:rowOff>68580</xdr:rowOff>
              </from>
              <to>
                <xdr:col>8</xdr:col>
                <xdr:colOff>563880</xdr:colOff>
                <xdr:row>77</xdr:row>
                <xdr:rowOff>68580</xdr:rowOff>
              </to>
            </anchor>
          </commentPr>
        </mc:Fallback>
      </mc:AlternateContent>
    </comment>
    <comment ref="C101" authorId="3" shapeId="36894">
      <text>
        <r>
          <rPr>
            <sz val="8"/>
            <color indexed="81"/>
            <rFont val="Tahoma"/>
            <family val="2"/>
          </rPr>
          <t>Sign convention for 'Rz(max)' is as follows:
   positive (+) = compression pile reaction
   negative (-) = tension (uplift) pile reaction</t>
        </r>
      </text>
      <mc:AlternateContent xmlns:mc="http://schemas.openxmlformats.org/markup-compatibility/2006">
        <mc:Choice Requires="v"/>
        <mc:Fallback>
          <commentPr defaultSize="0" autoFill="0" autoLine="0">
            <anchor>
              <from>
                <xdr:col>3</xdr:col>
                <xdr:colOff>68580</xdr:colOff>
                <xdr:row>99</xdr:row>
                <xdr:rowOff>68580</xdr:rowOff>
              </from>
              <to>
                <xdr:col>6</xdr:col>
                <xdr:colOff>289560</xdr:colOff>
                <xdr:row>102</xdr:row>
                <xdr:rowOff>30480</xdr:rowOff>
              </to>
            </anchor>
          </commentPr>
        </mc:Fallback>
      </mc:AlternateContent>
    </comment>
    <comment ref="C102" authorId="3" shapeId="36895">
      <text>
        <r>
          <rPr>
            <sz val="8"/>
            <color indexed="81"/>
            <rFont val="Tahoma"/>
            <family val="2"/>
          </rPr>
          <t>Sign convention for 'Rz(min)' is as follows:
   positive (+) = compression pile reaction
   negative (-) = tension (uplift) pile reaction</t>
        </r>
      </text>
      <mc:AlternateContent xmlns:mc="http://schemas.openxmlformats.org/markup-compatibility/2006">
        <mc:Choice Requires="v"/>
        <mc:Fallback>
          <commentPr defaultSize="0" autoFill="0" autoLine="0">
            <anchor>
              <from>
                <xdr:col>3</xdr:col>
                <xdr:colOff>68580</xdr:colOff>
                <xdr:row>100</xdr:row>
                <xdr:rowOff>68580</xdr:rowOff>
              </from>
              <to>
                <xdr:col>6</xdr:col>
                <xdr:colOff>289560</xdr:colOff>
                <xdr:row>103</xdr:row>
                <xdr:rowOff>30480</xdr:rowOff>
              </to>
            </anchor>
          </commentPr>
        </mc:Fallback>
      </mc:AlternateContent>
    </comment>
    <comment ref="C103" authorId="3" shapeId="36896">
      <text>
        <r>
          <rPr>
            <sz val="8"/>
            <color indexed="81"/>
            <rFont val="Tahoma"/>
            <family val="2"/>
          </rPr>
          <t>Note: 'Rh(max)' is an "absolute" value
          with no particular sign convention,
          thus no directional sense.</t>
        </r>
      </text>
      <mc:AlternateContent xmlns:mc="http://schemas.openxmlformats.org/markup-compatibility/2006">
        <mc:Choice Requires="v"/>
        <mc:Fallback>
          <commentPr defaultSize="0" autoFill="0" autoLine="0">
            <anchor>
              <from>
                <xdr:col>3</xdr:col>
                <xdr:colOff>68580</xdr:colOff>
                <xdr:row>101</xdr:row>
                <xdr:rowOff>68580</xdr:rowOff>
              </from>
              <to>
                <xdr:col>6</xdr:col>
                <xdr:colOff>129540</xdr:colOff>
                <xdr:row>104</xdr:row>
                <xdr:rowOff>22860</xdr:rowOff>
              </to>
            </anchor>
          </commentPr>
        </mc:Fallback>
      </mc:AlternateContent>
    </comment>
  </commentList>
</comments>
</file>

<file path=xl/comments5.xml><?xml version="1.0" encoding="utf-8"?>
<comments xmlns="http://purl.oclc.org/ooxml/spreadsheetml/main" xmlns:xdr="http://purl.oclc.org/ooxml/drawingml/spreadsheetDrawing" xmlns:v="urn:schemas-microsoft-com:vml">
  <authors>
    <author>Bob Dalpiaz</author>
    <author>O'Neal User</author>
    <author>ATOMANOV</author>
    <author>4892</author>
  </authors>
  <commentList>
    <comment ref="AR1" authorId="0" shapeId="80897">
      <text>
        <r>
          <rPr>
            <sz val="8"/>
            <color indexed="81"/>
            <rFont val="Tahoma"/>
          </rPr>
          <t xml:space="preserve">              "</t>
        </r>
        <r>
          <rPr>
            <b/>
            <sz val="8"/>
            <color indexed="81"/>
            <rFont val="Tahoma"/>
            <family val="2"/>
          </rPr>
          <t>PILEGRP.xls</t>
        </r>
        <r>
          <rPr>
            <sz val="8"/>
            <color indexed="81"/>
            <rFont val="Tahoma"/>
          </rPr>
          <t>"
written by:  Alex Tomanovich, P.E.</t>
        </r>
      </text>
      <mc:AlternateContent xmlns:mc="http://schemas.openxmlformats.org/markup-compatibility/2006">
        <mc:Choice Requires="v"/>
        <mc:Fallback>
          <commentPr defaultSize="0" autoFill="0" autoLine="0">
            <anchor>
              <from>
                <xdr:col>44</xdr:col>
                <xdr:colOff>45720</xdr:colOff>
                <xdr:row>0</xdr:row>
                <xdr:rowOff>38100</xdr:rowOff>
              </from>
              <to>
                <xdr:col>47</xdr:col>
                <xdr:colOff>243840</xdr:colOff>
                <xdr:row>2</xdr:row>
                <xdr:rowOff>30480</xdr:rowOff>
              </to>
            </anchor>
          </commentPr>
        </mc:Fallback>
      </mc:AlternateContent>
    </comment>
    <comment ref="AT2" authorId="1" shapeId="80926">
      <text>
        <r>
          <rPr>
            <sz val="8"/>
            <color indexed="81"/>
            <rFont val="Tahoma"/>
            <family val="2"/>
          </rPr>
          <t>The user may manually adjust the scaling of the plotted pile group by adjusting the "X" and "Y" plot scale factors below.  The object is to try to equalize the maximum X-axis and Y-axis values which are shown.</t>
        </r>
      </text>
      <mc:AlternateContent xmlns:mc="http://schemas.openxmlformats.org/markup-compatibility/2006">
        <mc:Choice Requires="v"/>
        <mc:Fallback>
          <commentPr defaultSize="0" autoFill="0" autoLine="0">
            <anchor>
              <from>
                <xdr:col>44</xdr:col>
                <xdr:colOff>99060</xdr:colOff>
                <xdr:row>0</xdr:row>
                <xdr:rowOff>167640</xdr:rowOff>
              </from>
              <to>
                <xdr:col>47</xdr:col>
                <xdr:colOff>312420</xdr:colOff>
                <xdr:row>6</xdr:row>
                <xdr:rowOff>7620</xdr:rowOff>
              </to>
            </anchor>
          </commentPr>
        </mc:Fallback>
      </mc:AlternateContent>
    </comment>
    <comment ref="C9" authorId="2" shapeId="80930">
      <text>
        <r>
          <rPr>
            <b/>
            <sz val="8"/>
            <color indexed="81"/>
            <rFont val="Tahoma"/>
            <family val="2"/>
          </rPr>
          <t>The minimum number of piles = 2.
The maximum number of piles = 300.</t>
        </r>
      </text>
      <mc:AlternateContent xmlns:mc="http://schemas.openxmlformats.org/markup-compatibility/2006">
        <mc:Choice Requires="v"/>
        <mc:Fallback>
          <commentPr defaultSize="0" autoFill="0" autoLine="0">
            <anchor>
              <from>
                <xdr:col>3</xdr:col>
                <xdr:colOff>144780</xdr:colOff>
                <xdr:row>7</xdr:row>
                <xdr:rowOff>68580</xdr:rowOff>
              </from>
              <to>
                <xdr:col>6</xdr:col>
                <xdr:colOff>510540</xdr:colOff>
                <xdr:row>9</xdr:row>
                <xdr:rowOff>76200</xdr:rowOff>
              </to>
            </anchor>
          </commentPr>
        </mc:Fallback>
      </mc:AlternateContent>
    </comment>
    <comment ref="C11" authorId="2" shapeId="80906">
      <text>
        <r>
          <rPr>
            <sz val="8"/>
            <color indexed="81"/>
            <rFont val="Tahoma"/>
            <family val="2"/>
          </rPr>
          <t xml:space="preserve">All piles must be located in the positive 1st quadrant.  That is, all pile Xo, Yo coordinate values must be &gt;= 0.
</t>
        </r>
        <r>
          <rPr>
            <b/>
            <sz val="8"/>
            <color indexed="81"/>
            <rFont val="Tahoma"/>
            <family val="2"/>
          </rPr>
          <t>Note: The user should make sure to either clear the contents of all cells that are not used for input of pile coordinates, or those cell values should be input = 0.</t>
        </r>
      </text>
      <mc:AlternateContent xmlns:mc="http://schemas.openxmlformats.org/markup-compatibility/2006">
        <mc:Choice Requires="v"/>
        <mc:Fallback>
          <commentPr defaultSize="0" autoFill="0" autoLine="0">
            <anchor>
              <from>
                <xdr:col>3</xdr:col>
                <xdr:colOff>106680</xdr:colOff>
                <xdr:row>9</xdr:row>
                <xdr:rowOff>76200</xdr:rowOff>
              </from>
              <to>
                <xdr:col>7</xdr:col>
                <xdr:colOff>281940</xdr:colOff>
                <xdr:row>14</xdr:row>
                <xdr:rowOff>99060</xdr:rowOff>
              </to>
            </anchor>
          </commentPr>
        </mc:Fallback>
      </mc:AlternateContent>
    </comment>
    <comment ref="B12" authorId="2" shapeId="80907">
      <text>
        <r>
          <rPr>
            <sz val="8"/>
            <color indexed="81"/>
            <rFont val="Tahoma"/>
            <family val="2"/>
          </rPr>
          <t>The 'Xo' coordinate is the x-distance from the origin axis to a particular pile.</t>
        </r>
      </text>
      <mc:AlternateContent xmlns:mc="http://schemas.openxmlformats.org/markup-compatibility/2006">
        <mc:Choice Requires="v"/>
        <mc:Fallback>
          <commentPr defaultSize="0" autoFill="0" autoLine="0">
            <anchor>
              <from>
                <xdr:col>2</xdr:col>
                <xdr:colOff>106680</xdr:colOff>
                <xdr:row>10</xdr:row>
                <xdr:rowOff>76200</xdr:rowOff>
              </from>
              <to>
                <xdr:col>5</xdr:col>
                <xdr:colOff>220980</xdr:colOff>
                <xdr:row>12</xdr:row>
                <xdr:rowOff>45720</xdr:rowOff>
              </to>
            </anchor>
          </commentPr>
        </mc:Fallback>
      </mc:AlternateContent>
    </comment>
    <comment ref="C12" authorId="2" shapeId="80908">
      <text>
        <r>
          <rPr>
            <sz val="8"/>
            <color indexed="81"/>
            <rFont val="Tahoma"/>
            <family val="2"/>
          </rPr>
          <t>The 'Yo' coordinate is the y-distance from the origin axis to a particular pile.</t>
        </r>
      </text>
      <mc:AlternateContent xmlns:mc="http://schemas.openxmlformats.org/markup-compatibility/2006">
        <mc:Choice Requires="v"/>
        <mc:Fallback>
          <commentPr defaultSize="0" autoFill="0" autoLine="0">
            <anchor>
              <from>
                <xdr:col>3</xdr:col>
                <xdr:colOff>106680</xdr:colOff>
                <xdr:row>10</xdr:row>
                <xdr:rowOff>76200</xdr:rowOff>
              </from>
              <to>
                <xdr:col>6</xdr:col>
                <xdr:colOff>76200</xdr:colOff>
                <xdr:row>12</xdr:row>
                <xdr:rowOff>45720</xdr:rowOff>
              </to>
            </anchor>
          </commentPr>
        </mc:Fallback>
      </mc:AlternateContent>
    </comment>
    <comment ref="K65" authorId="2" shapeId="81004">
      <text>
        <r>
          <rPr>
            <sz val="8"/>
            <color indexed="81"/>
            <rFont val="Tahoma"/>
            <family val="2"/>
          </rPr>
          <t xml:space="preserve">All piers must be located in the positive 1st quadrant.  That is, all pier X, Y coordinate values must be &gt;= 0.
</t>
        </r>
        <r>
          <rPr>
            <b/>
            <sz val="8"/>
            <color indexed="81"/>
            <rFont val="Tahoma"/>
            <family val="2"/>
          </rPr>
          <t>Note: The user should make sure to either clear the contents of all cells that are not used for input of pier coordinates, or those cell values should be input = 0.</t>
        </r>
      </text>
      <mc:AlternateContent xmlns:mc="http://schemas.openxmlformats.org/markup-compatibility/2006">
        <mc:Choice Requires="v"/>
        <mc:Fallback>
          <commentPr defaultSize="0" autoFill="0" autoLine="0">
            <anchor>
              <from>
                <xdr:col>11</xdr:col>
                <xdr:colOff>144780</xdr:colOff>
                <xdr:row>63</xdr:row>
                <xdr:rowOff>76200</xdr:rowOff>
              </from>
              <to>
                <xdr:col>16</xdr:col>
                <xdr:colOff>441960</xdr:colOff>
                <xdr:row>67</xdr:row>
                <xdr:rowOff>160020</xdr:rowOff>
              </to>
            </anchor>
          </commentPr>
        </mc:Fallback>
      </mc:AlternateContent>
    </comment>
    <comment ref="A67" authorId="2" shapeId="80910">
      <text>
        <r>
          <rPr>
            <sz val="8"/>
            <color indexed="81"/>
            <rFont val="Tahoma"/>
            <family val="2"/>
          </rPr>
          <t>The 'X' coordinate is the x-distance from the origin axis to a particular pier/loading.</t>
        </r>
      </text>
      <mc:AlternateContent xmlns:mc="http://schemas.openxmlformats.org/markup-compatibility/2006">
        <mc:Choice Requires="v"/>
        <mc:Fallback>
          <commentPr defaultSize="0" autoFill="0" autoLine="0">
            <anchor>
              <from>
                <xdr:col>1</xdr:col>
                <xdr:colOff>106680</xdr:colOff>
                <xdr:row>65</xdr:row>
                <xdr:rowOff>76200</xdr:rowOff>
              </from>
              <to>
                <xdr:col>4</xdr:col>
                <xdr:colOff>289560</xdr:colOff>
                <xdr:row>67</xdr:row>
                <xdr:rowOff>91440</xdr:rowOff>
              </to>
            </anchor>
          </commentPr>
        </mc:Fallback>
      </mc:AlternateContent>
    </comment>
    <comment ref="A68" authorId="2" shapeId="80911">
      <text>
        <r>
          <rPr>
            <sz val="8"/>
            <color indexed="81"/>
            <rFont val="Tahoma"/>
            <family val="2"/>
          </rPr>
          <t>The 'Y' coordinate is the y-distance from the origin axis to a particular pier/loading.</t>
        </r>
      </text>
      <mc:AlternateContent xmlns:mc="http://schemas.openxmlformats.org/markup-compatibility/2006">
        <mc:Choice Requires="v"/>
        <mc:Fallback>
          <commentPr defaultSize="0" autoFill="0" autoLine="0">
            <anchor>
              <from>
                <xdr:col>1</xdr:col>
                <xdr:colOff>106680</xdr:colOff>
                <xdr:row>66</xdr:row>
                <xdr:rowOff>76200</xdr:rowOff>
              </from>
              <to>
                <xdr:col>4</xdr:col>
                <xdr:colOff>274320</xdr:colOff>
                <xdr:row>68</xdr:row>
                <xdr:rowOff>91440</xdr:rowOff>
              </to>
            </anchor>
          </commentPr>
        </mc:Fallback>
      </mc:AlternateContent>
    </comment>
    <comment ref="A69" authorId="2" shapeId="80912">
      <text>
        <r>
          <rPr>
            <sz val="8"/>
            <color indexed="81"/>
            <rFont val="Tahoma"/>
            <family val="2"/>
          </rPr>
          <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t>
        </r>
      </text>
      <mc:AlternateContent xmlns:mc="http://schemas.openxmlformats.org/markup-compatibility/2006">
        <mc:Choice Requires="v"/>
        <mc:Fallback>
          <commentPr defaultSize="0" autoFill="0" autoLine="0">
            <anchor>
              <from>
                <xdr:col>1</xdr:col>
                <xdr:colOff>106680</xdr:colOff>
                <xdr:row>67</xdr:row>
                <xdr:rowOff>76200</xdr:rowOff>
              </from>
              <to>
                <xdr:col>5</xdr:col>
                <xdr:colOff>472440</xdr:colOff>
                <xdr:row>73</xdr:row>
                <xdr:rowOff>76200</xdr:rowOff>
              </to>
            </anchor>
          </commentPr>
        </mc:Fallback>
      </mc:AlternateContent>
    </comment>
    <comment ref="A70" authorId="2" shapeId="80915">
      <text>
        <r>
          <rPr>
            <sz val="8"/>
            <color indexed="81"/>
            <rFont val="Tahoma"/>
            <family val="2"/>
          </rPr>
          <t>'Pz' is the vertical (Z-axis) load to be applied at the pier location.
Sign convention: + = upward (out of page)
                                   -  = downward (into page) for gravity loads</t>
        </r>
      </text>
      <mc:AlternateContent xmlns:mc="http://schemas.openxmlformats.org/markup-compatibility/2006">
        <mc:Choice Requires="v"/>
        <mc:Fallback>
          <commentPr defaultSize="0" autoFill="0" autoLine="0">
            <anchor>
              <from>
                <xdr:col>1</xdr:col>
                <xdr:colOff>106680</xdr:colOff>
                <xdr:row>68</xdr:row>
                <xdr:rowOff>76200</xdr:rowOff>
              </from>
              <to>
                <xdr:col>6</xdr:col>
                <xdr:colOff>38100</xdr:colOff>
                <xdr:row>71</xdr:row>
                <xdr:rowOff>38100</xdr:rowOff>
              </to>
            </anchor>
          </commentPr>
        </mc:Fallback>
      </mc:AlternateContent>
    </comment>
    <comment ref="A71" authorId="2" shapeId="80913">
      <text>
        <r>
          <rPr>
            <sz val="8"/>
            <color indexed="81"/>
            <rFont val="Tahoma"/>
            <family val="2"/>
          </rPr>
          <t>'Hx' is the horizontal (X-axis) load to be applied at the pier location.
Sign convention: + = to right</t>
        </r>
      </text>
      <mc:AlternateContent xmlns:mc="http://schemas.openxmlformats.org/markup-compatibility/2006">
        <mc:Choice Requires="v"/>
        <mc:Fallback>
          <commentPr defaultSize="0" autoFill="0" autoLine="0">
            <anchor>
              <from>
                <xdr:col>1</xdr:col>
                <xdr:colOff>106680</xdr:colOff>
                <xdr:row>69</xdr:row>
                <xdr:rowOff>76200</xdr:rowOff>
              </from>
              <to>
                <xdr:col>6</xdr:col>
                <xdr:colOff>160020</xdr:colOff>
                <xdr:row>71</xdr:row>
                <xdr:rowOff>76200</xdr:rowOff>
              </to>
            </anchor>
          </commentPr>
        </mc:Fallback>
      </mc:AlternateContent>
    </comment>
    <comment ref="A72" authorId="2" shapeId="80914">
      <text>
        <r>
          <rPr>
            <sz val="8"/>
            <color indexed="81"/>
            <rFont val="Tahoma"/>
            <family val="2"/>
          </rPr>
          <t>'Hy' is the horizontal (Y-axis) load to be applied at the pier location.
Sign convention: + = up the page</t>
        </r>
      </text>
      <mc:AlternateContent xmlns:mc="http://schemas.openxmlformats.org/markup-compatibility/2006">
        <mc:Choice Requires="v"/>
        <mc:Fallback>
          <commentPr defaultSize="0" autoFill="0" autoLine="0">
            <anchor>
              <from>
                <xdr:col>1</xdr:col>
                <xdr:colOff>106680</xdr:colOff>
                <xdr:row>70</xdr:row>
                <xdr:rowOff>76200</xdr:rowOff>
              </from>
              <to>
                <xdr:col>6</xdr:col>
                <xdr:colOff>167640</xdr:colOff>
                <xdr:row>72</xdr:row>
                <xdr:rowOff>91440</xdr:rowOff>
              </to>
            </anchor>
          </commentPr>
        </mc:Fallback>
      </mc:AlternateContent>
    </comment>
    <comment ref="A73" authorId="2" shapeId="80916">
      <text>
        <r>
          <rPr>
            <sz val="8"/>
            <color indexed="81"/>
            <rFont val="Tahoma"/>
            <family val="2"/>
          </rPr>
          <t>'Mx' is the X-axis moment to be applied at the pier location.
Sign convention: + = by "Right-Hand-Rule" about +X-axis</t>
        </r>
      </text>
      <mc:AlternateContent xmlns:mc="http://schemas.openxmlformats.org/markup-compatibility/2006">
        <mc:Choice Requires="v"/>
        <mc:Fallback>
          <commentPr defaultSize="0" autoFill="0" autoLine="0">
            <anchor>
              <from>
                <xdr:col>1</xdr:col>
                <xdr:colOff>106680</xdr:colOff>
                <xdr:row>71</xdr:row>
                <xdr:rowOff>76200</xdr:rowOff>
              </from>
              <to>
                <xdr:col>5</xdr:col>
                <xdr:colOff>563880</xdr:colOff>
                <xdr:row>73</xdr:row>
                <xdr:rowOff>91440</xdr:rowOff>
              </to>
            </anchor>
          </commentPr>
        </mc:Fallback>
      </mc:AlternateContent>
    </comment>
    <comment ref="A74" authorId="2" shapeId="80917">
      <text>
        <r>
          <rPr>
            <sz val="8"/>
            <color indexed="81"/>
            <rFont val="Tahoma"/>
            <family val="2"/>
          </rPr>
          <t>'My' is the Y-axis moment to be applied at the pier location.
Sign convention: + = by "Right-Hand-Rule" about +Y-axis</t>
        </r>
      </text>
      <mc:AlternateContent xmlns:mc="http://schemas.openxmlformats.org/markup-compatibility/2006">
        <mc:Choice Requires="v"/>
        <mc:Fallback>
          <commentPr defaultSize="0" autoFill="0" autoLine="0">
            <anchor>
              <from>
                <xdr:col>1</xdr:col>
                <xdr:colOff>106680</xdr:colOff>
                <xdr:row>72</xdr:row>
                <xdr:rowOff>76200</xdr:rowOff>
              </from>
              <to>
                <xdr:col>5</xdr:col>
                <xdr:colOff>541020</xdr:colOff>
                <xdr:row>74</xdr:row>
                <xdr:rowOff>91440</xdr:rowOff>
              </to>
            </anchor>
          </commentPr>
        </mc:Fallback>
      </mc:AlternateContent>
    </comment>
    <comment ref="A75" authorId="2" shapeId="80918">
      <text>
        <r>
          <rPr>
            <sz val="8"/>
            <color indexed="81"/>
            <rFont val="Tahoma"/>
            <family val="2"/>
          </rPr>
          <t>'Mz' is the Z-axis moment to be applied at the pier location.
Sign convention: + = by "Right-Hand-Rule" about +Z-axis</t>
        </r>
      </text>
      <mc:AlternateContent xmlns:mc="http://schemas.openxmlformats.org/markup-compatibility/2006">
        <mc:Choice Requires="v"/>
        <mc:Fallback>
          <commentPr defaultSize="0" autoFill="0" autoLine="0">
            <anchor>
              <from>
                <xdr:col>1</xdr:col>
                <xdr:colOff>106680</xdr:colOff>
                <xdr:row>73</xdr:row>
                <xdr:rowOff>76200</xdr:rowOff>
              </from>
              <to>
                <xdr:col>5</xdr:col>
                <xdr:colOff>548640</xdr:colOff>
                <xdr:row>75</xdr:row>
                <xdr:rowOff>99060</xdr:rowOff>
              </to>
            </anchor>
          </commentPr>
        </mc:Fallback>
      </mc:AlternateContent>
    </comment>
    <comment ref="B82" authorId="3" shapeId="80903">
      <text>
        <r>
          <rPr>
            <sz val="8"/>
            <color indexed="81"/>
            <rFont val="Tahoma"/>
            <family val="2"/>
          </rPr>
          <t xml:space="preserve">The location of the centroidal Y-axis from the origin Y-axis is calculated as follows:
   Xc = </t>
        </r>
        <r>
          <rPr>
            <sz val="8"/>
            <color indexed="81"/>
            <rFont val="Symbol"/>
            <family val="1"/>
            <charset val="2"/>
          </rPr>
          <t>S</t>
        </r>
        <r>
          <rPr>
            <sz val="8"/>
            <color indexed="81"/>
            <rFont val="Tahoma"/>
            <family val="2"/>
          </rPr>
          <t xml:space="preserve"> (Xo)/Np
where:
   Np = total number of piles in group</t>
        </r>
      </text>
      <mc:AlternateContent xmlns:mc="http://schemas.openxmlformats.org/markup-compatibility/2006">
        <mc:Choice Requires="v"/>
        <mc:Fallback>
          <commentPr defaultSize="0" autoFill="0" autoLine="0">
            <anchor>
              <from>
                <xdr:col>2</xdr:col>
                <xdr:colOff>106680</xdr:colOff>
                <xdr:row>80</xdr:row>
                <xdr:rowOff>76200</xdr:rowOff>
              </from>
              <to>
                <xdr:col>5</xdr:col>
                <xdr:colOff>441960</xdr:colOff>
                <xdr:row>84</xdr:row>
                <xdr:rowOff>160020</xdr:rowOff>
              </to>
            </anchor>
          </commentPr>
        </mc:Fallback>
      </mc:AlternateContent>
    </comment>
    <comment ref="F82" authorId="2" shapeId="80900">
      <text>
        <r>
          <rPr>
            <sz val="8"/>
            <color indexed="81"/>
            <rFont val="Symbol"/>
            <family val="1"/>
            <charset val="2"/>
          </rPr>
          <t xml:space="preserve">S </t>
        </r>
        <r>
          <rPr>
            <sz val="8"/>
            <color indexed="81"/>
            <rFont val="Tahoma"/>
            <family val="2"/>
          </rPr>
          <t xml:space="preserve"> Pz = sum of all applied vertical (Z-axis) loads translated to the centroid of the pile group.
Sign convention: positive in +Z-axis direction</t>
        </r>
      </text>
      <mc:AlternateContent xmlns:mc="http://schemas.openxmlformats.org/markup-compatibility/2006">
        <mc:Choice Requires="v"/>
        <mc:Fallback>
          <commentPr defaultSize="0" autoFill="0" autoLine="0">
            <anchor>
              <from>
                <xdr:col>5</xdr:col>
                <xdr:colOff>701040</xdr:colOff>
                <xdr:row>80</xdr:row>
                <xdr:rowOff>76200</xdr:rowOff>
              </from>
              <to>
                <xdr:col>9</xdr:col>
                <xdr:colOff>556260</xdr:colOff>
                <xdr:row>83</xdr:row>
                <xdr:rowOff>60960</xdr:rowOff>
              </to>
            </anchor>
          </commentPr>
        </mc:Fallback>
      </mc:AlternateContent>
    </comment>
    <comment ref="B83" authorId="3" shapeId="80904">
      <text>
        <r>
          <rPr>
            <sz val="8"/>
            <color indexed="81"/>
            <rFont val="Tahoma"/>
            <family val="2"/>
          </rPr>
          <t xml:space="preserve">The location of the centroidal X-axis from the origin X-axis is calculated as follows:
   Yc = </t>
        </r>
        <r>
          <rPr>
            <sz val="8"/>
            <color indexed="81"/>
            <rFont val="Symbol"/>
            <family val="1"/>
            <charset val="2"/>
          </rPr>
          <t>S</t>
        </r>
        <r>
          <rPr>
            <sz val="8"/>
            <color indexed="81"/>
            <rFont val="Tahoma"/>
            <family val="2"/>
          </rPr>
          <t xml:space="preserve"> (Yo)/Np
where:
   Np = total number of piles in group</t>
        </r>
      </text>
      <mc:AlternateContent xmlns:mc="http://schemas.openxmlformats.org/markup-compatibility/2006">
        <mc:Choice Requires="v"/>
        <mc:Fallback>
          <commentPr defaultSize="0" autoFill="0" autoLine="0">
            <anchor>
              <from>
                <xdr:col>2</xdr:col>
                <xdr:colOff>106680</xdr:colOff>
                <xdr:row>81</xdr:row>
                <xdr:rowOff>76200</xdr:rowOff>
              </from>
              <to>
                <xdr:col>5</xdr:col>
                <xdr:colOff>441960</xdr:colOff>
                <xdr:row>86</xdr:row>
                <xdr:rowOff>7620</xdr:rowOff>
              </to>
            </anchor>
          </commentPr>
        </mc:Fallback>
      </mc:AlternateContent>
    </comment>
    <comment ref="F83" authorId="2" shapeId="80901">
      <text>
        <r>
          <rPr>
            <sz val="8"/>
            <color indexed="81"/>
            <rFont val="Symbol"/>
            <family val="1"/>
            <charset val="2"/>
          </rPr>
          <t xml:space="preserve">S </t>
        </r>
        <r>
          <rPr>
            <sz val="8"/>
            <color indexed="81"/>
            <rFont val="Tahoma"/>
            <family val="2"/>
          </rPr>
          <t xml:space="preserve"> Hx = sum of all applied horizontal (X-axis) loads translated to the centroid of the pile group.
Sign convention: positive in +X-axis direction</t>
        </r>
      </text>
      <mc:AlternateContent xmlns:mc="http://schemas.openxmlformats.org/markup-compatibility/2006">
        <mc:Choice Requires="v"/>
        <mc:Fallback>
          <commentPr defaultSize="0" autoFill="0" autoLine="0">
            <anchor>
              <from>
                <xdr:col>5</xdr:col>
                <xdr:colOff>701040</xdr:colOff>
                <xdr:row>81</xdr:row>
                <xdr:rowOff>76200</xdr:rowOff>
              </from>
              <to>
                <xdr:col>10</xdr:col>
                <xdr:colOff>45720</xdr:colOff>
                <xdr:row>84</xdr:row>
                <xdr:rowOff>30480</xdr:rowOff>
              </to>
            </anchor>
          </commentPr>
        </mc:Fallback>
      </mc:AlternateContent>
    </comment>
    <comment ref="B84" authorId="3" shapeId="80999">
      <text>
        <r>
          <rPr>
            <sz val="8"/>
            <color indexed="81"/>
            <rFont val="Tahoma"/>
            <family val="2"/>
          </rPr>
          <t>The X-axis Moment of Inertia, 'Ix',  for the pile group is calculated as follows:
   Ix = Ap*</t>
        </r>
        <r>
          <rPr>
            <sz val="8"/>
            <color indexed="81"/>
            <rFont val="Symbol"/>
            <family val="1"/>
            <charset val="2"/>
          </rPr>
          <t>S</t>
        </r>
        <r>
          <rPr>
            <sz val="8"/>
            <color indexed="81"/>
            <rFont val="Tahoma"/>
            <family val="2"/>
          </rPr>
          <t xml:space="preserve"> (dy)^2
where:
   Ap = Area of pile assumed = unity (1) 
   dy = y-distance of each pile from
               centroidal X-axis </t>
        </r>
      </text>
      <mc:AlternateContent xmlns:mc="http://schemas.openxmlformats.org/markup-compatibility/2006">
        <mc:Choice Requires="v"/>
        <mc:Fallback>
          <commentPr defaultSize="0" autoFill="0" autoLine="0">
            <anchor>
              <from>
                <xdr:col>2</xdr:col>
                <xdr:colOff>144780</xdr:colOff>
                <xdr:row>82</xdr:row>
                <xdr:rowOff>76200</xdr:rowOff>
              </from>
              <to>
                <xdr:col>5</xdr:col>
                <xdr:colOff>220980</xdr:colOff>
                <xdr:row>88</xdr:row>
                <xdr:rowOff>99060</xdr:rowOff>
              </to>
            </anchor>
          </commentPr>
        </mc:Fallback>
      </mc:AlternateContent>
    </comment>
    <comment ref="F84" authorId="2" shapeId="80902">
      <text>
        <r>
          <rPr>
            <sz val="8"/>
            <color indexed="81"/>
            <rFont val="Symbol"/>
            <family val="1"/>
            <charset val="2"/>
          </rPr>
          <t xml:space="preserve">S </t>
        </r>
        <r>
          <rPr>
            <sz val="8"/>
            <color indexed="81"/>
            <rFont val="Tahoma"/>
            <family val="2"/>
          </rPr>
          <t xml:space="preserve"> Hy = sum of all applied horizontal (Y-axis) loads translated to the centroid of the pile group.
Sign convention: positive in +Y-axis direction</t>
        </r>
      </text>
      <mc:AlternateContent xmlns:mc="http://schemas.openxmlformats.org/markup-compatibility/2006">
        <mc:Choice Requires="v"/>
        <mc:Fallback>
          <commentPr defaultSize="0" autoFill="0" autoLine="0">
            <anchor>
              <from>
                <xdr:col>5</xdr:col>
                <xdr:colOff>701040</xdr:colOff>
                <xdr:row>82</xdr:row>
                <xdr:rowOff>76200</xdr:rowOff>
              </from>
              <to>
                <xdr:col>10</xdr:col>
                <xdr:colOff>45720</xdr:colOff>
                <xdr:row>85</xdr:row>
                <xdr:rowOff>60960</xdr:rowOff>
              </to>
            </anchor>
          </commentPr>
        </mc:Fallback>
      </mc:AlternateContent>
    </comment>
    <comment ref="AW84" authorId="2" shapeId="80931">
      <text>
        <r>
          <rPr>
            <b/>
            <sz val="8"/>
            <color indexed="81"/>
            <rFont val="Tahoma"/>
            <family val="2"/>
          </rPr>
          <t>The minimum number of piles = 3.
The maximum number of piles = 300.</t>
        </r>
      </text>
      <mc:AlternateContent xmlns:mc="http://schemas.openxmlformats.org/markup-compatibility/2006">
        <mc:Choice Requires="v"/>
        <mc:Fallback>
          <commentPr defaultSize="0" autoFill="0" autoLine="0">
            <anchor>
              <from>
                <xdr:col>47</xdr:col>
                <xdr:colOff>68580</xdr:colOff>
                <xdr:row>82</xdr:row>
                <xdr:rowOff>76200</xdr:rowOff>
              </from>
              <to>
                <xdr:col>50</xdr:col>
                <xdr:colOff>586740</xdr:colOff>
                <xdr:row>84</xdr:row>
                <xdr:rowOff>76200</xdr:rowOff>
              </to>
            </anchor>
          </commentPr>
        </mc:Fallback>
      </mc:AlternateContent>
    </comment>
    <comment ref="B85" authorId="3" shapeId="81000">
      <text>
        <r>
          <rPr>
            <sz val="8"/>
            <color indexed="81"/>
            <rFont val="Tahoma"/>
            <family val="2"/>
          </rPr>
          <t>The Y-axis Moment of Inertia, 'Iy',  for the pile group is calculated as follows:
   Iy = Ap*</t>
        </r>
        <r>
          <rPr>
            <sz val="8"/>
            <color indexed="81"/>
            <rFont val="Symbol"/>
            <family val="1"/>
            <charset val="2"/>
          </rPr>
          <t>S</t>
        </r>
        <r>
          <rPr>
            <sz val="8"/>
            <color indexed="81"/>
            <rFont val="Tahoma"/>
            <family val="2"/>
          </rPr>
          <t xml:space="preserve"> (dx)^2
where:
   Ap = Area of pile assumed = unity (1)  
   dx = x-distance of each pile from
               centroidal Y-axis </t>
        </r>
      </text>
      <mc:AlternateContent xmlns:mc="http://schemas.openxmlformats.org/markup-compatibility/2006">
        <mc:Choice Requires="v"/>
        <mc:Fallback>
          <commentPr defaultSize="0" autoFill="0" autoLine="0">
            <anchor>
              <from>
                <xdr:col>2</xdr:col>
                <xdr:colOff>144780</xdr:colOff>
                <xdr:row>83</xdr:row>
                <xdr:rowOff>76200</xdr:rowOff>
              </from>
              <to>
                <xdr:col>5</xdr:col>
                <xdr:colOff>220980</xdr:colOff>
                <xdr:row>89</xdr:row>
                <xdr:rowOff>76200</xdr:rowOff>
              </to>
            </anchor>
          </commentPr>
        </mc:Fallback>
      </mc:AlternateContent>
    </comment>
    <comment ref="F85" authorId="2" shapeId="80919">
      <text>
        <r>
          <rPr>
            <sz val="8"/>
            <color indexed="81"/>
            <rFont val="Symbol"/>
            <family val="1"/>
            <charset val="2"/>
          </rPr>
          <t xml:space="preserve">S </t>
        </r>
        <r>
          <rPr>
            <sz val="8"/>
            <color indexed="81"/>
            <rFont val="Tahoma"/>
            <family val="2"/>
          </rPr>
          <t xml:space="preserve"> Mx = sum of all applied X-axis moments calculated at the top of the piles and  translated to the centroid of the pile group.
Sign convention: positive by "Right-Hand-Rule" about +X-axis</t>
        </r>
      </text>
      <mc:AlternateContent xmlns:mc="http://schemas.openxmlformats.org/markup-compatibility/2006">
        <mc:Choice Requires="v"/>
        <mc:Fallback>
          <commentPr defaultSize="0" autoFill="0" autoLine="0">
            <anchor>
              <from>
                <xdr:col>5</xdr:col>
                <xdr:colOff>701040</xdr:colOff>
                <xdr:row>83</xdr:row>
                <xdr:rowOff>76200</xdr:rowOff>
              </from>
              <to>
                <xdr:col>11</xdr:col>
                <xdr:colOff>45720</xdr:colOff>
                <xdr:row>86</xdr:row>
                <xdr:rowOff>45720</xdr:rowOff>
              </to>
            </anchor>
          </commentPr>
        </mc:Fallback>
      </mc:AlternateContent>
    </comment>
    <comment ref="B86" authorId="3" shapeId="81001">
      <text>
        <r>
          <rPr>
            <sz val="8"/>
            <color indexed="81"/>
            <rFont val="Tahoma"/>
            <family val="2"/>
          </rPr>
          <t>The Polar Moment of Inertia for the pile group is calculated as follows:
   J = Ix+Iy</t>
        </r>
      </text>
      <mc:AlternateContent xmlns:mc="http://schemas.openxmlformats.org/markup-compatibility/2006">
        <mc:Choice Requires="v"/>
        <mc:Fallback>
          <commentPr defaultSize="0" autoFill="0" autoLine="0">
            <anchor>
              <from>
                <xdr:col>2</xdr:col>
                <xdr:colOff>144780</xdr:colOff>
                <xdr:row>84</xdr:row>
                <xdr:rowOff>76200</xdr:rowOff>
              </from>
              <to>
                <xdr:col>5</xdr:col>
                <xdr:colOff>220980</xdr:colOff>
                <xdr:row>87</xdr:row>
                <xdr:rowOff>30480</xdr:rowOff>
              </to>
            </anchor>
          </commentPr>
        </mc:Fallback>
      </mc:AlternateContent>
    </comment>
    <comment ref="F86" authorId="2" shapeId="80920">
      <text>
        <r>
          <rPr>
            <sz val="8"/>
            <color indexed="81"/>
            <rFont val="Symbol"/>
            <family val="1"/>
            <charset val="2"/>
          </rPr>
          <t xml:space="preserve">S </t>
        </r>
        <r>
          <rPr>
            <sz val="8"/>
            <color indexed="81"/>
            <rFont val="Tahoma"/>
            <family val="2"/>
          </rPr>
          <t xml:space="preserve"> My = sum of all applied Y-axis moments calculated at the top of the piles and  translated to the centroid of the pile group.
Sign convention: positive by "Right-Hand-Rule" about +Y-axis</t>
        </r>
      </text>
      <mc:AlternateContent xmlns:mc="http://schemas.openxmlformats.org/markup-compatibility/2006">
        <mc:Choice Requires="v"/>
        <mc:Fallback>
          <commentPr defaultSize="0" autoFill="0" autoLine="0">
            <anchor>
              <from>
                <xdr:col>5</xdr:col>
                <xdr:colOff>701040</xdr:colOff>
                <xdr:row>84</xdr:row>
                <xdr:rowOff>76200</xdr:rowOff>
              </from>
              <to>
                <xdr:col>11</xdr:col>
                <xdr:colOff>99060</xdr:colOff>
                <xdr:row>87</xdr:row>
                <xdr:rowOff>60960</xdr:rowOff>
              </to>
            </anchor>
          </commentPr>
        </mc:Fallback>
      </mc:AlternateContent>
    </comment>
    <comment ref="B87" authorId="3" shapeId="81002">
      <text>
        <r>
          <rPr>
            <sz val="8"/>
            <color indexed="81"/>
            <rFont val="Tahoma"/>
            <family val="2"/>
          </rPr>
          <t>The Product Moment of Inertia, 'Ixy', for the pile group is calculated as follows:
   Ixy = Ap*</t>
        </r>
        <r>
          <rPr>
            <sz val="8"/>
            <color indexed="81"/>
            <rFont val="Symbol"/>
            <family val="1"/>
            <charset val="2"/>
          </rPr>
          <t>S</t>
        </r>
        <r>
          <rPr>
            <sz val="8"/>
            <color indexed="81"/>
            <rFont val="Tahoma"/>
            <family val="2"/>
          </rPr>
          <t xml:space="preserve"> (dx*dy)
where:
   Ap = Area of pile assumed = unity (1) 
   dx = x-distance of each pile from
               centroidal Y-axis
   dy = y-distance of each pile from
               centroidal X-axis
Note:  'Ixy' = 0  for a pile group with at
           least one axis of symmetry.</t>
        </r>
      </text>
      <mc:AlternateContent xmlns:mc="http://schemas.openxmlformats.org/markup-compatibility/2006">
        <mc:Choice Requires="v"/>
        <mc:Fallback>
          <commentPr defaultSize="0" autoFill="0" autoLine="0">
            <anchor>
              <from>
                <xdr:col>2</xdr:col>
                <xdr:colOff>144780</xdr:colOff>
                <xdr:row>85</xdr:row>
                <xdr:rowOff>76200</xdr:rowOff>
              </from>
              <to>
                <xdr:col>5</xdr:col>
                <xdr:colOff>251460</xdr:colOff>
                <xdr:row>95</xdr:row>
                <xdr:rowOff>60960</xdr:rowOff>
              </to>
            </anchor>
          </commentPr>
        </mc:Fallback>
      </mc:AlternateContent>
    </comment>
    <comment ref="F87" authorId="2" shapeId="80921">
      <text>
        <r>
          <rPr>
            <sz val="8"/>
            <color indexed="81"/>
            <rFont val="Symbol"/>
            <family val="1"/>
            <charset val="2"/>
          </rPr>
          <t xml:space="preserve">S </t>
        </r>
        <r>
          <rPr>
            <sz val="8"/>
            <color indexed="81"/>
            <rFont val="Tahoma"/>
            <family val="2"/>
          </rPr>
          <t xml:space="preserve"> Mz = sum of all applied Z-axis moments translated to the centroid of the pile group.
Sign convention: positive by "Right-Hand-Rule" about +Z-axis</t>
        </r>
      </text>
      <mc:AlternateContent xmlns:mc="http://schemas.openxmlformats.org/markup-compatibility/2006">
        <mc:Choice Requires="v"/>
        <mc:Fallback>
          <commentPr defaultSize="0" autoFill="0" autoLine="0">
            <anchor>
              <from>
                <xdr:col>5</xdr:col>
                <xdr:colOff>701040</xdr:colOff>
                <xdr:row>85</xdr:row>
                <xdr:rowOff>76200</xdr:rowOff>
              </from>
              <to>
                <xdr:col>11</xdr:col>
                <xdr:colOff>7620</xdr:colOff>
                <xdr:row>88</xdr:row>
                <xdr:rowOff>38100</xdr:rowOff>
              </to>
            </anchor>
          </commentPr>
        </mc:Fallback>
      </mc:AlternateContent>
    </comment>
    <comment ref="B88" authorId="3" shapeId="80905">
      <text>
        <r>
          <rPr>
            <sz val="8"/>
            <color indexed="81"/>
            <rFont val="Tahoma"/>
            <family val="2"/>
          </rPr>
          <t>The orientation of the principal axes, is defined by the rotation angle, '</t>
        </r>
        <r>
          <rPr>
            <sz val="8"/>
            <color indexed="81"/>
            <rFont val="Symbol"/>
            <family val="1"/>
            <charset val="2"/>
          </rPr>
          <t xml:space="preserve">q </t>
        </r>
        <r>
          <rPr>
            <sz val="8"/>
            <color indexed="81"/>
            <rFont val="Tahoma"/>
            <family val="2"/>
          </rPr>
          <t xml:space="preserve">', from the centroidal axes and is calculated as follows:
   </t>
        </r>
        <r>
          <rPr>
            <sz val="8"/>
            <color indexed="81"/>
            <rFont val="Symbol"/>
            <family val="1"/>
            <charset val="2"/>
          </rPr>
          <t>q</t>
        </r>
        <r>
          <rPr>
            <sz val="8"/>
            <color indexed="81"/>
            <rFont val="Tahoma"/>
            <family val="2"/>
          </rPr>
          <t xml:space="preserve"> = (ATAN(-2*Ixy/(Ix-Iy)))/2
Note: sign convention is positive (+) ccw.
           '</t>
        </r>
        <r>
          <rPr>
            <sz val="8"/>
            <color indexed="81"/>
            <rFont val="Symbol"/>
            <family val="1"/>
            <charset val="2"/>
          </rPr>
          <t xml:space="preserve">q </t>
        </r>
        <r>
          <rPr>
            <sz val="8"/>
            <color indexed="81"/>
            <rFont val="Tahoma"/>
            <family val="2"/>
          </rPr>
          <t>' = 0  for a pile group with at least one
          axis of symmetry.</t>
        </r>
      </text>
      <mc:AlternateContent xmlns:mc="http://schemas.openxmlformats.org/markup-compatibility/2006">
        <mc:Choice Requires="v"/>
        <mc:Fallback>
          <commentPr defaultSize="0" autoFill="0" autoLine="0">
            <anchor>
              <from>
                <xdr:col>2</xdr:col>
                <xdr:colOff>106680</xdr:colOff>
                <xdr:row>86</xdr:row>
                <xdr:rowOff>76200</xdr:rowOff>
              </from>
              <to>
                <xdr:col>5</xdr:col>
                <xdr:colOff>647700</xdr:colOff>
                <xdr:row>92</xdr:row>
                <xdr:rowOff>76200</xdr:rowOff>
              </to>
            </anchor>
          </commentPr>
        </mc:Fallback>
      </mc:AlternateContent>
    </comment>
    <comment ref="B91" authorId="3" shapeId="80922">
      <text>
        <r>
          <rPr>
            <sz val="8"/>
            <color indexed="81"/>
            <rFont val="Tahoma"/>
            <family val="2"/>
          </rPr>
          <t>Sign convention for 'Rz(max)' is as follows:
   positive (+) = compression pile reaction
   negative (-) = tension (uplift) pile reaction</t>
        </r>
      </text>
      <mc:AlternateContent xmlns:mc="http://schemas.openxmlformats.org/markup-compatibility/2006">
        <mc:Choice Requires="v"/>
        <mc:Fallback>
          <commentPr defaultSize="0" autoFill="0" autoLine="0">
            <anchor>
              <from>
                <xdr:col>2</xdr:col>
                <xdr:colOff>106680</xdr:colOff>
                <xdr:row>89</xdr:row>
                <xdr:rowOff>76200</xdr:rowOff>
              </from>
              <to>
                <xdr:col>5</xdr:col>
                <xdr:colOff>518160</xdr:colOff>
                <xdr:row>92</xdr:row>
                <xdr:rowOff>60960</xdr:rowOff>
              </to>
            </anchor>
          </commentPr>
        </mc:Fallback>
      </mc:AlternateContent>
    </comment>
    <comment ref="B92" authorId="3" shapeId="80923">
      <text>
        <r>
          <rPr>
            <sz val="8"/>
            <color indexed="81"/>
            <rFont val="Tahoma"/>
            <family val="2"/>
          </rPr>
          <t>Sign convention for 'Rz(min)' is as follows:
   positive (+) = compression pile reaction
   negative (-) = tension (uplift) pile reaction</t>
        </r>
      </text>
      <mc:AlternateContent xmlns:mc="http://schemas.openxmlformats.org/markup-compatibility/2006">
        <mc:Choice Requires="v"/>
        <mc:Fallback>
          <commentPr defaultSize="0" autoFill="0" autoLine="0">
            <anchor>
              <from>
                <xdr:col>2</xdr:col>
                <xdr:colOff>106680</xdr:colOff>
                <xdr:row>90</xdr:row>
                <xdr:rowOff>76200</xdr:rowOff>
              </from>
              <to>
                <xdr:col>5</xdr:col>
                <xdr:colOff>518160</xdr:colOff>
                <xdr:row>93</xdr:row>
                <xdr:rowOff>38100</xdr:rowOff>
              </to>
            </anchor>
          </commentPr>
        </mc:Fallback>
      </mc:AlternateContent>
    </comment>
    <comment ref="B93" authorId="3" shapeId="80924">
      <text>
        <r>
          <rPr>
            <sz val="8"/>
            <color indexed="81"/>
            <rFont val="Tahoma"/>
            <family val="2"/>
          </rPr>
          <t>Note: 'Rh(max)' is an "absolute" value
          with no particular sign convention,
          thus no directional sense.</t>
        </r>
      </text>
      <mc:AlternateContent xmlns:mc="http://schemas.openxmlformats.org/markup-compatibility/2006">
        <mc:Choice Requires="v"/>
        <mc:Fallback>
          <commentPr defaultSize="0" autoFill="0" autoLine="0">
            <anchor>
              <from>
                <xdr:col>2</xdr:col>
                <xdr:colOff>106680</xdr:colOff>
                <xdr:row>91</xdr:row>
                <xdr:rowOff>76200</xdr:rowOff>
              </from>
              <to>
                <xdr:col>5</xdr:col>
                <xdr:colOff>320040</xdr:colOff>
                <xdr:row>94</xdr:row>
                <xdr:rowOff>45720</xdr:rowOff>
              </to>
            </anchor>
          </commentPr>
        </mc:Fallback>
      </mc:AlternateContent>
    </comment>
    <comment ref="B142" authorId="3" shapeId="80898">
      <text>
        <r>
          <rPr>
            <sz val="8"/>
            <color indexed="81"/>
            <rFont val="Tahoma"/>
            <family val="2"/>
          </rPr>
          <t>The Vertical Pile Reaction, 'Rz', at each pile is calculated as follows:
   Rz = (-</t>
        </r>
        <r>
          <rPr>
            <sz val="8"/>
            <color indexed="81"/>
            <rFont val="Symbol"/>
            <family val="1"/>
            <charset val="2"/>
          </rPr>
          <t>S</t>
        </r>
        <r>
          <rPr>
            <sz val="8"/>
            <color indexed="81"/>
            <rFont val="Tahoma"/>
            <family val="2"/>
          </rPr>
          <t xml:space="preserve"> Pz)/Np +</t>
        </r>
        <r>
          <rPr>
            <sz val="8"/>
            <color indexed="81"/>
            <rFont val="Symbol"/>
            <family val="1"/>
            <charset val="2"/>
          </rPr>
          <t xml:space="preserve"> ((S</t>
        </r>
        <r>
          <rPr>
            <sz val="8"/>
            <color indexed="81"/>
            <rFont val="Tahoma"/>
            <family val="2"/>
          </rPr>
          <t xml:space="preserve"> My)*Ix-(-</t>
        </r>
        <r>
          <rPr>
            <sz val="8"/>
            <color indexed="81"/>
            <rFont val="Symbol"/>
            <family val="1"/>
            <charset val="2"/>
          </rPr>
          <t>S</t>
        </r>
        <r>
          <rPr>
            <sz val="8"/>
            <color indexed="81"/>
            <rFont val="Tahoma"/>
            <family val="2"/>
          </rPr>
          <t xml:space="preserve"> Mx)*Ixy)/(Ix*Iy-Ixy^2)*Xp + ((</t>
        </r>
        <r>
          <rPr>
            <sz val="8"/>
            <color indexed="81"/>
            <rFont val="Symbol"/>
            <family val="1"/>
            <charset val="2"/>
          </rPr>
          <t>S</t>
        </r>
        <r>
          <rPr>
            <sz val="8"/>
            <color indexed="81"/>
            <rFont val="Tahoma"/>
            <family val="2"/>
          </rPr>
          <t xml:space="preserve"> Mx)*Iy-(</t>
        </r>
        <r>
          <rPr>
            <sz val="8"/>
            <color indexed="81"/>
            <rFont val="Symbol"/>
            <family val="1"/>
            <charset val="2"/>
          </rPr>
          <t>S</t>
        </r>
        <r>
          <rPr>
            <sz val="8"/>
            <color indexed="81"/>
            <rFont val="Tahoma"/>
            <family val="2"/>
          </rPr>
          <t xml:space="preserve"> My)*Ixy)/(Ix*Iy-Ixy^2)*Yp
where:
   Xp = x-distance of pile from centroidal Y-axis
   Yp = y-distance of pile from centroidal X-axis
Sign convention for 'Rz' is as follows:
   positive (+) = compression pile reaction
   negative (-) = tension (uplift) pile reaction</t>
        </r>
      </text>
      <mc:AlternateContent xmlns:mc="http://schemas.openxmlformats.org/markup-compatibility/2006">
        <mc:Choice Requires="v"/>
        <mc:Fallback>
          <commentPr defaultSize="0" autoFill="0" autoLine="0">
            <anchor>
              <from>
                <xdr:col>2</xdr:col>
                <xdr:colOff>106680</xdr:colOff>
                <xdr:row>140</xdr:row>
                <xdr:rowOff>76200</xdr:rowOff>
              </from>
              <to>
                <xdr:col>9</xdr:col>
                <xdr:colOff>373380</xdr:colOff>
                <xdr:row>147</xdr:row>
                <xdr:rowOff>76200</xdr:rowOff>
              </to>
            </anchor>
          </commentPr>
        </mc:Fallback>
      </mc:AlternateContent>
    </comment>
    <comment ref="C142" authorId="3" shapeId="80899">
      <text>
        <r>
          <rPr>
            <sz val="8"/>
            <color indexed="81"/>
            <rFont val="Tahoma"/>
            <family val="2"/>
          </rPr>
          <t>The Horizontal Pile Reaction, 'Rh', at each pile is calculated as follows:
   Rh = (((</t>
        </r>
        <r>
          <rPr>
            <sz val="8"/>
            <color indexed="81"/>
            <rFont val="Symbol"/>
            <family val="1"/>
            <charset val="2"/>
          </rPr>
          <t>S</t>
        </r>
        <r>
          <rPr>
            <sz val="8"/>
            <color indexed="81"/>
            <rFont val="Tahoma"/>
            <family val="2"/>
          </rPr>
          <t xml:space="preserve"> Hx)/Np +</t>
        </r>
        <r>
          <rPr>
            <sz val="8"/>
            <color indexed="81"/>
            <rFont val="Symbol"/>
            <family val="1"/>
            <charset val="2"/>
          </rPr>
          <t xml:space="preserve"> (S</t>
        </r>
        <r>
          <rPr>
            <sz val="8"/>
            <color indexed="81"/>
            <rFont val="Tahoma"/>
            <family val="2"/>
          </rPr>
          <t xml:space="preserve"> Mz)*Yp/J)^2 + ((</t>
        </r>
        <r>
          <rPr>
            <sz val="8"/>
            <color indexed="81"/>
            <rFont val="Symbol"/>
            <family val="1"/>
            <charset val="2"/>
          </rPr>
          <t>S</t>
        </r>
        <r>
          <rPr>
            <sz val="8"/>
            <color indexed="81"/>
            <rFont val="Tahoma"/>
            <family val="2"/>
          </rPr>
          <t xml:space="preserve"> Hy)/Np + (</t>
        </r>
        <r>
          <rPr>
            <sz val="8"/>
            <color indexed="81"/>
            <rFont val="Symbol"/>
            <family val="1"/>
            <charset val="2"/>
          </rPr>
          <t>S</t>
        </r>
        <r>
          <rPr>
            <sz val="8"/>
            <color indexed="81"/>
            <rFont val="Tahoma"/>
            <family val="2"/>
          </rPr>
          <t xml:space="preserve"> Mz)*Xp/J)^2)^(1/2)
where:
   Xp = x-distance of pile from centroidal Y-axis
   Yp = y-distance of pile from centroidal X-axis
Note: 'Rh' is an "absolute" value with no particular sign convention, thus no
             directional sense.</t>
        </r>
      </text>
      <mc:AlternateContent xmlns:mc="http://schemas.openxmlformats.org/markup-compatibility/2006">
        <mc:Choice Requires="v"/>
        <mc:Fallback>
          <commentPr defaultSize="0" autoFill="0" autoLine="0">
            <anchor>
              <from>
                <xdr:col>3</xdr:col>
                <xdr:colOff>106680</xdr:colOff>
                <xdr:row>140</xdr:row>
                <xdr:rowOff>76200</xdr:rowOff>
              </from>
              <to>
                <xdr:col>9</xdr:col>
                <xdr:colOff>99060</xdr:colOff>
                <xdr:row>146</xdr:row>
                <xdr:rowOff>60960</xdr:rowOff>
              </to>
            </anchor>
          </commentPr>
        </mc:Fallback>
      </mc:AlternateContent>
    </comment>
  </commentList>
</comments>
</file>

<file path=xl/comments6.xml><?xml version="1.0" encoding="utf-8"?>
<comments xmlns="http://purl.oclc.org/ooxml/spreadsheetml/main" xmlns:xdr="http://purl.oclc.org/ooxml/drawingml/spreadsheetDrawing" xmlns:v="urn:schemas-microsoft-com:vml">
  <authors>
    <author>Bob Dalpiaz</author>
    <author>O'Neal User</author>
    <author>ATOMANOV</author>
    <author>4892</author>
  </authors>
  <commentList>
    <comment ref="AR1" authorId="0" shapeId="82945">
      <text>
        <r>
          <rPr>
            <sz val="8"/>
            <color indexed="81"/>
            <rFont val="Tahoma"/>
          </rPr>
          <t xml:space="preserve">              "</t>
        </r>
        <r>
          <rPr>
            <b/>
            <sz val="8"/>
            <color indexed="81"/>
            <rFont val="Tahoma"/>
            <family val="2"/>
          </rPr>
          <t>PILEGRP.xls</t>
        </r>
        <r>
          <rPr>
            <sz val="8"/>
            <color indexed="81"/>
            <rFont val="Tahoma"/>
          </rPr>
          <t>"
written by:  Alex Tomanovich, P.E.</t>
        </r>
      </text>
      <mc:AlternateContent xmlns:mc="http://schemas.openxmlformats.org/markup-compatibility/2006">
        <mc:Choice Requires="v"/>
        <mc:Fallback>
          <commentPr defaultSize="0" autoFill="0" autoLine="0">
            <anchor>
              <from>
                <xdr:col>44</xdr:col>
                <xdr:colOff>45720</xdr:colOff>
                <xdr:row>0</xdr:row>
                <xdr:rowOff>38100</xdr:rowOff>
              </from>
              <to>
                <xdr:col>47</xdr:col>
                <xdr:colOff>243840</xdr:colOff>
                <xdr:row>2</xdr:row>
                <xdr:rowOff>30480</xdr:rowOff>
              </to>
            </anchor>
          </commentPr>
        </mc:Fallback>
      </mc:AlternateContent>
    </comment>
    <comment ref="AT2" authorId="1" shapeId="82965">
      <text>
        <r>
          <rPr>
            <sz val="8"/>
            <color indexed="81"/>
            <rFont val="Tahoma"/>
            <family val="2"/>
          </rPr>
          <t>The user may manually adjust the scaling of the plotted pile group by adjusting the "X" and "Y" plot scale factors below.  The object is to try to equalize the maximum X-axis and Y-axis values which are shown.</t>
        </r>
      </text>
      <mc:AlternateContent xmlns:mc="http://schemas.openxmlformats.org/markup-compatibility/2006">
        <mc:Choice Requires="v"/>
        <mc:Fallback>
          <commentPr defaultSize="0" autoFill="0" autoLine="0">
            <anchor>
              <from>
                <xdr:col>44</xdr:col>
                <xdr:colOff>99060</xdr:colOff>
                <xdr:row>0</xdr:row>
                <xdr:rowOff>167640</xdr:rowOff>
              </from>
              <to>
                <xdr:col>47</xdr:col>
                <xdr:colOff>312420</xdr:colOff>
                <xdr:row>6</xdr:row>
                <xdr:rowOff>7620</xdr:rowOff>
              </to>
            </anchor>
          </commentPr>
        </mc:Fallback>
      </mc:AlternateContent>
    </comment>
    <comment ref="C9" authorId="2" shapeId="82969">
      <text>
        <r>
          <rPr>
            <b/>
            <sz val="8"/>
            <color indexed="81"/>
            <rFont val="Tahoma"/>
            <family val="2"/>
          </rPr>
          <t>The minimum number of piles = 2.
The maximum number of piles = 300.</t>
        </r>
      </text>
      <mc:AlternateContent xmlns:mc="http://schemas.openxmlformats.org/markup-compatibility/2006">
        <mc:Choice Requires="v"/>
        <mc:Fallback>
          <commentPr defaultSize="0" autoFill="0" autoLine="0">
            <anchor>
              <from>
                <xdr:col>3</xdr:col>
                <xdr:colOff>144780</xdr:colOff>
                <xdr:row>7</xdr:row>
                <xdr:rowOff>68580</xdr:rowOff>
              </from>
              <to>
                <xdr:col>6</xdr:col>
                <xdr:colOff>510540</xdr:colOff>
                <xdr:row>9</xdr:row>
                <xdr:rowOff>76200</xdr:rowOff>
              </to>
            </anchor>
          </commentPr>
        </mc:Fallback>
      </mc:AlternateContent>
    </comment>
    <comment ref="C11" authorId="2" shapeId="82954">
      <text>
        <r>
          <rPr>
            <sz val="8"/>
            <color indexed="81"/>
            <rFont val="Tahoma"/>
            <family val="2"/>
          </rPr>
          <t xml:space="preserve">All piles must be located in the positive 1st quadrant.  That is, all pile Xo, Yo coordinate values must be &gt;= 0.
</t>
        </r>
        <r>
          <rPr>
            <b/>
            <sz val="8"/>
            <color indexed="81"/>
            <rFont val="Tahoma"/>
            <family val="2"/>
          </rPr>
          <t>Note: The user should make sure to either clear the contents of all cells that are not used for input of pile coordinates, or those cell values should be input = 0.</t>
        </r>
      </text>
      <mc:AlternateContent xmlns:mc="http://schemas.openxmlformats.org/markup-compatibility/2006">
        <mc:Choice Requires="v"/>
        <mc:Fallback>
          <commentPr defaultSize="0" autoFill="0" autoLine="0">
            <anchor>
              <from>
                <xdr:col>3</xdr:col>
                <xdr:colOff>106680</xdr:colOff>
                <xdr:row>9</xdr:row>
                <xdr:rowOff>76200</xdr:rowOff>
              </from>
              <to>
                <xdr:col>7</xdr:col>
                <xdr:colOff>281940</xdr:colOff>
                <xdr:row>14</xdr:row>
                <xdr:rowOff>99060</xdr:rowOff>
              </to>
            </anchor>
          </commentPr>
        </mc:Fallback>
      </mc:AlternateContent>
    </comment>
    <comment ref="B12" authorId="2" shapeId="82955">
      <text>
        <r>
          <rPr>
            <sz val="8"/>
            <color indexed="81"/>
            <rFont val="Tahoma"/>
            <family val="2"/>
          </rPr>
          <t>The 'Xo' coordinate is the x-distance from the origin axis to a particular pile.</t>
        </r>
      </text>
      <mc:AlternateContent xmlns:mc="http://schemas.openxmlformats.org/markup-compatibility/2006">
        <mc:Choice Requires="v"/>
        <mc:Fallback>
          <commentPr defaultSize="0" autoFill="0" autoLine="0">
            <anchor>
              <from>
                <xdr:col>2</xdr:col>
                <xdr:colOff>106680</xdr:colOff>
                <xdr:row>10</xdr:row>
                <xdr:rowOff>76200</xdr:rowOff>
              </from>
              <to>
                <xdr:col>5</xdr:col>
                <xdr:colOff>220980</xdr:colOff>
                <xdr:row>12</xdr:row>
                <xdr:rowOff>45720</xdr:rowOff>
              </to>
            </anchor>
          </commentPr>
        </mc:Fallback>
      </mc:AlternateContent>
    </comment>
    <comment ref="C12" authorId="2" shapeId="82956">
      <text>
        <r>
          <rPr>
            <sz val="8"/>
            <color indexed="81"/>
            <rFont val="Tahoma"/>
            <family val="2"/>
          </rPr>
          <t>The 'Yo' coordinate is the y-distance from the origin axis to a particular pile.</t>
        </r>
      </text>
      <mc:AlternateContent xmlns:mc="http://schemas.openxmlformats.org/markup-compatibility/2006">
        <mc:Choice Requires="v"/>
        <mc:Fallback>
          <commentPr defaultSize="0" autoFill="0" autoLine="0">
            <anchor>
              <from>
                <xdr:col>3</xdr:col>
                <xdr:colOff>106680</xdr:colOff>
                <xdr:row>10</xdr:row>
                <xdr:rowOff>76200</xdr:rowOff>
              </from>
              <to>
                <xdr:col>6</xdr:col>
                <xdr:colOff>76200</xdr:colOff>
                <xdr:row>12</xdr:row>
                <xdr:rowOff>45720</xdr:rowOff>
              </to>
            </anchor>
          </commentPr>
        </mc:Fallback>
      </mc:AlternateContent>
    </comment>
    <comment ref="K65" authorId="2" shapeId="82957">
      <text>
        <r>
          <rPr>
            <sz val="8"/>
            <color indexed="81"/>
            <rFont val="Tahoma"/>
            <family val="2"/>
          </rPr>
          <t xml:space="preserve">All piers must be located in the positive 1st quadrant.  That is, all pier X, Y coordinate values must be &gt;= 0.
</t>
        </r>
        <r>
          <rPr>
            <b/>
            <sz val="8"/>
            <color indexed="81"/>
            <rFont val="Tahoma"/>
            <family val="2"/>
          </rPr>
          <t>Note: The user should make sure to either clear the contents of all cells that are not used for input of pier coordinates, or those cell values should be input = 0.</t>
        </r>
      </text>
      <mc:AlternateContent xmlns:mc="http://schemas.openxmlformats.org/markup-compatibility/2006">
        <mc:Choice Requires="v"/>
        <mc:Fallback>
          <commentPr defaultSize="0" autoFill="0" autoLine="0">
            <anchor>
              <from>
                <xdr:col>10</xdr:col>
                <xdr:colOff>594360</xdr:colOff>
                <xdr:row>63</xdr:row>
                <xdr:rowOff>76200</xdr:rowOff>
              </from>
              <to>
                <xdr:col>16</xdr:col>
                <xdr:colOff>274320</xdr:colOff>
                <xdr:row>67</xdr:row>
                <xdr:rowOff>160020</xdr:rowOff>
              </to>
            </anchor>
          </commentPr>
        </mc:Fallback>
      </mc:AlternateContent>
    </comment>
    <comment ref="A67" authorId="2" shapeId="82971">
      <text>
        <r>
          <rPr>
            <sz val="8"/>
            <color indexed="81"/>
            <rFont val="Tahoma"/>
            <family val="2"/>
          </rPr>
          <t>The 'X' coordinate is the x-distance from the origin axis to a particular pier/loading.</t>
        </r>
      </text>
      <mc:AlternateContent xmlns:mc="http://schemas.openxmlformats.org/markup-compatibility/2006">
        <mc:Choice Requires="v"/>
        <mc:Fallback>
          <commentPr defaultSize="0" autoFill="0" autoLine="0">
            <anchor>
              <from>
                <xdr:col>1</xdr:col>
                <xdr:colOff>144780</xdr:colOff>
                <xdr:row>65</xdr:row>
                <xdr:rowOff>76200</xdr:rowOff>
              </from>
              <to>
                <xdr:col>4</xdr:col>
                <xdr:colOff>335280</xdr:colOff>
                <xdr:row>67</xdr:row>
                <xdr:rowOff>91440</xdr:rowOff>
              </to>
            </anchor>
          </commentPr>
        </mc:Fallback>
      </mc:AlternateContent>
    </comment>
    <comment ref="A68" authorId="2" shapeId="82972">
      <text>
        <r>
          <rPr>
            <sz val="8"/>
            <color indexed="81"/>
            <rFont val="Tahoma"/>
            <family val="2"/>
          </rPr>
          <t>The 'Y' coordinate is the y-distance from the origin axis to a particular pier/loading.</t>
        </r>
      </text>
      <mc:AlternateContent xmlns:mc="http://schemas.openxmlformats.org/markup-compatibility/2006">
        <mc:Choice Requires="v"/>
        <mc:Fallback>
          <commentPr defaultSize="0" autoFill="0" autoLine="0">
            <anchor>
              <from>
                <xdr:col>1</xdr:col>
                <xdr:colOff>144780</xdr:colOff>
                <xdr:row>66</xdr:row>
                <xdr:rowOff>76200</xdr:rowOff>
              </from>
              <to>
                <xdr:col>4</xdr:col>
                <xdr:colOff>304800</xdr:colOff>
                <xdr:row>68</xdr:row>
                <xdr:rowOff>91440</xdr:rowOff>
              </to>
            </anchor>
          </commentPr>
        </mc:Fallback>
      </mc:AlternateContent>
    </comment>
    <comment ref="A69" authorId="2" shapeId="82973">
      <text>
        <r>
          <rPr>
            <sz val="8"/>
            <color indexed="81"/>
            <rFont val="Tahoma"/>
            <family val="2"/>
          </rPr>
          <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t>
        </r>
      </text>
      <mc:AlternateContent xmlns:mc="http://schemas.openxmlformats.org/markup-compatibility/2006">
        <mc:Choice Requires="v"/>
        <mc:Fallback>
          <commentPr defaultSize="0" autoFill="0" autoLine="0">
            <anchor>
              <from>
                <xdr:col>1</xdr:col>
                <xdr:colOff>144780</xdr:colOff>
                <xdr:row>67</xdr:row>
                <xdr:rowOff>76200</xdr:rowOff>
              </from>
              <to>
                <xdr:col>5</xdr:col>
                <xdr:colOff>495300</xdr:colOff>
                <xdr:row>73</xdr:row>
                <xdr:rowOff>76200</xdr:rowOff>
              </to>
            </anchor>
          </commentPr>
        </mc:Fallback>
      </mc:AlternateContent>
    </comment>
    <comment ref="A70" authorId="2" shapeId="82974">
      <text>
        <r>
          <rPr>
            <sz val="8"/>
            <color indexed="81"/>
            <rFont val="Tahoma"/>
            <family val="2"/>
          </rPr>
          <t>'Pz' is the vertical (Z-axis) load to be applied at the pier location.
Sign convention: + = upward (out of page)
                                   -  = downward (into page) for gravity loads</t>
        </r>
      </text>
      <mc:AlternateContent xmlns:mc="http://schemas.openxmlformats.org/markup-compatibility/2006">
        <mc:Choice Requires="v"/>
        <mc:Fallback>
          <commentPr defaultSize="0" autoFill="0" autoLine="0">
            <anchor>
              <from>
                <xdr:col>1</xdr:col>
                <xdr:colOff>144780</xdr:colOff>
                <xdr:row>68</xdr:row>
                <xdr:rowOff>76200</xdr:rowOff>
              </from>
              <to>
                <xdr:col>6</xdr:col>
                <xdr:colOff>76200</xdr:colOff>
                <xdr:row>71</xdr:row>
                <xdr:rowOff>38100</xdr:rowOff>
              </to>
            </anchor>
          </commentPr>
        </mc:Fallback>
      </mc:AlternateContent>
    </comment>
    <comment ref="A71" authorId="2" shapeId="82975">
      <text>
        <r>
          <rPr>
            <sz val="8"/>
            <color indexed="81"/>
            <rFont val="Tahoma"/>
            <family val="2"/>
          </rPr>
          <t>'Hx' is the horizontal (X-axis) load to be applied at the pier location.
Sign convention: + = to right</t>
        </r>
      </text>
      <mc:AlternateContent xmlns:mc="http://schemas.openxmlformats.org/markup-compatibility/2006">
        <mc:Choice Requires="v"/>
        <mc:Fallback>
          <commentPr defaultSize="0" autoFill="0" autoLine="0">
            <anchor>
              <from>
                <xdr:col>1</xdr:col>
                <xdr:colOff>144780</xdr:colOff>
                <xdr:row>69</xdr:row>
                <xdr:rowOff>76200</xdr:rowOff>
              </from>
              <to>
                <xdr:col>6</xdr:col>
                <xdr:colOff>198120</xdr:colOff>
                <xdr:row>71</xdr:row>
                <xdr:rowOff>76200</xdr:rowOff>
              </to>
            </anchor>
          </commentPr>
        </mc:Fallback>
      </mc:AlternateContent>
    </comment>
    <comment ref="A72" authorId="2" shapeId="82976">
      <text>
        <r>
          <rPr>
            <sz val="8"/>
            <color indexed="81"/>
            <rFont val="Tahoma"/>
            <family val="2"/>
          </rPr>
          <t>'Hy' is the horizontal (Y-axis) load to be applied at the pier location.
Sign convention: + = up the page</t>
        </r>
      </text>
      <mc:AlternateContent xmlns:mc="http://schemas.openxmlformats.org/markup-compatibility/2006">
        <mc:Choice Requires="v"/>
        <mc:Fallback>
          <commentPr defaultSize="0" autoFill="0" autoLine="0">
            <anchor>
              <from>
                <xdr:col>1</xdr:col>
                <xdr:colOff>144780</xdr:colOff>
                <xdr:row>70</xdr:row>
                <xdr:rowOff>76200</xdr:rowOff>
              </from>
              <to>
                <xdr:col>6</xdr:col>
                <xdr:colOff>205740</xdr:colOff>
                <xdr:row>72</xdr:row>
                <xdr:rowOff>91440</xdr:rowOff>
              </to>
            </anchor>
          </commentPr>
        </mc:Fallback>
      </mc:AlternateContent>
    </comment>
    <comment ref="A73" authorId="2" shapeId="82977">
      <text>
        <r>
          <rPr>
            <sz val="8"/>
            <color indexed="81"/>
            <rFont val="Tahoma"/>
            <family val="2"/>
          </rPr>
          <t>'Mx' is the X-axis moment to be applied at the pier location.
Sign convention: + = by "Right-Hand-Rule" about +X-axis</t>
        </r>
      </text>
      <mc:AlternateContent xmlns:mc="http://schemas.openxmlformats.org/markup-compatibility/2006">
        <mc:Choice Requires="v"/>
        <mc:Fallback>
          <commentPr defaultSize="0" autoFill="0" autoLine="0">
            <anchor>
              <from>
                <xdr:col>1</xdr:col>
                <xdr:colOff>144780</xdr:colOff>
                <xdr:row>71</xdr:row>
                <xdr:rowOff>76200</xdr:rowOff>
              </from>
              <to>
                <xdr:col>5</xdr:col>
                <xdr:colOff>594360</xdr:colOff>
                <xdr:row>73</xdr:row>
                <xdr:rowOff>91440</xdr:rowOff>
              </to>
            </anchor>
          </commentPr>
        </mc:Fallback>
      </mc:AlternateContent>
    </comment>
    <comment ref="A74" authorId="2" shapeId="82978">
      <text>
        <r>
          <rPr>
            <sz val="8"/>
            <color indexed="81"/>
            <rFont val="Tahoma"/>
            <family val="2"/>
          </rPr>
          <t>'My' is the Y-axis moment to be applied at the pier location.
Sign convention: + = by "Right-Hand-Rule" about +Y-axis</t>
        </r>
      </text>
      <mc:AlternateContent xmlns:mc="http://schemas.openxmlformats.org/markup-compatibility/2006">
        <mc:Choice Requires="v"/>
        <mc:Fallback>
          <commentPr defaultSize="0" autoFill="0" autoLine="0">
            <anchor>
              <from>
                <xdr:col>1</xdr:col>
                <xdr:colOff>144780</xdr:colOff>
                <xdr:row>72</xdr:row>
                <xdr:rowOff>76200</xdr:rowOff>
              </from>
              <to>
                <xdr:col>5</xdr:col>
                <xdr:colOff>579120</xdr:colOff>
                <xdr:row>74</xdr:row>
                <xdr:rowOff>91440</xdr:rowOff>
              </to>
            </anchor>
          </commentPr>
        </mc:Fallback>
      </mc:AlternateContent>
    </comment>
    <comment ref="A75" authorId="2" shapeId="82979">
      <text>
        <r>
          <rPr>
            <sz val="8"/>
            <color indexed="81"/>
            <rFont val="Tahoma"/>
            <family val="2"/>
          </rPr>
          <t>'Mz' is the Z-axis moment to be applied at the pier location.
Sign convention: + = by "Right-Hand-Rule" about +Z-axis</t>
        </r>
      </text>
      <mc:AlternateContent xmlns:mc="http://schemas.openxmlformats.org/markup-compatibility/2006">
        <mc:Choice Requires="v"/>
        <mc:Fallback>
          <commentPr defaultSize="0" autoFill="0" autoLine="0">
            <anchor>
              <from>
                <xdr:col>1</xdr:col>
                <xdr:colOff>144780</xdr:colOff>
                <xdr:row>73</xdr:row>
                <xdr:rowOff>76200</xdr:rowOff>
              </from>
              <to>
                <xdr:col>5</xdr:col>
                <xdr:colOff>586740</xdr:colOff>
                <xdr:row>75</xdr:row>
                <xdr:rowOff>99060</xdr:rowOff>
              </to>
            </anchor>
          </commentPr>
        </mc:Fallback>
      </mc:AlternateContent>
    </comment>
    <comment ref="B82" authorId="3" shapeId="82951">
      <text>
        <r>
          <rPr>
            <sz val="8"/>
            <color indexed="81"/>
            <rFont val="Tahoma"/>
            <family val="2"/>
          </rPr>
          <t xml:space="preserve">The location of the centroidal Y-axis from the origin Y-axis is calculated as follows:
   Xc = </t>
        </r>
        <r>
          <rPr>
            <sz val="8"/>
            <color indexed="81"/>
            <rFont val="Symbol"/>
            <family val="1"/>
            <charset val="2"/>
          </rPr>
          <t>S</t>
        </r>
        <r>
          <rPr>
            <sz val="8"/>
            <color indexed="81"/>
            <rFont val="Tahoma"/>
            <family val="2"/>
          </rPr>
          <t xml:space="preserve"> (Xo)/Np
where:
   Np = total number of piles in group</t>
        </r>
      </text>
      <mc:AlternateContent xmlns:mc="http://schemas.openxmlformats.org/markup-compatibility/2006">
        <mc:Choice Requires="v"/>
        <mc:Fallback>
          <commentPr defaultSize="0" autoFill="0" autoLine="0">
            <anchor>
              <from>
                <xdr:col>2</xdr:col>
                <xdr:colOff>106680</xdr:colOff>
                <xdr:row>80</xdr:row>
                <xdr:rowOff>76200</xdr:rowOff>
              </from>
              <to>
                <xdr:col>5</xdr:col>
                <xdr:colOff>441960</xdr:colOff>
                <xdr:row>84</xdr:row>
                <xdr:rowOff>160020</xdr:rowOff>
              </to>
            </anchor>
          </commentPr>
        </mc:Fallback>
      </mc:AlternateContent>
    </comment>
    <comment ref="F82" authorId="2" shapeId="82948">
      <text>
        <r>
          <rPr>
            <sz val="8"/>
            <color indexed="81"/>
            <rFont val="Symbol"/>
            <family val="1"/>
            <charset val="2"/>
          </rPr>
          <t xml:space="preserve">S </t>
        </r>
        <r>
          <rPr>
            <sz val="8"/>
            <color indexed="81"/>
            <rFont val="Tahoma"/>
            <family val="2"/>
          </rPr>
          <t xml:space="preserve"> Pz = sum of all applied vertical (Z-axis) loads translated to the centroid of the pile group.
Sign convention: positive in +Z-axis direction</t>
        </r>
      </text>
      <mc:AlternateContent xmlns:mc="http://schemas.openxmlformats.org/markup-compatibility/2006">
        <mc:Choice Requires="v"/>
        <mc:Fallback>
          <commentPr defaultSize="0" autoFill="0" autoLine="0">
            <anchor>
              <from>
                <xdr:col>5</xdr:col>
                <xdr:colOff>701040</xdr:colOff>
                <xdr:row>80</xdr:row>
                <xdr:rowOff>76200</xdr:rowOff>
              </from>
              <to>
                <xdr:col>9</xdr:col>
                <xdr:colOff>556260</xdr:colOff>
                <xdr:row>83</xdr:row>
                <xdr:rowOff>60960</xdr:rowOff>
              </to>
            </anchor>
          </commentPr>
        </mc:Fallback>
      </mc:AlternateContent>
    </comment>
    <comment ref="B83" authorId="3" shapeId="82952">
      <text>
        <r>
          <rPr>
            <sz val="8"/>
            <color indexed="81"/>
            <rFont val="Tahoma"/>
            <family val="2"/>
          </rPr>
          <t xml:space="preserve">The location of the centroidal X-axis from the origin X-axis is calculated as follows:
   Yc = </t>
        </r>
        <r>
          <rPr>
            <sz val="8"/>
            <color indexed="81"/>
            <rFont val="Symbol"/>
            <family val="1"/>
            <charset val="2"/>
          </rPr>
          <t>S</t>
        </r>
        <r>
          <rPr>
            <sz val="8"/>
            <color indexed="81"/>
            <rFont val="Tahoma"/>
            <family val="2"/>
          </rPr>
          <t xml:space="preserve"> (Yo)/Np
where:
   Np = total number of piles in group</t>
        </r>
      </text>
      <mc:AlternateContent xmlns:mc="http://schemas.openxmlformats.org/markup-compatibility/2006">
        <mc:Choice Requires="v"/>
        <mc:Fallback>
          <commentPr defaultSize="0" autoFill="0" autoLine="0">
            <anchor>
              <from>
                <xdr:col>2</xdr:col>
                <xdr:colOff>106680</xdr:colOff>
                <xdr:row>81</xdr:row>
                <xdr:rowOff>76200</xdr:rowOff>
              </from>
              <to>
                <xdr:col>5</xdr:col>
                <xdr:colOff>441960</xdr:colOff>
                <xdr:row>86</xdr:row>
                <xdr:rowOff>7620</xdr:rowOff>
              </to>
            </anchor>
          </commentPr>
        </mc:Fallback>
      </mc:AlternateContent>
    </comment>
    <comment ref="F83" authorId="2" shapeId="82949">
      <text>
        <r>
          <rPr>
            <sz val="8"/>
            <color indexed="81"/>
            <rFont val="Symbol"/>
            <family val="1"/>
            <charset val="2"/>
          </rPr>
          <t xml:space="preserve">S </t>
        </r>
        <r>
          <rPr>
            <sz val="8"/>
            <color indexed="81"/>
            <rFont val="Tahoma"/>
            <family val="2"/>
          </rPr>
          <t xml:space="preserve"> Hx = sum of all applied horizontal (X-axis) loads translated to the centroid of the pile group.
Sign convention: positive in +X-axis direction</t>
        </r>
      </text>
      <mc:AlternateContent xmlns:mc="http://schemas.openxmlformats.org/markup-compatibility/2006">
        <mc:Choice Requires="v"/>
        <mc:Fallback>
          <commentPr defaultSize="0" autoFill="0" autoLine="0">
            <anchor>
              <from>
                <xdr:col>5</xdr:col>
                <xdr:colOff>701040</xdr:colOff>
                <xdr:row>81</xdr:row>
                <xdr:rowOff>76200</xdr:rowOff>
              </from>
              <to>
                <xdr:col>10</xdr:col>
                <xdr:colOff>45720</xdr:colOff>
                <xdr:row>84</xdr:row>
                <xdr:rowOff>30480</xdr:rowOff>
              </to>
            </anchor>
          </commentPr>
        </mc:Fallback>
      </mc:AlternateContent>
    </comment>
    <comment ref="B84" authorId="3" shapeId="83047">
      <text>
        <r>
          <rPr>
            <sz val="8"/>
            <color indexed="81"/>
            <rFont val="Tahoma"/>
            <family val="2"/>
          </rPr>
          <t>The X-axis Moment of Inertia, 'Ix',  for the pile group is calculated as follows:
   Ix = Ap*</t>
        </r>
        <r>
          <rPr>
            <sz val="8"/>
            <color indexed="81"/>
            <rFont val="Symbol"/>
            <family val="1"/>
            <charset val="2"/>
          </rPr>
          <t>S</t>
        </r>
        <r>
          <rPr>
            <sz val="8"/>
            <color indexed="81"/>
            <rFont val="Tahoma"/>
            <family val="2"/>
          </rPr>
          <t xml:space="preserve"> (dy)^2
where:
   Ap = Area of pile assumed = unity (1) 
   dy = y-distance of each pile from
               centroidal X-axis </t>
        </r>
      </text>
      <mc:AlternateContent xmlns:mc="http://schemas.openxmlformats.org/markup-compatibility/2006">
        <mc:Choice Requires="v"/>
        <mc:Fallback>
          <commentPr defaultSize="0" autoFill="0" autoLine="0">
            <anchor>
              <from>
                <xdr:col>2</xdr:col>
                <xdr:colOff>144780</xdr:colOff>
                <xdr:row>82</xdr:row>
                <xdr:rowOff>76200</xdr:rowOff>
              </from>
              <to>
                <xdr:col>5</xdr:col>
                <xdr:colOff>220980</xdr:colOff>
                <xdr:row>88</xdr:row>
                <xdr:rowOff>99060</xdr:rowOff>
              </to>
            </anchor>
          </commentPr>
        </mc:Fallback>
      </mc:AlternateContent>
    </comment>
    <comment ref="F84" authorId="2" shapeId="82950">
      <text>
        <r>
          <rPr>
            <sz val="8"/>
            <color indexed="81"/>
            <rFont val="Symbol"/>
            <family val="1"/>
            <charset val="2"/>
          </rPr>
          <t xml:space="preserve">S </t>
        </r>
        <r>
          <rPr>
            <sz val="8"/>
            <color indexed="81"/>
            <rFont val="Tahoma"/>
            <family val="2"/>
          </rPr>
          <t xml:space="preserve"> Hy = sum of all applied horizontal (Y-axis) loads translated to the centroid of the pile group.
Sign convention: positive in +Y-axis direction</t>
        </r>
      </text>
      <mc:AlternateContent xmlns:mc="http://schemas.openxmlformats.org/markup-compatibility/2006">
        <mc:Choice Requires="v"/>
        <mc:Fallback>
          <commentPr defaultSize="0" autoFill="0" autoLine="0">
            <anchor>
              <from>
                <xdr:col>5</xdr:col>
                <xdr:colOff>701040</xdr:colOff>
                <xdr:row>82</xdr:row>
                <xdr:rowOff>76200</xdr:rowOff>
              </from>
              <to>
                <xdr:col>10</xdr:col>
                <xdr:colOff>45720</xdr:colOff>
                <xdr:row>85</xdr:row>
                <xdr:rowOff>60960</xdr:rowOff>
              </to>
            </anchor>
          </commentPr>
        </mc:Fallback>
      </mc:AlternateContent>
    </comment>
    <comment ref="AW84" authorId="2" shapeId="82970">
      <text>
        <r>
          <rPr>
            <b/>
            <sz val="8"/>
            <color indexed="81"/>
            <rFont val="Tahoma"/>
            <family val="2"/>
          </rPr>
          <t>The minimum number of piles = 3.
The maximum number of piles = 300.</t>
        </r>
      </text>
      <mc:AlternateContent xmlns:mc="http://schemas.openxmlformats.org/markup-compatibility/2006">
        <mc:Choice Requires="v"/>
        <mc:Fallback>
          <commentPr defaultSize="0" autoFill="0" autoLine="0">
            <anchor>
              <from>
                <xdr:col>47</xdr:col>
                <xdr:colOff>350520</xdr:colOff>
                <xdr:row>84</xdr:row>
                <xdr:rowOff>7620</xdr:rowOff>
              </from>
              <to>
                <xdr:col>51</xdr:col>
                <xdr:colOff>243840</xdr:colOff>
                <xdr:row>86</xdr:row>
                <xdr:rowOff>7620</xdr:rowOff>
              </to>
            </anchor>
          </commentPr>
        </mc:Fallback>
      </mc:AlternateContent>
    </comment>
    <comment ref="B85" authorId="3" shapeId="83048">
      <text>
        <r>
          <rPr>
            <sz val="8"/>
            <color indexed="81"/>
            <rFont val="Tahoma"/>
            <family val="2"/>
          </rPr>
          <t>The Y-axis Moment of Inertia, 'Iy',  for the pile group is calculated as follows:
   Iy = Ap*</t>
        </r>
        <r>
          <rPr>
            <sz val="8"/>
            <color indexed="81"/>
            <rFont val="Symbol"/>
            <family val="1"/>
            <charset val="2"/>
          </rPr>
          <t>S</t>
        </r>
        <r>
          <rPr>
            <sz val="8"/>
            <color indexed="81"/>
            <rFont val="Tahoma"/>
            <family val="2"/>
          </rPr>
          <t xml:space="preserve"> (dx)^2
where:
   Ap = Area of pile assumed = unity (1)  
   dx = x-distance of each pile from
               centroidal Y-axis </t>
        </r>
      </text>
      <mc:AlternateContent xmlns:mc="http://schemas.openxmlformats.org/markup-compatibility/2006">
        <mc:Choice Requires="v"/>
        <mc:Fallback>
          <commentPr defaultSize="0" autoFill="0" autoLine="0">
            <anchor>
              <from>
                <xdr:col>2</xdr:col>
                <xdr:colOff>144780</xdr:colOff>
                <xdr:row>83</xdr:row>
                <xdr:rowOff>76200</xdr:rowOff>
              </from>
              <to>
                <xdr:col>5</xdr:col>
                <xdr:colOff>220980</xdr:colOff>
                <xdr:row>89</xdr:row>
                <xdr:rowOff>76200</xdr:rowOff>
              </to>
            </anchor>
          </commentPr>
        </mc:Fallback>
      </mc:AlternateContent>
    </comment>
    <comment ref="F85" authorId="2" shapeId="82958">
      <text>
        <r>
          <rPr>
            <sz val="8"/>
            <color indexed="81"/>
            <rFont val="Symbol"/>
            <family val="1"/>
            <charset val="2"/>
          </rPr>
          <t xml:space="preserve">S </t>
        </r>
        <r>
          <rPr>
            <sz val="8"/>
            <color indexed="81"/>
            <rFont val="Tahoma"/>
            <family val="2"/>
          </rPr>
          <t xml:space="preserve"> Mx = sum of all applied X-axis moments calculated at the top of the piles and  translated to the centroid of the pile group.
Sign convention: positive by "Right-Hand-Rule" about +X-axis</t>
        </r>
      </text>
      <mc:AlternateContent xmlns:mc="http://schemas.openxmlformats.org/markup-compatibility/2006">
        <mc:Choice Requires="v"/>
        <mc:Fallback>
          <commentPr defaultSize="0" autoFill="0" autoLine="0">
            <anchor>
              <from>
                <xdr:col>5</xdr:col>
                <xdr:colOff>701040</xdr:colOff>
                <xdr:row>83</xdr:row>
                <xdr:rowOff>76200</xdr:rowOff>
              </from>
              <to>
                <xdr:col>11</xdr:col>
                <xdr:colOff>45720</xdr:colOff>
                <xdr:row>86</xdr:row>
                <xdr:rowOff>45720</xdr:rowOff>
              </to>
            </anchor>
          </commentPr>
        </mc:Fallback>
      </mc:AlternateContent>
    </comment>
    <comment ref="B86" authorId="3" shapeId="83049">
      <text>
        <r>
          <rPr>
            <sz val="8"/>
            <color indexed="81"/>
            <rFont val="Tahoma"/>
            <family val="2"/>
          </rPr>
          <t>The Polar Moment of Inertia for the pile group is calculated as follows:
   J = Ix+Iy</t>
        </r>
      </text>
      <mc:AlternateContent xmlns:mc="http://schemas.openxmlformats.org/markup-compatibility/2006">
        <mc:Choice Requires="v"/>
        <mc:Fallback>
          <commentPr defaultSize="0" autoFill="0" autoLine="0">
            <anchor>
              <from>
                <xdr:col>2</xdr:col>
                <xdr:colOff>144780</xdr:colOff>
                <xdr:row>84</xdr:row>
                <xdr:rowOff>76200</xdr:rowOff>
              </from>
              <to>
                <xdr:col>5</xdr:col>
                <xdr:colOff>220980</xdr:colOff>
                <xdr:row>87</xdr:row>
                <xdr:rowOff>30480</xdr:rowOff>
              </to>
            </anchor>
          </commentPr>
        </mc:Fallback>
      </mc:AlternateContent>
    </comment>
    <comment ref="F86" authorId="2" shapeId="82959">
      <text>
        <r>
          <rPr>
            <sz val="8"/>
            <color indexed="81"/>
            <rFont val="Symbol"/>
            <family val="1"/>
            <charset val="2"/>
          </rPr>
          <t xml:space="preserve">S </t>
        </r>
        <r>
          <rPr>
            <sz val="8"/>
            <color indexed="81"/>
            <rFont val="Tahoma"/>
            <family val="2"/>
          </rPr>
          <t xml:space="preserve"> My = sum of all applied Y-axis moments calculated at the top of the piles and  translated to the centroid of the pile group.
Sign convention: positive by "Right-Hand-Rule" about +Y-axis</t>
        </r>
      </text>
      <mc:AlternateContent xmlns:mc="http://schemas.openxmlformats.org/markup-compatibility/2006">
        <mc:Choice Requires="v"/>
        <mc:Fallback>
          <commentPr defaultSize="0" autoFill="0" autoLine="0">
            <anchor>
              <from>
                <xdr:col>5</xdr:col>
                <xdr:colOff>701040</xdr:colOff>
                <xdr:row>84</xdr:row>
                <xdr:rowOff>76200</xdr:rowOff>
              </from>
              <to>
                <xdr:col>11</xdr:col>
                <xdr:colOff>99060</xdr:colOff>
                <xdr:row>87</xdr:row>
                <xdr:rowOff>60960</xdr:rowOff>
              </to>
            </anchor>
          </commentPr>
        </mc:Fallback>
      </mc:AlternateContent>
    </comment>
    <comment ref="B87" authorId="3" shapeId="83050">
      <text>
        <r>
          <rPr>
            <sz val="8"/>
            <color indexed="81"/>
            <rFont val="Tahoma"/>
            <family val="2"/>
          </rPr>
          <t>The Product Moment of Inertia, 'Ixy', for the pile group is calculated as follows:
   Ixy = Ap*</t>
        </r>
        <r>
          <rPr>
            <sz val="8"/>
            <color indexed="81"/>
            <rFont val="Symbol"/>
            <family val="1"/>
            <charset val="2"/>
          </rPr>
          <t>S</t>
        </r>
        <r>
          <rPr>
            <sz val="8"/>
            <color indexed="81"/>
            <rFont val="Tahoma"/>
            <family val="2"/>
          </rPr>
          <t xml:space="preserve"> (dx*dy)
where:
   Ap = Area of pile assumed = unity (1) 
   dx = x-distance of each pile from
               centroidal Y-axis
   dy = y-distance of each pile from
               centroidal X-axis
Note:  'Ixy' = 0  for a pile group with at
           least one axis of symmetry.</t>
        </r>
      </text>
      <mc:AlternateContent xmlns:mc="http://schemas.openxmlformats.org/markup-compatibility/2006">
        <mc:Choice Requires="v"/>
        <mc:Fallback>
          <commentPr defaultSize="0" autoFill="0" autoLine="0">
            <anchor>
              <from>
                <xdr:col>2</xdr:col>
                <xdr:colOff>144780</xdr:colOff>
                <xdr:row>85</xdr:row>
                <xdr:rowOff>76200</xdr:rowOff>
              </from>
              <to>
                <xdr:col>5</xdr:col>
                <xdr:colOff>251460</xdr:colOff>
                <xdr:row>95</xdr:row>
                <xdr:rowOff>60960</xdr:rowOff>
              </to>
            </anchor>
          </commentPr>
        </mc:Fallback>
      </mc:AlternateContent>
    </comment>
    <comment ref="F87" authorId="2" shapeId="82960">
      <text>
        <r>
          <rPr>
            <sz val="8"/>
            <color indexed="81"/>
            <rFont val="Symbol"/>
            <family val="1"/>
            <charset val="2"/>
          </rPr>
          <t xml:space="preserve">S </t>
        </r>
        <r>
          <rPr>
            <sz val="8"/>
            <color indexed="81"/>
            <rFont val="Tahoma"/>
            <family val="2"/>
          </rPr>
          <t xml:space="preserve"> Mz = sum of all applied Z-axis moments translated to the centroid of the pile group.
Sign convention: positive by "Right-Hand-Rule" about +Z-axis</t>
        </r>
      </text>
      <mc:AlternateContent xmlns:mc="http://schemas.openxmlformats.org/markup-compatibility/2006">
        <mc:Choice Requires="v"/>
        <mc:Fallback>
          <commentPr defaultSize="0" autoFill="0" autoLine="0">
            <anchor>
              <from>
                <xdr:col>5</xdr:col>
                <xdr:colOff>701040</xdr:colOff>
                <xdr:row>85</xdr:row>
                <xdr:rowOff>76200</xdr:rowOff>
              </from>
              <to>
                <xdr:col>11</xdr:col>
                <xdr:colOff>7620</xdr:colOff>
                <xdr:row>88</xdr:row>
                <xdr:rowOff>38100</xdr:rowOff>
              </to>
            </anchor>
          </commentPr>
        </mc:Fallback>
      </mc:AlternateContent>
    </comment>
    <comment ref="B88" authorId="3" shapeId="82953">
      <text>
        <r>
          <rPr>
            <sz val="8"/>
            <color indexed="81"/>
            <rFont val="Tahoma"/>
            <family val="2"/>
          </rPr>
          <t>The orientation of the principal axes, is defined by the rotation angle, '</t>
        </r>
        <r>
          <rPr>
            <sz val="8"/>
            <color indexed="81"/>
            <rFont val="Symbol"/>
            <family val="1"/>
            <charset val="2"/>
          </rPr>
          <t xml:space="preserve">q </t>
        </r>
        <r>
          <rPr>
            <sz val="8"/>
            <color indexed="81"/>
            <rFont val="Tahoma"/>
            <family val="2"/>
          </rPr>
          <t xml:space="preserve">', from the centroidal axes and is calculated as follows:
   </t>
        </r>
        <r>
          <rPr>
            <sz val="8"/>
            <color indexed="81"/>
            <rFont val="Symbol"/>
            <family val="1"/>
            <charset val="2"/>
          </rPr>
          <t>q</t>
        </r>
        <r>
          <rPr>
            <sz val="8"/>
            <color indexed="81"/>
            <rFont val="Tahoma"/>
            <family val="2"/>
          </rPr>
          <t xml:space="preserve"> = (ATAN(-2*Ixy/(Ix-Iy)))/2
Note: sign convention is positive (+) ccw.
           '</t>
        </r>
        <r>
          <rPr>
            <sz val="8"/>
            <color indexed="81"/>
            <rFont val="Symbol"/>
            <family val="1"/>
            <charset val="2"/>
          </rPr>
          <t xml:space="preserve">q </t>
        </r>
        <r>
          <rPr>
            <sz val="8"/>
            <color indexed="81"/>
            <rFont val="Tahoma"/>
            <family val="2"/>
          </rPr>
          <t>' = 0  for a pile group with at least one
          axis of symmetry.</t>
        </r>
      </text>
      <mc:AlternateContent xmlns:mc="http://schemas.openxmlformats.org/markup-compatibility/2006">
        <mc:Choice Requires="v"/>
        <mc:Fallback>
          <commentPr defaultSize="0" autoFill="0" autoLine="0">
            <anchor>
              <from>
                <xdr:col>2</xdr:col>
                <xdr:colOff>106680</xdr:colOff>
                <xdr:row>86</xdr:row>
                <xdr:rowOff>76200</xdr:rowOff>
              </from>
              <to>
                <xdr:col>5</xdr:col>
                <xdr:colOff>647700</xdr:colOff>
                <xdr:row>92</xdr:row>
                <xdr:rowOff>76200</xdr:rowOff>
              </to>
            </anchor>
          </commentPr>
        </mc:Fallback>
      </mc:AlternateContent>
    </comment>
    <comment ref="B91" authorId="3" shapeId="82961">
      <text>
        <r>
          <rPr>
            <sz val="8"/>
            <color indexed="81"/>
            <rFont val="Tahoma"/>
            <family val="2"/>
          </rPr>
          <t>Sign convention for 'Rz(max)' is as follows:
   positive (+) = compression pile reaction
   negative (-) = tension (uplift) pile reaction</t>
        </r>
      </text>
      <mc:AlternateContent xmlns:mc="http://schemas.openxmlformats.org/markup-compatibility/2006">
        <mc:Choice Requires="v"/>
        <mc:Fallback>
          <commentPr defaultSize="0" autoFill="0" autoLine="0">
            <anchor>
              <from>
                <xdr:col>2</xdr:col>
                <xdr:colOff>106680</xdr:colOff>
                <xdr:row>89</xdr:row>
                <xdr:rowOff>76200</xdr:rowOff>
              </from>
              <to>
                <xdr:col>5</xdr:col>
                <xdr:colOff>518160</xdr:colOff>
                <xdr:row>92</xdr:row>
                <xdr:rowOff>60960</xdr:rowOff>
              </to>
            </anchor>
          </commentPr>
        </mc:Fallback>
      </mc:AlternateContent>
    </comment>
    <comment ref="B92" authorId="3" shapeId="82962">
      <text>
        <r>
          <rPr>
            <sz val="8"/>
            <color indexed="81"/>
            <rFont val="Tahoma"/>
            <family val="2"/>
          </rPr>
          <t>Sign convention for 'Rz(min)' is as follows:
   positive (+) = compression pile reaction
   negative (-) = tension (uplift) pile reaction</t>
        </r>
      </text>
      <mc:AlternateContent xmlns:mc="http://schemas.openxmlformats.org/markup-compatibility/2006">
        <mc:Choice Requires="v"/>
        <mc:Fallback>
          <commentPr defaultSize="0" autoFill="0" autoLine="0">
            <anchor>
              <from>
                <xdr:col>2</xdr:col>
                <xdr:colOff>106680</xdr:colOff>
                <xdr:row>90</xdr:row>
                <xdr:rowOff>76200</xdr:rowOff>
              </from>
              <to>
                <xdr:col>5</xdr:col>
                <xdr:colOff>518160</xdr:colOff>
                <xdr:row>93</xdr:row>
                <xdr:rowOff>38100</xdr:rowOff>
              </to>
            </anchor>
          </commentPr>
        </mc:Fallback>
      </mc:AlternateContent>
    </comment>
    <comment ref="B93" authorId="3" shapeId="82963">
      <text>
        <r>
          <rPr>
            <sz val="8"/>
            <color indexed="81"/>
            <rFont val="Tahoma"/>
            <family val="2"/>
          </rPr>
          <t>Note: 'Rh(max)' is an "absolute" value
          with no particular sign convention,
          thus no directional sense.</t>
        </r>
      </text>
      <mc:AlternateContent xmlns:mc="http://schemas.openxmlformats.org/markup-compatibility/2006">
        <mc:Choice Requires="v"/>
        <mc:Fallback>
          <commentPr defaultSize="0" autoFill="0" autoLine="0">
            <anchor>
              <from>
                <xdr:col>2</xdr:col>
                <xdr:colOff>106680</xdr:colOff>
                <xdr:row>91</xdr:row>
                <xdr:rowOff>76200</xdr:rowOff>
              </from>
              <to>
                <xdr:col>5</xdr:col>
                <xdr:colOff>320040</xdr:colOff>
                <xdr:row>94</xdr:row>
                <xdr:rowOff>45720</xdr:rowOff>
              </to>
            </anchor>
          </commentPr>
        </mc:Fallback>
      </mc:AlternateContent>
    </comment>
    <comment ref="B142" authorId="3" shapeId="82946">
      <text>
        <r>
          <rPr>
            <sz val="8"/>
            <color indexed="81"/>
            <rFont val="Tahoma"/>
            <family val="2"/>
          </rPr>
          <t>The Vertical Pile Reaction, 'Rz', at each pile is calculated as follows:
   Rz = (-</t>
        </r>
        <r>
          <rPr>
            <sz val="8"/>
            <color indexed="81"/>
            <rFont val="Symbol"/>
            <family val="1"/>
            <charset val="2"/>
          </rPr>
          <t>S</t>
        </r>
        <r>
          <rPr>
            <sz val="8"/>
            <color indexed="81"/>
            <rFont val="Tahoma"/>
            <family val="2"/>
          </rPr>
          <t xml:space="preserve"> Pz)/Np +</t>
        </r>
        <r>
          <rPr>
            <sz val="8"/>
            <color indexed="81"/>
            <rFont val="Symbol"/>
            <family val="1"/>
            <charset val="2"/>
          </rPr>
          <t xml:space="preserve"> ((S</t>
        </r>
        <r>
          <rPr>
            <sz val="8"/>
            <color indexed="81"/>
            <rFont val="Tahoma"/>
            <family val="2"/>
          </rPr>
          <t xml:space="preserve"> My)*Ix-(-</t>
        </r>
        <r>
          <rPr>
            <sz val="8"/>
            <color indexed="81"/>
            <rFont val="Symbol"/>
            <family val="1"/>
            <charset val="2"/>
          </rPr>
          <t>S</t>
        </r>
        <r>
          <rPr>
            <sz val="8"/>
            <color indexed="81"/>
            <rFont val="Tahoma"/>
            <family val="2"/>
          </rPr>
          <t xml:space="preserve"> Mx)*Ixy)/(Ix*Iy-Ixy^2)*Xp + ((</t>
        </r>
        <r>
          <rPr>
            <sz val="8"/>
            <color indexed="81"/>
            <rFont val="Symbol"/>
            <family val="1"/>
            <charset val="2"/>
          </rPr>
          <t>S</t>
        </r>
        <r>
          <rPr>
            <sz val="8"/>
            <color indexed="81"/>
            <rFont val="Tahoma"/>
            <family val="2"/>
          </rPr>
          <t xml:space="preserve"> Mx)*Iy-(</t>
        </r>
        <r>
          <rPr>
            <sz val="8"/>
            <color indexed="81"/>
            <rFont val="Symbol"/>
            <family val="1"/>
            <charset val="2"/>
          </rPr>
          <t>S</t>
        </r>
        <r>
          <rPr>
            <sz val="8"/>
            <color indexed="81"/>
            <rFont val="Tahoma"/>
            <family val="2"/>
          </rPr>
          <t xml:space="preserve"> My)*Ixy)/(Ix*Iy-Ixy^2)*Yp
where:
   Xp = x-distance of pile from centroidal Y-axis
   Yp = y-distance of pile from centroidal X-axis
Sign convention for 'Rz' is as follows:
   positive (+) = compression pile reaction
   negative (-) = tension (uplift) pile reaction</t>
        </r>
      </text>
      <mc:AlternateContent xmlns:mc="http://schemas.openxmlformats.org/markup-compatibility/2006">
        <mc:Choice Requires="v"/>
        <mc:Fallback>
          <commentPr defaultSize="0" autoFill="0" autoLine="0">
            <anchor>
              <from>
                <xdr:col>2</xdr:col>
                <xdr:colOff>106680</xdr:colOff>
                <xdr:row>140</xdr:row>
                <xdr:rowOff>76200</xdr:rowOff>
              </from>
              <to>
                <xdr:col>9</xdr:col>
                <xdr:colOff>373380</xdr:colOff>
                <xdr:row>147</xdr:row>
                <xdr:rowOff>76200</xdr:rowOff>
              </to>
            </anchor>
          </commentPr>
        </mc:Fallback>
      </mc:AlternateContent>
    </comment>
    <comment ref="C142" authorId="3" shapeId="82947">
      <text>
        <r>
          <rPr>
            <sz val="8"/>
            <color indexed="81"/>
            <rFont val="Tahoma"/>
            <family val="2"/>
          </rPr>
          <t>The Horizontal Pile Reaction, 'Rh', at each pile is calculated as follows:
   Rh = (((</t>
        </r>
        <r>
          <rPr>
            <sz val="8"/>
            <color indexed="81"/>
            <rFont val="Symbol"/>
            <family val="1"/>
            <charset val="2"/>
          </rPr>
          <t>S</t>
        </r>
        <r>
          <rPr>
            <sz val="8"/>
            <color indexed="81"/>
            <rFont val="Tahoma"/>
            <family val="2"/>
          </rPr>
          <t xml:space="preserve"> Hx)/Np +</t>
        </r>
        <r>
          <rPr>
            <sz val="8"/>
            <color indexed="81"/>
            <rFont val="Symbol"/>
            <family val="1"/>
            <charset val="2"/>
          </rPr>
          <t xml:space="preserve"> (S</t>
        </r>
        <r>
          <rPr>
            <sz val="8"/>
            <color indexed="81"/>
            <rFont val="Tahoma"/>
            <family val="2"/>
          </rPr>
          <t xml:space="preserve"> Mz)*Yp/J)^2 + ((</t>
        </r>
        <r>
          <rPr>
            <sz val="8"/>
            <color indexed="81"/>
            <rFont val="Symbol"/>
            <family val="1"/>
            <charset val="2"/>
          </rPr>
          <t>S</t>
        </r>
        <r>
          <rPr>
            <sz val="8"/>
            <color indexed="81"/>
            <rFont val="Tahoma"/>
            <family val="2"/>
          </rPr>
          <t xml:space="preserve"> Hy)/Np + (</t>
        </r>
        <r>
          <rPr>
            <sz val="8"/>
            <color indexed="81"/>
            <rFont val="Symbol"/>
            <family val="1"/>
            <charset val="2"/>
          </rPr>
          <t>S</t>
        </r>
        <r>
          <rPr>
            <sz val="8"/>
            <color indexed="81"/>
            <rFont val="Tahoma"/>
            <family val="2"/>
          </rPr>
          <t xml:space="preserve"> Mz)*Xp/J)^2)^(1/2)
where:
   Xp = x-distance of pile from centroidal Y-axis
   Yp = y-distance of pile from centroidal X-axis
Note: 'Rh' is an "absolute" value with no particular sign convention, thus no
             directional sense.</t>
        </r>
      </text>
      <mc:AlternateContent xmlns:mc="http://schemas.openxmlformats.org/markup-compatibility/2006">
        <mc:Choice Requires="v"/>
        <mc:Fallback>
          <commentPr defaultSize="0" autoFill="0" autoLine="0">
            <anchor>
              <from>
                <xdr:col>3</xdr:col>
                <xdr:colOff>106680</xdr:colOff>
                <xdr:row>140</xdr:row>
                <xdr:rowOff>76200</xdr:rowOff>
              </from>
              <to>
                <xdr:col>9</xdr:col>
                <xdr:colOff>99060</xdr:colOff>
                <xdr:row>146</xdr:row>
                <xdr:rowOff>60960</xdr:rowOff>
              </to>
            </anchor>
          </commentPr>
        </mc:Fallback>
      </mc:AlternateContent>
    </comment>
  </commentList>
</comments>
</file>

<file path=xl/comments7.xml><?xml version="1.0" encoding="utf-8"?>
<comments xmlns="http://purl.oclc.org/ooxml/spreadsheetml/main" xmlns:xdr="http://purl.oclc.org/ooxml/drawingml/spreadsheetDrawing" xmlns:v="urn:schemas-microsoft-com:vml">
  <authors>
    <author>Bob Dalpiaz</author>
    <author>O'Neal User</author>
    <author>ATOMANOV</author>
    <author>4892</author>
  </authors>
  <commentList>
    <comment ref="BD1" authorId="0" shapeId="90113">
      <text>
        <r>
          <rPr>
            <sz val="8"/>
            <color indexed="81"/>
            <rFont val="Tahoma"/>
          </rPr>
          <t xml:space="preserve">              "</t>
        </r>
        <r>
          <rPr>
            <b/>
            <sz val="8"/>
            <color indexed="81"/>
            <rFont val="Tahoma"/>
            <family val="2"/>
          </rPr>
          <t>PILEGRP.xls</t>
        </r>
        <r>
          <rPr>
            <sz val="8"/>
            <color indexed="81"/>
            <rFont val="Tahoma"/>
          </rPr>
          <t>"
written by:  Alex Tomanovich, P.E.</t>
        </r>
      </text>
      <mc:AlternateContent xmlns:mc="http://schemas.openxmlformats.org/markup-compatibility/2006">
        <mc:Choice Requires="v"/>
        <mc:Fallback>
          <commentPr defaultSize="0" autoFill="0" autoLine="0">
            <anchor>
              <from>
                <xdr:col>61</xdr:col>
                <xdr:colOff>182880</xdr:colOff>
                <xdr:row>0</xdr:row>
                <xdr:rowOff>38100</xdr:rowOff>
              </from>
              <to>
                <xdr:col>64</xdr:col>
                <xdr:colOff>381000</xdr:colOff>
                <xdr:row>2</xdr:row>
                <xdr:rowOff>30480</xdr:rowOff>
              </to>
            </anchor>
          </commentPr>
        </mc:Fallback>
      </mc:AlternateContent>
    </comment>
    <comment ref="BF2" authorId="1" shapeId="90142">
      <text>
        <r>
          <rPr>
            <sz val="8"/>
            <color indexed="81"/>
            <rFont val="Tahoma"/>
            <family val="2"/>
          </rPr>
          <t>The user may manually adjust the scaling of the plotted pile group by adjusting the "X" and "Y" plot scale factors below.  The object is to try to equalize the maximum X-axis and Y-axis values which are shown.</t>
        </r>
      </text>
      <mc:AlternateContent xmlns:mc="http://schemas.openxmlformats.org/markup-compatibility/2006">
        <mc:Choice Requires="v"/>
        <mc:Fallback>
          <commentPr defaultSize="0" autoFill="0" autoLine="0">
            <anchor>
              <from>
                <xdr:col>61</xdr:col>
                <xdr:colOff>236220</xdr:colOff>
                <xdr:row>0</xdr:row>
                <xdr:rowOff>167640</xdr:rowOff>
              </from>
              <to>
                <xdr:col>64</xdr:col>
                <xdr:colOff>449580</xdr:colOff>
                <xdr:row>6</xdr:row>
                <xdr:rowOff>7620</xdr:rowOff>
              </to>
            </anchor>
          </commentPr>
        </mc:Fallback>
      </mc:AlternateContent>
    </comment>
    <comment ref="C9" authorId="2" shapeId="90144">
      <text>
        <r>
          <rPr>
            <b/>
            <sz val="8"/>
            <color indexed="81"/>
            <rFont val="Tahoma"/>
            <family val="2"/>
          </rPr>
          <t>The minimum number of piles = 2.
The maximum number of piles = 400.</t>
        </r>
      </text>
      <mc:AlternateContent xmlns:mc="http://schemas.openxmlformats.org/markup-compatibility/2006">
        <mc:Choice Requires="v"/>
        <mc:Fallback>
          <commentPr defaultSize="0" autoFill="0" autoLine="0">
            <anchor>
              <from>
                <xdr:col>3</xdr:col>
                <xdr:colOff>7620</xdr:colOff>
                <xdr:row>7</xdr:row>
                <xdr:rowOff>68580</xdr:rowOff>
              </from>
              <to>
                <xdr:col>6</xdr:col>
                <xdr:colOff>129540</xdr:colOff>
                <xdr:row>9</xdr:row>
                <xdr:rowOff>76200</xdr:rowOff>
              </to>
            </anchor>
          </commentPr>
        </mc:Fallback>
      </mc:AlternateContent>
    </comment>
    <comment ref="C11" authorId="2" shapeId="90122">
      <text>
        <r>
          <rPr>
            <sz val="8"/>
            <color indexed="81"/>
            <rFont val="Tahoma"/>
            <family val="2"/>
          </rPr>
          <t xml:space="preserve">All piles must be located in the positive 1st quadrant.  That is, all pile Xo, Yo coordinate values must be &gt;= 0.
</t>
        </r>
        <r>
          <rPr>
            <b/>
            <sz val="8"/>
            <color indexed="81"/>
            <rFont val="Tahoma"/>
            <family val="2"/>
          </rPr>
          <t>Note: The user should make sure to either clear the contents of all cells that are not used for input of pile coordinates, or those cell values should be input = 0.</t>
        </r>
      </text>
      <mc:AlternateContent xmlns:mc="http://schemas.openxmlformats.org/markup-compatibility/2006">
        <mc:Choice Requires="v"/>
        <mc:Fallback>
          <commentPr defaultSize="0" autoFill="0" autoLine="0">
            <anchor>
              <from>
                <xdr:col>2</xdr:col>
                <xdr:colOff>594360</xdr:colOff>
                <xdr:row>9</xdr:row>
                <xdr:rowOff>76200</xdr:rowOff>
              </from>
              <to>
                <xdr:col>6</xdr:col>
                <xdr:colOff>525780</xdr:colOff>
                <xdr:row>14</xdr:row>
                <xdr:rowOff>99060</xdr:rowOff>
              </to>
            </anchor>
          </commentPr>
        </mc:Fallback>
      </mc:AlternateContent>
    </comment>
    <comment ref="B12" authorId="2" shapeId="90123">
      <text>
        <r>
          <rPr>
            <sz val="8"/>
            <color indexed="81"/>
            <rFont val="Tahoma"/>
            <family val="2"/>
          </rPr>
          <t>The 'Xo' coordinate is the x-distance from the origin axis to a particular pile.</t>
        </r>
      </text>
      <mc:AlternateContent xmlns:mc="http://schemas.openxmlformats.org/markup-compatibility/2006">
        <mc:Choice Requires="v"/>
        <mc:Fallback>
          <commentPr defaultSize="0" autoFill="0" autoLine="0">
            <anchor>
              <from>
                <xdr:col>1</xdr:col>
                <xdr:colOff>838200</xdr:colOff>
                <xdr:row>10</xdr:row>
                <xdr:rowOff>76200</xdr:rowOff>
              </from>
              <to>
                <xdr:col>4</xdr:col>
                <xdr:colOff>716280</xdr:colOff>
                <xdr:row>12</xdr:row>
                <xdr:rowOff>45720</xdr:rowOff>
              </to>
            </anchor>
          </commentPr>
        </mc:Fallback>
      </mc:AlternateContent>
    </comment>
    <comment ref="C12" authorId="2" shapeId="90124">
      <text>
        <r>
          <rPr>
            <sz val="8"/>
            <color indexed="81"/>
            <rFont val="Tahoma"/>
            <family val="2"/>
          </rPr>
          <t>The 'Yo' coordinate is the y-distance from the origin axis to a particular pile.</t>
        </r>
      </text>
      <mc:AlternateContent xmlns:mc="http://schemas.openxmlformats.org/markup-compatibility/2006">
        <mc:Choice Requires="v"/>
        <mc:Fallback>
          <commentPr defaultSize="0" autoFill="0" autoLine="0">
            <anchor>
              <from>
                <xdr:col>2</xdr:col>
                <xdr:colOff>594360</xdr:colOff>
                <xdr:row>10</xdr:row>
                <xdr:rowOff>76200</xdr:rowOff>
              </from>
              <to>
                <xdr:col>5</xdr:col>
                <xdr:colOff>457200</xdr:colOff>
                <xdr:row>12</xdr:row>
                <xdr:rowOff>45720</xdr:rowOff>
              </to>
            </anchor>
          </commentPr>
        </mc:Fallback>
      </mc:AlternateContent>
    </comment>
    <comment ref="M65" authorId="2" shapeId="90222">
      <text>
        <r>
          <rPr>
            <sz val="8"/>
            <color indexed="81"/>
            <rFont val="Tahoma"/>
            <family val="2"/>
          </rPr>
          <t xml:space="preserve">All piers must be located in the positive 1st quadrant.  That is, all pier X, Y coordinate values must be &gt;= 0.
</t>
        </r>
        <r>
          <rPr>
            <b/>
            <sz val="8"/>
            <color indexed="81"/>
            <rFont val="Tahoma"/>
            <family val="2"/>
          </rPr>
          <t>Note: The user should make sure to either clear the contents of all cells that are not used for input of pier coordinates, or those cell values should be input = 0.</t>
        </r>
      </text>
      <mc:AlternateContent xmlns:mc="http://schemas.openxmlformats.org/markup-compatibility/2006">
        <mc:Choice Requires="v"/>
        <mc:Fallback>
          <commentPr defaultSize="0" autoFill="0" autoLine="0">
            <anchor>
              <from>
                <xdr:col>13</xdr:col>
                <xdr:colOff>144780</xdr:colOff>
                <xdr:row>63</xdr:row>
                <xdr:rowOff>76200</xdr:rowOff>
              </from>
              <to>
                <xdr:col>18</xdr:col>
                <xdr:colOff>449580</xdr:colOff>
                <xdr:row>67</xdr:row>
                <xdr:rowOff>160020</xdr:rowOff>
              </to>
            </anchor>
          </commentPr>
        </mc:Fallback>
      </mc:AlternateContent>
    </comment>
    <comment ref="A67" authorId="2" shapeId="90126">
      <text>
        <r>
          <rPr>
            <sz val="8"/>
            <color indexed="81"/>
            <rFont val="Tahoma"/>
            <family val="2"/>
          </rPr>
          <t>The 'X' coordinate is the x-distance from the origin axis to a particular pier/loading.</t>
        </r>
      </text>
      <mc:AlternateContent xmlns:mc="http://schemas.openxmlformats.org/markup-compatibility/2006">
        <mc:Choice Requires="v"/>
        <mc:Fallback>
          <commentPr defaultSize="0" autoFill="0" autoLine="0">
            <anchor>
              <from>
                <xdr:col>1</xdr:col>
                <xdr:colOff>106680</xdr:colOff>
                <xdr:row>65</xdr:row>
                <xdr:rowOff>76200</xdr:rowOff>
              </from>
              <to>
                <xdr:col>4</xdr:col>
                <xdr:colOff>152400</xdr:colOff>
                <xdr:row>67</xdr:row>
                <xdr:rowOff>91440</xdr:rowOff>
              </to>
            </anchor>
          </commentPr>
        </mc:Fallback>
      </mc:AlternateContent>
    </comment>
    <comment ref="A68" authorId="2" shapeId="90127">
      <text>
        <r>
          <rPr>
            <sz val="8"/>
            <color indexed="81"/>
            <rFont val="Tahoma"/>
            <family val="2"/>
          </rPr>
          <t>The 'Y' coordinate is the y-distance from the origin axis to a particular pier/loading.</t>
        </r>
      </text>
      <mc:AlternateContent xmlns:mc="http://schemas.openxmlformats.org/markup-compatibility/2006">
        <mc:Choice Requires="v"/>
        <mc:Fallback>
          <commentPr defaultSize="0" autoFill="0" autoLine="0">
            <anchor>
              <from>
                <xdr:col>1</xdr:col>
                <xdr:colOff>106680</xdr:colOff>
                <xdr:row>66</xdr:row>
                <xdr:rowOff>76200</xdr:rowOff>
              </from>
              <to>
                <xdr:col>4</xdr:col>
                <xdr:colOff>137160</xdr:colOff>
                <xdr:row>68</xdr:row>
                <xdr:rowOff>91440</xdr:rowOff>
              </to>
            </anchor>
          </commentPr>
        </mc:Fallback>
      </mc:AlternateContent>
    </comment>
    <comment ref="A69" authorId="2" shapeId="90128">
      <text>
        <r>
          <rPr>
            <sz val="8"/>
            <color indexed="81"/>
            <rFont val="Tahoma"/>
            <family val="2"/>
          </rPr>
          <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t>
        </r>
      </text>
      <mc:AlternateContent xmlns:mc="http://schemas.openxmlformats.org/markup-compatibility/2006">
        <mc:Choice Requires="v"/>
        <mc:Fallback>
          <commentPr defaultSize="0" autoFill="0" autoLine="0">
            <anchor>
              <from>
                <xdr:col>1</xdr:col>
                <xdr:colOff>106680</xdr:colOff>
                <xdr:row>67</xdr:row>
                <xdr:rowOff>76200</xdr:rowOff>
              </from>
              <to>
                <xdr:col>5</xdr:col>
                <xdr:colOff>91440</xdr:colOff>
                <xdr:row>73</xdr:row>
                <xdr:rowOff>76200</xdr:rowOff>
              </to>
            </anchor>
          </commentPr>
        </mc:Fallback>
      </mc:AlternateContent>
    </comment>
    <comment ref="A70" authorId="2" shapeId="90131">
      <text>
        <r>
          <rPr>
            <sz val="8"/>
            <color indexed="81"/>
            <rFont val="Tahoma"/>
            <family val="2"/>
          </rPr>
          <t>'Pz' is the vertical (Z-axis) load to be applied at the pier location.
Sign convention: + = upward (out of page)
                                   -  = downward (into page) for gravity loads</t>
        </r>
      </text>
      <mc:AlternateContent xmlns:mc="http://schemas.openxmlformats.org/markup-compatibility/2006">
        <mc:Choice Requires="v"/>
        <mc:Fallback>
          <commentPr defaultSize="0" autoFill="0" autoLine="0">
            <anchor>
              <from>
                <xdr:col>1</xdr:col>
                <xdr:colOff>106680</xdr:colOff>
                <xdr:row>68</xdr:row>
                <xdr:rowOff>76200</xdr:rowOff>
              </from>
              <to>
                <xdr:col>5</xdr:col>
                <xdr:colOff>419100</xdr:colOff>
                <xdr:row>71</xdr:row>
                <xdr:rowOff>38100</xdr:rowOff>
              </to>
            </anchor>
          </commentPr>
        </mc:Fallback>
      </mc:AlternateContent>
    </comment>
    <comment ref="A71" authorId="2" shapeId="90129">
      <text>
        <r>
          <rPr>
            <sz val="8"/>
            <color indexed="81"/>
            <rFont val="Tahoma"/>
            <family val="2"/>
          </rPr>
          <t>'Hx' is the horizontal (X-axis) load to be applied at the pier location.
Sign convention: + = to right</t>
        </r>
      </text>
      <mc:AlternateContent xmlns:mc="http://schemas.openxmlformats.org/markup-compatibility/2006">
        <mc:Choice Requires="v"/>
        <mc:Fallback>
          <commentPr defaultSize="0" autoFill="0" autoLine="0">
            <anchor>
              <from>
                <xdr:col>1</xdr:col>
                <xdr:colOff>106680</xdr:colOff>
                <xdr:row>69</xdr:row>
                <xdr:rowOff>76200</xdr:rowOff>
              </from>
              <to>
                <xdr:col>5</xdr:col>
                <xdr:colOff>541020</xdr:colOff>
                <xdr:row>71</xdr:row>
                <xdr:rowOff>76200</xdr:rowOff>
              </to>
            </anchor>
          </commentPr>
        </mc:Fallback>
      </mc:AlternateContent>
    </comment>
    <comment ref="A72" authorId="2" shapeId="90130">
      <text>
        <r>
          <rPr>
            <sz val="8"/>
            <color indexed="81"/>
            <rFont val="Tahoma"/>
            <family val="2"/>
          </rPr>
          <t>'Hy' is the horizontal (Y-axis) load to be applied at the pier location.
Sign convention: + = up the page</t>
        </r>
      </text>
      <mc:AlternateContent xmlns:mc="http://schemas.openxmlformats.org/markup-compatibility/2006">
        <mc:Choice Requires="v"/>
        <mc:Fallback>
          <commentPr defaultSize="0" autoFill="0" autoLine="0">
            <anchor>
              <from>
                <xdr:col>1</xdr:col>
                <xdr:colOff>106680</xdr:colOff>
                <xdr:row>70</xdr:row>
                <xdr:rowOff>76200</xdr:rowOff>
              </from>
              <to>
                <xdr:col>5</xdr:col>
                <xdr:colOff>563880</xdr:colOff>
                <xdr:row>72</xdr:row>
                <xdr:rowOff>91440</xdr:rowOff>
              </to>
            </anchor>
          </commentPr>
        </mc:Fallback>
      </mc:AlternateContent>
    </comment>
    <comment ref="A73" authorId="2" shapeId="90132">
      <text>
        <r>
          <rPr>
            <sz val="8"/>
            <color indexed="81"/>
            <rFont val="Tahoma"/>
            <family val="2"/>
          </rPr>
          <t>'Mx' is the X-axis moment to be applied at the pier location.
Sign convention: + = by "Right-Hand-Rule" about +X-axis</t>
        </r>
      </text>
      <mc:AlternateContent xmlns:mc="http://schemas.openxmlformats.org/markup-compatibility/2006">
        <mc:Choice Requires="v"/>
        <mc:Fallback>
          <commentPr defaultSize="0" autoFill="0" autoLine="0">
            <anchor>
              <from>
                <xdr:col>1</xdr:col>
                <xdr:colOff>106680</xdr:colOff>
                <xdr:row>71</xdr:row>
                <xdr:rowOff>76200</xdr:rowOff>
              </from>
              <to>
                <xdr:col>5</xdr:col>
                <xdr:colOff>182880</xdr:colOff>
                <xdr:row>73</xdr:row>
                <xdr:rowOff>91440</xdr:rowOff>
              </to>
            </anchor>
          </commentPr>
        </mc:Fallback>
      </mc:AlternateContent>
    </comment>
    <comment ref="A74" authorId="2" shapeId="90133">
      <text>
        <r>
          <rPr>
            <sz val="8"/>
            <color indexed="81"/>
            <rFont val="Tahoma"/>
            <family val="2"/>
          </rPr>
          <t>'My' is the Y-axis moment to be applied at the pier location.
Sign convention: + = by "Right-Hand-Rule" about +Y-axis</t>
        </r>
      </text>
      <mc:AlternateContent xmlns:mc="http://schemas.openxmlformats.org/markup-compatibility/2006">
        <mc:Choice Requires="v"/>
        <mc:Fallback>
          <commentPr defaultSize="0" autoFill="0" autoLine="0">
            <anchor>
              <from>
                <xdr:col>1</xdr:col>
                <xdr:colOff>106680</xdr:colOff>
                <xdr:row>72</xdr:row>
                <xdr:rowOff>76200</xdr:rowOff>
              </from>
              <to>
                <xdr:col>5</xdr:col>
                <xdr:colOff>160020</xdr:colOff>
                <xdr:row>74</xdr:row>
                <xdr:rowOff>91440</xdr:rowOff>
              </to>
            </anchor>
          </commentPr>
        </mc:Fallback>
      </mc:AlternateContent>
    </comment>
    <comment ref="A75" authorId="2" shapeId="90134">
      <text>
        <r>
          <rPr>
            <sz val="8"/>
            <color indexed="81"/>
            <rFont val="Tahoma"/>
            <family val="2"/>
          </rPr>
          <t>'Mz' is the Z-axis moment to be applied at the pier location.
Sign convention: + = by "Right-Hand-Rule" about +Z-axis</t>
        </r>
      </text>
      <mc:AlternateContent xmlns:mc="http://schemas.openxmlformats.org/markup-compatibility/2006">
        <mc:Choice Requires="v"/>
        <mc:Fallback>
          <commentPr defaultSize="0" autoFill="0" autoLine="0">
            <anchor>
              <from>
                <xdr:col>1</xdr:col>
                <xdr:colOff>106680</xdr:colOff>
                <xdr:row>73</xdr:row>
                <xdr:rowOff>76200</xdr:rowOff>
              </from>
              <to>
                <xdr:col>5</xdr:col>
                <xdr:colOff>175260</xdr:colOff>
                <xdr:row>75</xdr:row>
                <xdr:rowOff>99060</xdr:rowOff>
              </to>
            </anchor>
          </commentPr>
        </mc:Fallback>
      </mc:AlternateContent>
    </comment>
    <comment ref="BI84" authorId="2" shapeId="90145">
      <text>
        <r>
          <rPr>
            <b/>
            <sz val="8"/>
            <color indexed="81"/>
            <rFont val="Tahoma"/>
            <family val="2"/>
          </rPr>
          <t>The minimum number of piles = 3.
The maximum number of piles = 300.</t>
        </r>
      </text>
      <mc:AlternateContent xmlns:mc="http://schemas.openxmlformats.org/markup-compatibility/2006">
        <mc:Choice Requires="v"/>
        <mc:Fallback>
          <commentPr defaultSize="0" autoFill="0" autoLine="0">
            <anchor>
              <from>
                <xdr:col>64</xdr:col>
                <xdr:colOff>350520</xdr:colOff>
                <xdr:row>82</xdr:row>
                <xdr:rowOff>76200</xdr:rowOff>
              </from>
              <to>
                <xdr:col>68</xdr:col>
                <xdr:colOff>251460</xdr:colOff>
                <xdr:row>84</xdr:row>
                <xdr:rowOff>76200</xdr:rowOff>
              </to>
            </anchor>
          </commentPr>
        </mc:Fallback>
      </mc:AlternateContent>
    </comment>
    <comment ref="B160" authorId="3" shapeId="90119">
      <text>
        <r>
          <rPr>
            <sz val="8"/>
            <color indexed="81"/>
            <rFont val="Tahoma"/>
            <family val="2"/>
          </rPr>
          <t xml:space="preserve">The location of the centroidal Y-axis from the origin Y-axis is calculated as follows:
   Xc = </t>
        </r>
        <r>
          <rPr>
            <sz val="8"/>
            <color indexed="81"/>
            <rFont val="Symbol"/>
            <family val="1"/>
            <charset val="2"/>
          </rPr>
          <t>S</t>
        </r>
        <r>
          <rPr>
            <sz val="8"/>
            <color indexed="81"/>
            <rFont val="Tahoma"/>
            <family val="2"/>
          </rPr>
          <t xml:space="preserve"> (Xo)/Np
where:
   Np = total number of piles in group</t>
        </r>
      </text>
      <mc:AlternateContent xmlns:mc="http://schemas.openxmlformats.org/markup-compatibility/2006">
        <mc:Choice Requires="v"/>
        <mc:Fallback>
          <commentPr defaultSize="0" autoFill="0" autoLine="0">
            <anchor>
              <from>
                <xdr:col>1</xdr:col>
                <xdr:colOff>838200</xdr:colOff>
                <xdr:row>158</xdr:row>
                <xdr:rowOff>76200</xdr:rowOff>
              </from>
              <to>
                <xdr:col>5</xdr:col>
                <xdr:colOff>60960</xdr:colOff>
                <xdr:row>163</xdr:row>
                <xdr:rowOff>0</xdr:rowOff>
              </to>
            </anchor>
          </commentPr>
        </mc:Fallback>
      </mc:AlternateContent>
    </comment>
    <comment ref="E160" authorId="2" shapeId="90116">
      <text>
        <r>
          <rPr>
            <sz val="8"/>
            <color indexed="81"/>
            <rFont val="Symbol"/>
            <family val="1"/>
            <charset val="2"/>
          </rPr>
          <t xml:space="preserve">S </t>
        </r>
        <r>
          <rPr>
            <sz val="8"/>
            <color indexed="81"/>
            <rFont val="Tahoma"/>
            <family val="2"/>
          </rPr>
          <t xml:space="preserve"> Pz = sum of all applied vertical (Z-axis) loads translated to the centroid of the pile group.
Sign convention: positive in +Z-axis direction</t>
        </r>
      </text>
      <mc:AlternateContent xmlns:mc="http://schemas.openxmlformats.org/markup-compatibility/2006">
        <mc:Choice Requires="v"/>
        <mc:Fallback>
          <commentPr defaultSize="0" autoFill="0" autoLine="0">
            <anchor>
              <from>
                <xdr:col>4</xdr:col>
                <xdr:colOff>487680</xdr:colOff>
                <xdr:row>158</xdr:row>
                <xdr:rowOff>76200</xdr:rowOff>
              </from>
              <to>
                <xdr:col>8</xdr:col>
                <xdr:colOff>60960</xdr:colOff>
                <xdr:row>161</xdr:row>
                <xdr:rowOff>76200</xdr:rowOff>
              </to>
            </anchor>
          </commentPr>
        </mc:Fallback>
      </mc:AlternateContent>
    </comment>
    <comment ref="B161" authorId="3" shapeId="90120">
      <text>
        <r>
          <rPr>
            <sz val="8"/>
            <color indexed="81"/>
            <rFont val="Tahoma"/>
            <family val="2"/>
          </rPr>
          <t xml:space="preserve">The location of the centroidal X-axis from the origin X-axis is calculated as follows:
   Yc = </t>
        </r>
        <r>
          <rPr>
            <sz val="8"/>
            <color indexed="81"/>
            <rFont val="Symbol"/>
            <family val="1"/>
            <charset val="2"/>
          </rPr>
          <t>S</t>
        </r>
        <r>
          <rPr>
            <sz val="8"/>
            <color indexed="81"/>
            <rFont val="Tahoma"/>
            <family val="2"/>
          </rPr>
          <t xml:space="preserve"> (Yo)/Np
where:
   Np = total number of piles in group</t>
        </r>
      </text>
      <mc:AlternateContent xmlns:mc="http://schemas.openxmlformats.org/markup-compatibility/2006">
        <mc:Choice Requires="v"/>
        <mc:Fallback>
          <commentPr defaultSize="0" autoFill="0" autoLine="0">
            <anchor>
              <from>
                <xdr:col>1</xdr:col>
                <xdr:colOff>838200</xdr:colOff>
                <xdr:row>159</xdr:row>
                <xdr:rowOff>76200</xdr:rowOff>
              </from>
              <to>
                <xdr:col>5</xdr:col>
                <xdr:colOff>60960</xdr:colOff>
                <xdr:row>164</xdr:row>
                <xdr:rowOff>30480</xdr:rowOff>
              </to>
            </anchor>
          </commentPr>
        </mc:Fallback>
      </mc:AlternateContent>
    </comment>
    <comment ref="E161" authorId="2" shapeId="90117">
      <text>
        <r>
          <rPr>
            <sz val="8"/>
            <color indexed="81"/>
            <rFont val="Symbol"/>
            <family val="1"/>
            <charset val="2"/>
          </rPr>
          <t xml:space="preserve">S </t>
        </r>
        <r>
          <rPr>
            <sz val="8"/>
            <color indexed="81"/>
            <rFont val="Tahoma"/>
            <family val="2"/>
          </rPr>
          <t xml:space="preserve"> Hx = sum of all applied horizontal (X-axis) loads translated to the centroid of the pile group.
Sign convention: positive in +X-axis direction</t>
        </r>
      </text>
      <mc:AlternateContent xmlns:mc="http://schemas.openxmlformats.org/markup-compatibility/2006">
        <mc:Choice Requires="v"/>
        <mc:Fallback>
          <commentPr defaultSize="0" autoFill="0" autoLine="0">
            <anchor>
              <from>
                <xdr:col>4</xdr:col>
                <xdr:colOff>487680</xdr:colOff>
                <xdr:row>159</xdr:row>
                <xdr:rowOff>76200</xdr:rowOff>
              </from>
              <to>
                <xdr:col>8</xdr:col>
                <xdr:colOff>160020</xdr:colOff>
                <xdr:row>162</xdr:row>
                <xdr:rowOff>30480</xdr:rowOff>
              </to>
            </anchor>
          </commentPr>
        </mc:Fallback>
      </mc:AlternateContent>
    </comment>
    <comment ref="B162" authorId="3" shapeId="90213">
      <text>
        <r>
          <rPr>
            <sz val="8"/>
            <color indexed="81"/>
            <rFont val="Tahoma"/>
            <family val="2"/>
          </rPr>
          <t>The X-axis Moment of Inertia, 'Ix',  for the pile group is calculated as follows:
   Ix = Ap*</t>
        </r>
        <r>
          <rPr>
            <sz val="8"/>
            <color indexed="81"/>
            <rFont val="Symbol"/>
            <family val="1"/>
            <charset val="2"/>
          </rPr>
          <t>S</t>
        </r>
        <r>
          <rPr>
            <sz val="8"/>
            <color indexed="81"/>
            <rFont val="Tahoma"/>
            <family val="2"/>
          </rPr>
          <t xml:space="preserve"> (dy)^2
where:
   Ap = Area of pile assumed = unity (1) 
   dy = y-distance of each pile from
               centroidal X-axis </t>
        </r>
      </text>
      <mc:AlternateContent xmlns:mc="http://schemas.openxmlformats.org/markup-compatibility/2006">
        <mc:Choice Requires="v"/>
        <mc:Fallback>
          <commentPr defaultSize="0" autoFill="0" autoLine="0">
            <anchor>
              <from>
                <xdr:col>2</xdr:col>
                <xdr:colOff>7620</xdr:colOff>
                <xdr:row>160</xdr:row>
                <xdr:rowOff>76200</xdr:rowOff>
              </from>
              <to>
                <xdr:col>4</xdr:col>
                <xdr:colOff>716280</xdr:colOff>
                <xdr:row>166</xdr:row>
                <xdr:rowOff>99060</xdr:rowOff>
              </to>
            </anchor>
          </commentPr>
        </mc:Fallback>
      </mc:AlternateContent>
    </comment>
    <comment ref="E162" authorId="2" shapeId="90118">
      <text>
        <r>
          <rPr>
            <sz val="8"/>
            <color indexed="81"/>
            <rFont val="Symbol"/>
            <family val="1"/>
            <charset val="2"/>
          </rPr>
          <t xml:space="preserve">S </t>
        </r>
        <r>
          <rPr>
            <sz val="8"/>
            <color indexed="81"/>
            <rFont val="Tahoma"/>
            <family val="2"/>
          </rPr>
          <t xml:space="preserve"> Hy = sum of all applied horizontal (Y-axis) loads translated to the centroid of the pile group.
Sign convention: positive in +Y-axis direction</t>
        </r>
      </text>
      <mc:AlternateContent xmlns:mc="http://schemas.openxmlformats.org/markup-compatibility/2006">
        <mc:Choice Requires="v"/>
        <mc:Fallback>
          <commentPr defaultSize="0" autoFill="0" autoLine="0">
            <anchor>
              <from>
                <xdr:col>4</xdr:col>
                <xdr:colOff>487680</xdr:colOff>
                <xdr:row>160</xdr:row>
                <xdr:rowOff>76200</xdr:rowOff>
              </from>
              <to>
                <xdr:col>8</xdr:col>
                <xdr:colOff>160020</xdr:colOff>
                <xdr:row>163</xdr:row>
                <xdr:rowOff>76200</xdr:rowOff>
              </to>
            </anchor>
          </commentPr>
        </mc:Fallback>
      </mc:AlternateContent>
    </comment>
    <comment ref="B163" authorId="3" shapeId="90214">
      <text>
        <r>
          <rPr>
            <sz val="8"/>
            <color indexed="81"/>
            <rFont val="Tahoma"/>
            <family val="2"/>
          </rPr>
          <t>The Y-axis Moment of Inertia, 'Iy',  for the pile group is calculated as follows:
   Iy = Ap*</t>
        </r>
        <r>
          <rPr>
            <sz val="8"/>
            <color indexed="81"/>
            <rFont val="Symbol"/>
            <family val="1"/>
            <charset val="2"/>
          </rPr>
          <t>S</t>
        </r>
        <r>
          <rPr>
            <sz val="8"/>
            <color indexed="81"/>
            <rFont val="Tahoma"/>
            <family val="2"/>
          </rPr>
          <t xml:space="preserve"> (dx)^2
where:
   Ap = Area of pile assumed = unity (1)  
   dx = x-distance of each pile from
               centroidal Y-axis </t>
        </r>
      </text>
      <mc:AlternateContent xmlns:mc="http://schemas.openxmlformats.org/markup-compatibility/2006">
        <mc:Choice Requires="v"/>
        <mc:Fallback>
          <commentPr defaultSize="0" autoFill="0" autoLine="0">
            <anchor>
              <from>
                <xdr:col>2</xdr:col>
                <xdr:colOff>7620</xdr:colOff>
                <xdr:row>161</xdr:row>
                <xdr:rowOff>76200</xdr:rowOff>
              </from>
              <to>
                <xdr:col>4</xdr:col>
                <xdr:colOff>716280</xdr:colOff>
                <xdr:row>167</xdr:row>
                <xdr:rowOff>76200</xdr:rowOff>
              </to>
            </anchor>
          </commentPr>
        </mc:Fallback>
      </mc:AlternateContent>
    </comment>
    <comment ref="E163" authorId="2" shapeId="90135">
      <text>
        <r>
          <rPr>
            <sz val="8"/>
            <color indexed="81"/>
            <rFont val="Symbol"/>
            <family val="1"/>
            <charset val="2"/>
          </rPr>
          <t xml:space="preserve">S </t>
        </r>
        <r>
          <rPr>
            <sz val="8"/>
            <color indexed="81"/>
            <rFont val="Tahoma"/>
            <family val="2"/>
          </rPr>
          <t xml:space="preserve"> Mx = sum of all applied X-axis moments calculated at the top of the piles and  translated to the centroid of the pile group.
Sign convention: positive by "Right-Hand-Rule" about +X-axis</t>
        </r>
      </text>
      <mc:AlternateContent xmlns:mc="http://schemas.openxmlformats.org/markup-compatibility/2006">
        <mc:Choice Requires="v"/>
        <mc:Fallback>
          <commentPr defaultSize="0" autoFill="0" autoLine="0">
            <anchor>
              <from>
                <xdr:col>4</xdr:col>
                <xdr:colOff>487680</xdr:colOff>
                <xdr:row>161</xdr:row>
                <xdr:rowOff>76200</xdr:rowOff>
              </from>
              <to>
                <xdr:col>9</xdr:col>
                <xdr:colOff>160020</xdr:colOff>
                <xdr:row>164</xdr:row>
                <xdr:rowOff>45720</xdr:rowOff>
              </to>
            </anchor>
          </commentPr>
        </mc:Fallback>
      </mc:AlternateContent>
    </comment>
    <comment ref="B164" authorId="3" shapeId="90215">
      <text>
        <r>
          <rPr>
            <sz val="8"/>
            <color indexed="81"/>
            <rFont val="Tahoma"/>
            <family val="2"/>
          </rPr>
          <t>The Polar Moment of Inertia for the pile group is calculated as follows:
   J = Ix+Iy</t>
        </r>
      </text>
      <mc:AlternateContent xmlns:mc="http://schemas.openxmlformats.org/markup-compatibility/2006">
        <mc:Choice Requires="v"/>
        <mc:Fallback>
          <commentPr defaultSize="0" autoFill="0" autoLine="0">
            <anchor>
              <from>
                <xdr:col>2</xdr:col>
                <xdr:colOff>7620</xdr:colOff>
                <xdr:row>162</xdr:row>
                <xdr:rowOff>76200</xdr:rowOff>
              </from>
              <to>
                <xdr:col>4</xdr:col>
                <xdr:colOff>716280</xdr:colOff>
                <xdr:row>165</xdr:row>
                <xdr:rowOff>30480</xdr:rowOff>
              </to>
            </anchor>
          </commentPr>
        </mc:Fallback>
      </mc:AlternateContent>
    </comment>
    <comment ref="E164" authorId="2" shapeId="90136">
      <text>
        <r>
          <rPr>
            <sz val="8"/>
            <color indexed="81"/>
            <rFont val="Symbol"/>
            <family val="1"/>
            <charset val="2"/>
          </rPr>
          <t xml:space="preserve">S </t>
        </r>
        <r>
          <rPr>
            <sz val="8"/>
            <color indexed="81"/>
            <rFont val="Tahoma"/>
            <family val="2"/>
          </rPr>
          <t xml:space="preserve"> My = sum of all applied Y-axis moments calculated at the top of the piles and  translated to the centroid of the pile group.
Sign convention: positive by "Right-Hand-Rule" about +Y-axis</t>
        </r>
      </text>
      <mc:AlternateContent xmlns:mc="http://schemas.openxmlformats.org/markup-compatibility/2006">
        <mc:Choice Requires="v"/>
        <mc:Fallback>
          <commentPr defaultSize="0" autoFill="0" autoLine="0">
            <anchor>
              <from>
                <xdr:col>4</xdr:col>
                <xdr:colOff>487680</xdr:colOff>
                <xdr:row>162</xdr:row>
                <xdr:rowOff>76200</xdr:rowOff>
              </from>
              <to>
                <xdr:col>9</xdr:col>
                <xdr:colOff>220980</xdr:colOff>
                <xdr:row>165</xdr:row>
                <xdr:rowOff>76200</xdr:rowOff>
              </to>
            </anchor>
          </commentPr>
        </mc:Fallback>
      </mc:AlternateContent>
    </comment>
    <comment ref="B165" authorId="3" shapeId="90216">
      <text>
        <r>
          <rPr>
            <sz val="8"/>
            <color indexed="81"/>
            <rFont val="Tahoma"/>
            <family val="2"/>
          </rPr>
          <t>The Product Moment of Inertia, 'Ixy', for the pile group is calculated as follows:
   Ixy = Ap*</t>
        </r>
        <r>
          <rPr>
            <sz val="8"/>
            <color indexed="81"/>
            <rFont val="Symbol"/>
            <family val="1"/>
            <charset val="2"/>
          </rPr>
          <t>S</t>
        </r>
        <r>
          <rPr>
            <sz val="8"/>
            <color indexed="81"/>
            <rFont val="Tahoma"/>
            <family val="2"/>
          </rPr>
          <t xml:space="preserve"> (dx*dy)
where:
   Ap = Area of pile assumed = unity (1) 
   dx = x-distance of each pile from
               centroidal Y-axis
   dy = y-distance of each pile from
               centroidal X-axis
Note:  'Ixy' = 0  for a pile group with at
           least one axis of symmetry.</t>
        </r>
      </text>
      <mc:AlternateContent xmlns:mc="http://schemas.openxmlformats.org/markup-compatibility/2006">
        <mc:Choice Requires="v"/>
        <mc:Fallback>
          <commentPr defaultSize="0" autoFill="0" autoLine="0">
            <anchor>
              <from>
                <xdr:col>2</xdr:col>
                <xdr:colOff>7620</xdr:colOff>
                <xdr:row>163</xdr:row>
                <xdr:rowOff>76200</xdr:rowOff>
              </from>
              <to>
                <xdr:col>4</xdr:col>
                <xdr:colOff>762000</xdr:colOff>
                <xdr:row>173</xdr:row>
                <xdr:rowOff>76200</xdr:rowOff>
              </to>
            </anchor>
          </commentPr>
        </mc:Fallback>
      </mc:AlternateContent>
    </comment>
    <comment ref="E165" authorId="2" shapeId="90137">
      <text>
        <r>
          <rPr>
            <sz val="8"/>
            <color indexed="81"/>
            <rFont val="Symbol"/>
            <family val="1"/>
            <charset val="2"/>
          </rPr>
          <t xml:space="preserve">S </t>
        </r>
        <r>
          <rPr>
            <sz val="8"/>
            <color indexed="81"/>
            <rFont val="Tahoma"/>
            <family val="2"/>
          </rPr>
          <t xml:space="preserve"> Mz = sum of all applied Z-axis moments translated to the centroid of the pile group.
Sign convention: positive by "Right-Hand-Rule" about +Z-axis</t>
        </r>
      </text>
      <mc:AlternateContent xmlns:mc="http://schemas.openxmlformats.org/markup-compatibility/2006">
        <mc:Choice Requires="v"/>
        <mc:Fallback>
          <commentPr defaultSize="0" autoFill="0" autoLine="0">
            <anchor>
              <from>
                <xdr:col>4</xdr:col>
                <xdr:colOff>487680</xdr:colOff>
                <xdr:row>163</xdr:row>
                <xdr:rowOff>76200</xdr:rowOff>
              </from>
              <to>
                <xdr:col>9</xdr:col>
                <xdr:colOff>129540</xdr:colOff>
                <xdr:row>166</xdr:row>
                <xdr:rowOff>30480</xdr:rowOff>
              </to>
            </anchor>
          </commentPr>
        </mc:Fallback>
      </mc:AlternateContent>
    </comment>
    <comment ref="B166" authorId="3" shapeId="90121">
      <text>
        <r>
          <rPr>
            <sz val="8"/>
            <color indexed="81"/>
            <rFont val="Tahoma"/>
            <family val="2"/>
          </rPr>
          <t>The orientation of the principal axes, is defined by the rotation angle, '</t>
        </r>
        <r>
          <rPr>
            <sz val="8"/>
            <color indexed="81"/>
            <rFont val="Symbol"/>
            <family val="1"/>
            <charset val="2"/>
          </rPr>
          <t xml:space="preserve">q </t>
        </r>
        <r>
          <rPr>
            <sz val="8"/>
            <color indexed="81"/>
            <rFont val="Tahoma"/>
            <family val="2"/>
          </rPr>
          <t xml:space="preserve">', from the centroidal axes and is calculated as follows:
   </t>
        </r>
        <r>
          <rPr>
            <sz val="8"/>
            <color indexed="81"/>
            <rFont val="Symbol"/>
            <family val="1"/>
            <charset val="2"/>
          </rPr>
          <t>q</t>
        </r>
        <r>
          <rPr>
            <sz val="8"/>
            <color indexed="81"/>
            <rFont val="Tahoma"/>
            <family val="2"/>
          </rPr>
          <t xml:space="preserve"> = (ATAN(-2*Ixy/(Ix-Iy)))/2
Note: sign convention is positive (+) ccw.
           '</t>
        </r>
        <r>
          <rPr>
            <sz val="8"/>
            <color indexed="81"/>
            <rFont val="Symbol"/>
            <family val="1"/>
            <charset val="2"/>
          </rPr>
          <t xml:space="preserve">q </t>
        </r>
        <r>
          <rPr>
            <sz val="8"/>
            <color indexed="81"/>
            <rFont val="Tahoma"/>
            <family val="2"/>
          </rPr>
          <t>' = 0  for a pile group with at least one
          axis of symmetry.</t>
        </r>
      </text>
      <mc:AlternateContent xmlns:mc="http://schemas.openxmlformats.org/markup-compatibility/2006">
        <mc:Choice Requires="v"/>
        <mc:Fallback>
          <commentPr defaultSize="0" autoFill="0" autoLine="0">
            <anchor>
              <from>
                <xdr:col>1</xdr:col>
                <xdr:colOff>838200</xdr:colOff>
                <xdr:row>164</xdr:row>
                <xdr:rowOff>76200</xdr:rowOff>
              </from>
              <to>
                <xdr:col>5</xdr:col>
                <xdr:colOff>274320</xdr:colOff>
                <xdr:row>170</xdr:row>
                <xdr:rowOff>76200</xdr:rowOff>
              </to>
            </anchor>
          </commentPr>
        </mc:Fallback>
      </mc:AlternateContent>
    </comment>
    <comment ref="B170" authorId="3" shapeId="90138">
      <text>
        <r>
          <rPr>
            <sz val="8"/>
            <color indexed="81"/>
            <rFont val="Tahoma"/>
            <family val="2"/>
          </rPr>
          <t>Sign convention for 'Rz(max)' is as follows:
   positive (+) = compression pile reaction
   negative (-) = tension (uplift) pile reaction</t>
        </r>
      </text>
      <mc:AlternateContent xmlns:mc="http://schemas.openxmlformats.org/markup-compatibility/2006">
        <mc:Choice Requires="v"/>
        <mc:Fallback>
          <commentPr defaultSize="0" autoFill="0" autoLine="0">
            <anchor>
              <from>
                <xdr:col>1</xdr:col>
                <xdr:colOff>838200</xdr:colOff>
                <xdr:row>168</xdr:row>
                <xdr:rowOff>76200</xdr:rowOff>
              </from>
              <to>
                <xdr:col>5</xdr:col>
                <xdr:colOff>137160</xdr:colOff>
                <xdr:row>171</xdr:row>
                <xdr:rowOff>76200</xdr:rowOff>
              </to>
            </anchor>
          </commentPr>
        </mc:Fallback>
      </mc:AlternateContent>
    </comment>
    <comment ref="B171" authorId="3" shapeId="90139">
      <text>
        <r>
          <rPr>
            <sz val="8"/>
            <color indexed="81"/>
            <rFont val="Tahoma"/>
            <family val="2"/>
          </rPr>
          <t>Sign convention for 'Rz(min)' is as follows:
   positive (+) = compression pile reaction
   negative (-) = tension (uplift) pile reaction</t>
        </r>
      </text>
      <mc:AlternateContent xmlns:mc="http://schemas.openxmlformats.org/markup-compatibility/2006">
        <mc:Choice Requires="v"/>
        <mc:Fallback>
          <commentPr defaultSize="0" autoFill="0" autoLine="0">
            <anchor>
              <from>
                <xdr:col>1</xdr:col>
                <xdr:colOff>838200</xdr:colOff>
                <xdr:row>169</xdr:row>
                <xdr:rowOff>76200</xdr:rowOff>
              </from>
              <to>
                <xdr:col>5</xdr:col>
                <xdr:colOff>137160</xdr:colOff>
                <xdr:row>172</xdr:row>
                <xdr:rowOff>30480</xdr:rowOff>
              </to>
            </anchor>
          </commentPr>
        </mc:Fallback>
      </mc:AlternateContent>
    </comment>
    <comment ref="B172" authorId="3" shapeId="90140">
      <text>
        <r>
          <rPr>
            <sz val="8"/>
            <color indexed="81"/>
            <rFont val="Tahoma"/>
            <family val="2"/>
          </rPr>
          <t>Note: 'Rh(max)' is an "absolute" value
          with no particular sign convention,
          thus no directional sense.</t>
        </r>
      </text>
      <mc:AlternateContent xmlns:mc="http://schemas.openxmlformats.org/markup-compatibility/2006">
        <mc:Choice Requires="v"/>
        <mc:Fallback>
          <commentPr defaultSize="0" autoFill="0" autoLine="0">
            <anchor>
              <from>
                <xdr:col>1</xdr:col>
                <xdr:colOff>838200</xdr:colOff>
                <xdr:row>170</xdr:row>
                <xdr:rowOff>76200</xdr:rowOff>
              </from>
              <to>
                <xdr:col>4</xdr:col>
                <xdr:colOff>807720</xdr:colOff>
                <xdr:row>173</xdr:row>
                <xdr:rowOff>45720</xdr:rowOff>
              </to>
            </anchor>
          </commentPr>
        </mc:Fallback>
      </mc:AlternateContent>
    </comment>
    <comment ref="B179" authorId="3" shapeId="90114">
      <text>
        <r>
          <rPr>
            <sz val="8"/>
            <color indexed="81"/>
            <rFont val="Tahoma"/>
            <family val="2"/>
          </rPr>
          <t>The Vertical Pile Reaction, 'Rz', at each pile is calculated as follows:
   Rz = (-</t>
        </r>
        <r>
          <rPr>
            <sz val="8"/>
            <color indexed="81"/>
            <rFont val="Symbol"/>
            <family val="1"/>
            <charset val="2"/>
          </rPr>
          <t>S</t>
        </r>
        <r>
          <rPr>
            <sz val="8"/>
            <color indexed="81"/>
            <rFont val="Tahoma"/>
            <family val="2"/>
          </rPr>
          <t xml:space="preserve"> Pz)/Np +</t>
        </r>
        <r>
          <rPr>
            <sz val="8"/>
            <color indexed="81"/>
            <rFont val="Symbol"/>
            <family val="1"/>
            <charset val="2"/>
          </rPr>
          <t xml:space="preserve"> ((S</t>
        </r>
        <r>
          <rPr>
            <sz val="8"/>
            <color indexed="81"/>
            <rFont val="Tahoma"/>
            <family val="2"/>
          </rPr>
          <t xml:space="preserve"> My)*Ix-(-</t>
        </r>
        <r>
          <rPr>
            <sz val="8"/>
            <color indexed="81"/>
            <rFont val="Symbol"/>
            <family val="1"/>
            <charset val="2"/>
          </rPr>
          <t>S</t>
        </r>
        <r>
          <rPr>
            <sz val="8"/>
            <color indexed="81"/>
            <rFont val="Tahoma"/>
            <family val="2"/>
          </rPr>
          <t xml:space="preserve"> Mx)*Ixy)/(Ix*Iy-Ixy^2)*Xp + ((</t>
        </r>
        <r>
          <rPr>
            <sz val="8"/>
            <color indexed="81"/>
            <rFont val="Symbol"/>
            <family val="1"/>
            <charset val="2"/>
          </rPr>
          <t>S</t>
        </r>
        <r>
          <rPr>
            <sz val="8"/>
            <color indexed="81"/>
            <rFont val="Tahoma"/>
            <family val="2"/>
          </rPr>
          <t xml:space="preserve"> Mx)*Iy-(</t>
        </r>
        <r>
          <rPr>
            <sz val="8"/>
            <color indexed="81"/>
            <rFont val="Symbol"/>
            <family val="1"/>
            <charset val="2"/>
          </rPr>
          <t>S</t>
        </r>
        <r>
          <rPr>
            <sz val="8"/>
            <color indexed="81"/>
            <rFont val="Tahoma"/>
            <family val="2"/>
          </rPr>
          <t xml:space="preserve"> My)*Ixy)/(Ix*Iy-Ixy^2)*Yp
where:
   Xp = x-distance of pile from centroidal Y-axis
   Yp = y-distance of pile from centroidal X-axis
Sign convention for 'Rz' is as follows:
   positive (+) = compression pile reaction
   negative (-) = tension (uplift) pile reaction</t>
        </r>
      </text>
      <mc:AlternateContent xmlns:mc="http://schemas.openxmlformats.org/markup-compatibility/2006">
        <mc:Choice Requires="v"/>
        <mc:Fallback>
          <commentPr defaultSize="0" autoFill="0" autoLine="0">
            <anchor>
              <from>
                <xdr:col>1</xdr:col>
                <xdr:colOff>838200</xdr:colOff>
                <xdr:row>177</xdr:row>
                <xdr:rowOff>76200</xdr:rowOff>
              </from>
              <to>
                <xdr:col>8</xdr:col>
                <xdr:colOff>586740</xdr:colOff>
                <xdr:row>184</xdr:row>
                <xdr:rowOff>76200</xdr:rowOff>
              </to>
            </anchor>
          </commentPr>
        </mc:Fallback>
      </mc:AlternateContent>
    </comment>
    <comment ref="C179" authorId="3" shapeId="90115">
      <text>
        <r>
          <rPr>
            <sz val="8"/>
            <color indexed="81"/>
            <rFont val="Tahoma"/>
            <family val="2"/>
          </rPr>
          <t>The Horizontal Pile Reaction, 'Rh', at each pile is calculated as follows:
   Rh = (((</t>
        </r>
        <r>
          <rPr>
            <sz val="8"/>
            <color indexed="81"/>
            <rFont val="Symbol"/>
            <family val="1"/>
            <charset val="2"/>
          </rPr>
          <t>S</t>
        </r>
        <r>
          <rPr>
            <sz val="8"/>
            <color indexed="81"/>
            <rFont val="Tahoma"/>
            <family val="2"/>
          </rPr>
          <t xml:space="preserve"> Hx)/Np +</t>
        </r>
        <r>
          <rPr>
            <sz val="8"/>
            <color indexed="81"/>
            <rFont val="Symbol"/>
            <family val="1"/>
            <charset val="2"/>
          </rPr>
          <t xml:space="preserve"> (S</t>
        </r>
        <r>
          <rPr>
            <sz val="8"/>
            <color indexed="81"/>
            <rFont val="Tahoma"/>
            <family val="2"/>
          </rPr>
          <t xml:space="preserve"> Mz)*Yp/J)^2 + ((</t>
        </r>
        <r>
          <rPr>
            <sz val="8"/>
            <color indexed="81"/>
            <rFont val="Symbol"/>
            <family val="1"/>
            <charset val="2"/>
          </rPr>
          <t>S</t>
        </r>
        <r>
          <rPr>
            <sz val="8"/>
            <color indexed="81"/>
            <rFont val="Tahoma"/>
            <family val="2"/>
          </rPr>
          <t xml:space="preserve"> Hy)/Np + (</t>
        </r>
        <r>
          <rPr>
            <sz val="8"/>
            <color indexed="81"/>
            <rFont val="Symbol"/>
            <family val="1"/>
            <charset val="2"/>
          </rPr>
          <t>S</t>
        </r>
        <r>
          <rPr>
            <sz val="8"/>
            <color indexed="81"/>
            <rFont val="Tahoma"/>
            <family val="2"/>
          </rPr>
          <t xml:space="preserve"> Mz)*Xp/J)^2)^(1/2)
where:
   Xp = x-distance of pile from centroidal Y-axis
   Yp = y-distance of pile from centroidal X-axis
Note: 'Rh' is an "absolute" value with no particular sign convention, thus no
             directional sense.</t>
        </r>
      </text>
      <mc:AlternateContent xmlns:mc="http://schemas.openxmlformats.org/markup-compatibility/2006">
        <mc:Choice Requires="v"/>
        <mc:Fallback>
          <commentPr defaultSize="0" autoFill="0" autoLine="0">
            <anchor>
              <from>
                <xdr:col>2</xdr:col>
                <xdr:colOff>594360</xdr:colOff>
                <xdr:row>177</xdr:row>
                <xdr:rowOff>76200</xdr:rowOff>
              </from>
              <to>
                <xdr:col>8</xdr:col>
                <xdr:colOff>320040</xdr:colOff>
                <xdr:row>183</xdr:row>
                <xdr:rowOff>76200</xdr:rowOff>
              </to>
            </anchor>
          </commentPr>
        </mc:Fallback>
      </mc:AlternateContent>
    </comment>
  </commentList>
</comments>
</file>

<file path=xl/comments8.xml><?xml version="1.0" encoding="utf-8"?>
<comments xmlns="http://purl.oclc.org/ooxml/spreadsheetml/main" xmlns:xdr="http://purl.oclc.org/ooxml/drawingml/spreadsheetDrawing" xmlns:v="urn:schemas-microsoft-com:vml">
  <authors>
    <author>Bob Dalpiaz</author>
    <author>O'Neal User</author>
    <author>ATOMANOV</author>
    <author>4892</author>
  </authors>
  <commentList>
    <comment ref="BD1" authorId="0" shapeId="88065">
      <text>
        <r>
          <rPr>
            <sz val="8"/>
            <color indexed="81"/>
            <rFont val="Tahoma"/>
          </rPr>
          <t xml:space="preserve">              "</t>
        </r>
        <r>
          <rPr>
            <b/>
            <sz val="8"/>
            <color indexed="81"/>
            <rFont val="Tahoma"/>
            <family val="2"/>
          </rPr>
          <t>PILEGRP.xls</t>
        </r>
        <r>
          <rPr>
            <sz val="8"/>
            <color indexed="81"/>
            <rFont val="Tahoma"/>
          </rPr>
          <t>"
written by:  Alex Tomanovich, P.E.</t>
        </r>
      </text>
      <mc:AlternateContent xmlns:mc="http://schemas.openxmlformats.org/markup-compatibility/2006">
        <mc:Choice Requires="v"/>
        <mc:Fallback>
          <commentPr defaultSize="0" autoFill="0" autoLine="0">
            <anchor>
              <from>
                <xdr:col>61</xdr:col>
                <xdr:colOff>175260</xdr:colOff>
                <xdr:row>0</xdr:row>
                <xdr:rowOff>38100</xdr:rowOff>
              </from>
              <to>
                <xdr:col>64</xdr:col>
                <xdr:colOff>373380</xdr:colOff>
                <xdr:row>2</xdr:row>
                <xdr:rowOff>30480</xdr:rowOff>
              </to>
            </anchor>
          </commentPr>
        </mc:Fallback>
      </mc:AlternateContent>
    </comment>
    <comment ref="BF2" authorId="1" shapeId="88094">
      <text>
        <r>
          <rPr>
            <sz val="8"/>
            <color indexed="81"/>
            <rFont val="Tahoma"/>
            <family val="2"/>
          </rPr>
          <t>The user may manually adjust the scaling of the plotted pile group by adjusting the "X" and "Y" plot scale factors below.  The object is to try to equalize the maximum X-axis and Y-axis values which are shown.</t>
        </r>
      </text>
      <mc:AlternateContent xmlns:mc="http://schemas.openxmlformats.org/markup-compatibility/2006">
        <mc:Choice Requires="v"/>
        <mc:Fallback>
          <commentPr defaultSize="0" autoFill="0" autoLine="0">
            <anchor>
              <from>
                <xdr:col>61</xdr:col>
                <xdr:colOff>220980</xdr:colOff>
                <xdr:row>0</xdr:row>
                <xdr:rowOff>167640</xdr:rowOff>
              </from>
              <to>
                <xdr:col>64</xdr:col>
                <xdr:colOff>426720</xdr:colOff>
                <xdr:row>6</xdr:row>
                <xdr:rowOff>7620</xdr:rowOff>
              </to>
            </anchor>
          </commentPr>
        </mc:Fallback>
      </mc:AlternateContent>
    </comment>
    <comment ref="C9" authorId="2" shapeId="88096">
      <text>
        <r>
          <rPr>
            <b/>
            <sz val="8"/>
            <color indexed="81"/>
            <rFont val="Tahoma"/>
            <family val="2"/>
          </rPr>
          <t>The minimum number of piles = 2.
The maximum number of piles = 400.</t>
        </r>
      </text>
      <mc:AlternateContent xmlns:mc="http://schemas.openxmlformats.org/markup-compatibility/2006">
        <mc:Choice Requires="v"/>
        <mc:Fallback>
          <commentPr defaultSize="0" autoFill="0" autoLine="0">
            <anchor>
              <from>
                <xdr:col>3</xdr:col>
                <xdr:colOff>7620</xdr:colOff>
                <xdr:row>7</xdr:row>
                <xdr:rowOff>68580</xdr:rowOff>
              </from>
              <to>
                <xdr:col>6</xdr:col>
                <xdr:colOff>129540</xdr:colOff>
                <xdr:row>9</xdr:row>
                <xdr:rowOff>76200</xdr:rowOff>
              </to>
            </anchor>
          </commentPr>
        </mc:Fallback>
      </mc:AlternateContent>
    </comment>
    <comment ref="C11" authorId="2" shapeId="88074">
      <text>
        <r>
          <rPr>
            <sz val="8"/>
            <color indexed="81"/>
            <rFont val="Tahoma"/>
            <family val="2"/>
          </rPr>
          <t xml:space="preserve">All piles must be located in the positive 1st quadrant.  That is, all pile Xo, Yo coordinate values must be &gt;= 0.
</t>
        </r>
        <r>
          <rPr>
            <b/>
            <sz val="8"/>
            <color indexed="81"/>
            <rFont val="Tahoma"/>
            <family val="2"/>
          </rPr>
          <t>Note: The user should make sure to either clear the contents of all cells that are not used for input of pile coordinates, or those cell values should be input = 0.</t>
        </r>
      </text>
      <mc:AlternateContent xmlns:mc="http://schemas.openxmlformats.org/markup-compatibility/2006">
        <mc:Choice Requires="v"/>
        <mc:Fallback>
          <commentPr defaultSize="0" autoFill="0" autoLine="0">
            <anchor>
              <from>
                <xdr:col>2</xdr:col>
                <xdr:colOff>594360</xdr:colOff>
                <xdr:row>9</xdr:row>
                <xdr:rowOff>76200</xdr:rowOff>
              </from>
              <to>
                <xdr:col>6</xdr:col>
                <xdr:colOff>525780</xdr:colOff>
                <xdr:row>14</xdr:row>
                <xdr:rowOff>99060</xdr:rowOff>
              </to>
            </anchor>
          </commentPr>
        </mc:Fallback>
      </mc:AlternateContent>
    </comment>
    <comment ref="B12" authorId="2" shapeId="88075">
      <text>
        <r>
          <rPr>
            <sz val="8"/>
            <color indexed="81"/>
            <rFont val="Tahoma"/>
            <family val="2"/>
          </rPr>
          <t>The 'Xo' coordinate is the x-distance from the origin axis to a particular pile.</t>
        </r>
      </text>
      <mc:AlternateContent xmlns:mc="http://schemas.openxmlformats.org/markup-compatibility/2006">
        <mc:Choice Requires="v"/>
        <mc:Fallback>
          <commentPr defaultSize="0" autoFill="0" autoLine="0">
            <anchor>
              <from>
                <xdr:col>1</xdr:col>
                <xdr:colOff>838200</xdr:colOff>
                <xdr:row>10</xdr:row>
                <xdr:rowOff>76200</xdr:rowOff>
              </from>
              <to>
                <xdr:col>4</xdr:col>
                <xdr:colOff>716280</xdr:colOff>
                <xdr:row>12</xdr:row>
                <xdr:rowOff>45720</xdr:rowOff>
              </to>
            </anchor>
          </commentPr>
        </mc:Fallback>
      </mc:AlternateContent>
    </comment>
    <comment ref="C12" authorId="2" shapeId="88076">
      <text>
        <r>
          <rPr>
            <sz val="8"/>
            <color indexed="81"/>
            <rFont val="Tahoma"/>
            <family val="2"/>
          </rPr>
          <t>The 'Yo' coordinate is the y-distance from the origin axis to a particular pile.</t>
        </r>
      </text>
      <mc:AlternateContent xmlns:mc="http://schemas.openxmlformats.org/markup-compatibility/2006">
        <mc:Choice Requires="v"/>
        <mc:Fallback>
          <commentPr defaultSize="0" autoFill="0" autoLine="0">
            <anchor>
              <from>
                <xdr:col>2</xdr:col>
                <xdr:colOff>594360</xdr:colOff>
                <xdr:row>10</xdr:row>
                <xdr:rowOff>76200</xdr:rowOff>
              </from>
              <to>
                <xdr:col>5</xdr:col>
                <xdr:colOff>457200</xdr:colOff>
                <xdr:row>12</xdr:row>
                <xdr:rowOff>45720</xdr:rowOff>
              </to>
            </anchor>
          </commentPr>
        </mc:Fallback>
      </mc:AlternateContent>
    </comment>
    <comment ref="M65" authorId="2" shapeId="88177">
      <text>
        <r>
          <rPr>
            <sz val="8"/>
            <color indexed="81"/>
            <rFont val="Tahoma"/>
            <family val="2"/>
          </rPr>
          <t xml:space="preserve">All piers must be located in the positive 1st quadrant.  That is, all pier X, Y coordinate values must be &gt;= 0.
</t>
        </r>
        <r>
          <rPr>
            <b/>
            <sz val="8"/>
            <color indexed="81"/>
            <rFont val="Tahoma"/>
            <family val="2"/>
          </rPr>
          <t>Note: The user should make sure to either clear the contents of all cells that are not used for input of pier coordinates, or those cell values should be input = 0.</t>
        </r>
      </text>
      <mc:AlternateContent xmlns:mc="http://schemas.openxmlformats.org/markup-compatibility/2006">
        <mc:Choice Requires="v"/>
        <mc:Fallback>
          <commentPr defaultSize="0" autoFill="0" autoLine="0">
            <anchor>
              <from>
                <xdr:col>13</xdr:col>
                <xdr:colOff>144780</xdr:colOff>
                <xdr:row>63</xdr:row>
                <xdr:rowOff>76200</xdr:rowOff>
              </from>
              <to>
                <xdr:col>18</xdr:col>
                <xdr:colOff>449580</xdr:colOff>
                <xdr:row>67</xdr:row>
                <xdr:rowOff>160020</xdr:rowOff>
              </to>
            </anchor>
          </commentPr>
        </mc:Fallback>
      </mc:AlternateContent>
    </comment>
    <comment ref="A67" authorId="2" shapeId="88078">
      <text>
        <r>
          <rPr>
            <sz val="8"/>
            <color indexed="81"/>
            <rFont val="Tahoma"/>
            <family val="2"/>
          </rPr>
          <t>The 'X' coordinate is the x-distance from the origin axis to a particular pier/loading.</t>
        </r>
      </text>
      <mc:AlternateContent xmlns:mc="http://schemas.openxmlformats.org/markup-compatibility/2006">
        <mc:Choice Requires="v"/>
        <mc:Fallback>
          <commentPr defaultSize="0" autoFill="0" autoLine="0">
            <anchor>
              <from>
                <xdr:col>1</xdr:col>
                <xdr:colOff>106680</xdr:colOff>
                <xdr:row>65</xdr:row>
                <xdr:rowOff>76200</xdr:rowOff>
              </from>
              <to>
                <xdr:col>4</xdr:col>
                <xdr:colOff>152400</xdr:colOff>
                <xdr:row>67</xdr:row>
                <xdr:rowOff>91440</xdr:rowOff>
              </to>
            </anchor>
          </commentPr>
        </mc:Fallback>
      </mc:AlternateContent>
    </comment>
    <comment ref="A68" authorId="2" shapeId="88079">
      <text>
        <r>
          <rPr>
            <sz val="8"/>
            <color indexed="81"/>
            <rFont val="Tahoma"/>
            <family val="2"/>
          </rPr>
          <t>The 'Y' coordinate is the y-distance from the origin axis to a particular pier/loading.</t>
        </r>
      </text>
      <mc:AlternateContent xmlns:mc="http://schemas.openxmlformats.org/markup-compatibility/2006">
        <mc:Choice Requires="v"/>
        <mc:Fallback>
          <commentPr defaultSize="0" autoFill="0" autoLine="0">
            <anchor>
              <from>
                <xdr:col>1</xdr:col>
                <xdr:colOff>106680</xdr:colOff>
                <xdr:row>66</xdr:row>
                <xdr:rowOff>76200</xdr:rowOff>
              </from>
              <to>
                <xdr:col>4</xdr:col>
                <xdr:colOff>137160</xdr:colOff>
                <xdr:row>68</xdr:row>
                <xdr:rowOff>91440</xdr:rowOff>
              </to>
            </anchor>
          </commentPr>
        </mc:Fallback>
      </mc:AlternateContent>
    </comment>
    <comment ref="A69" authorId="2" shapeId="88080">
      <text>
        <r>
          <rPr>
            <sz val="8"/>
            <color indexed="81"/>
            <rFont val="Tahoma"/>
            <family val="2"/>
          </rPr>
          <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t>
        </r>
      </text>
      <mc:AlternateContent xmlns:mc="http://schemas.openxmlformats.org/markup-compatibility/2006">
        <mc:Choice Requires="v"/>
        <mc:Fallback>
          <commentPr defaultSize="0" autoFill="0" autoLine="0">
            <anchor>
              <from>
                <xdr:col>1</xdr:col>
                <xdr:colOff>106680</xdr:colOff>
                <xdr:row>67</xdr:row>
                <xdr:rowOff>76200</xdr:rowOff>
              </from>
              <to>
                <xdr:col>5</xdr:col>
                <xdr:colOff>91440</xdr:colOff>
                <xdr:row>73</xdr:row>
                <xdr:rowOff>76200</xdr:rowOff>
              </to>
            </anchor>
          </commentPr>
        </mc:Fallback>
      </mc:AlternateContent>
    </comment>
    <comment ref="A70" authorId="2" shapeId="88083">
      <text>
        <r>
          <rPr>
            <sz val="8"/>
            <color indexed="81"/>
            <rFont val="Tahoma"/>
            <family val="2"/>
          </rPr>
          <t>'Pz' is the vertical (Z-axis) load to be applied at the pier location.
Sign convention: + = upward (out of page)
                                   -  = downward (into page) for gravity loads</t>
        </r>
      </text>
      <mc:AlternateContent xmlns:mc="http://schemas.openxmlformats.org/markup-compatibility/2006">
        <mc:Choice Requires="v"/>
        <mc:Fallback>
          <commentPr defaultSize="0" autoFill="0" autoLine="0">
            <anchor>
              <from>
                <xdr:col>1</xdr:col>
                <xdr:colOff>106680</xdr:colOff>
                <xdr:row>68</xdr:row>
                <xdr:rowOff>76200</xdr:rowOff>
              </from>
              <to>
                <xdr:col>5</xdr:col>
                <xdr:colOff>419100</xdr:colOff>
                <xdr:row>71</xdr:row>
                <xdr:rowOff>38100</xdr:rowOff>
              </to>
            </anchor>
          </commentPr>
        </mc:Fallback>
      </mc:AlternateContent>
    </comment>
    <comment ref="A71" authorId="2" shapeId="88081">
      <text>
        <r>
          <rPr>
            <sz val="8"/>
            <color indexed="81"/>
            <rFont val="Tahoma"/>
            <family val="2"/>
          </rPr>
          <t>'Hx' is the horizontal (X-axis) load to be applied at the pier location.
Sign convention: + = to right</t>
        </r>
      </text>
      <mc:AlternateContent xmlns:mc="http://schemas.openxmlformats.org/markup-compatibility/2006">
        <mc:Choice Requires="v"/>
        <mc:Fallback>
          <commentPr defaultSize="0" autoFill="0" autoLine="0">
            <anchor>
              <from>
                <xdr:col>1</xdr:col>
                <xdr:colOff>106680</xdr:colOff>
                <xdr:row>69</xdr:row>
                <xdr:rowOff>76200</xdr:rowOff>
              </from>
              <to>
                <xdr:col>5</xdr:col>
                <xdr:colOff>541020</xdr:colOff>
                <xdr:row>71</xdr:row>
                <xdr:rowOff>76200</xdr:rowOff>
              </to>
            </anchor>
          </commentPr>
        </mc:Fallback>
      </mc:AlternateContent>
    </comment>
    <comment ref="A72" authorId="2" shapeId="88082">
      <text>
        <r>
          <rPr>
            <sz val="8"/>
            <color indexed="81"/>
            <rFont val="Tahoma"/>
            <family val="2"/>
          </rPr>
          <t>'Hy' is the horizontal (Y-axis) load to be applied at the pier location.
Sign convention: + = up the page</t>
        </r>
      </text>
      <mc:AlternateContent xmlns:mc="http://schemas.openxmlformats.org/markup-compatibility/2006">
        <mc:Choice Requires="v"/>
        <mc:Fallback>
          <commentPr defaultSize="0" autoFill="0" autoLine="0">
            <anchor>
              <from>
                <xdr:col>1</xdr:col>
                <xdr:colOff>106680</xdr:colOff>
                <xdr:row>70</xdr:row>
                <xdr:rowOff>76200</xdr:rowOff>
              </from>
              <to>
                <xdr:col>5</xdr:col>
                <xdr:colOff>556260</xdr:colOff>
                <xdr:row>72</xdr:row>
                <xdr:rowOff>91440</xdr:rowOff>
              </to>
            </anchor>
          </commentPr>
        </mc:Fallback>
      </mc:AlternateContent>
    </comment>
    <comment ref="A73" authorId="2" shapeId="88084">
      <text>
        <r>
          <rPr>
            <sz val="8"/>
            <color indexed="81"/>
            <rFont val="Tahoma"/>
            <family val="2"/>
          </rPr>
          <t>'Mx' is the X-axis moment to be applied at the pier location.
Sign convention: + = by "Right-Hand-Rule" about +X-axis</t>
        </r>
      </text>
      <mc:AlternateContent xmlns:mc="http://schemas.openxmlformats.org/markup-compatibility/2006">
        <mc:Choice Requires="v"/>
        <mc:Fallback>
          <commentPr defaultSize="0" autoFill="0" autoLine="0">
            <anchor>
              <from>
                <xdr:col>1</xdr:col>
                <xdr:colOff>106680</xdr:colOff>
                <xdr:row>71</xdr:row>
                <xdr:rowOff>76200</xdr:rowOff>
              </from>
              <to>
                <xdr:col>5</xdr:col>
                <xdr:colOff>182880</xdr:colOff>
                <xdr:row>73</xdr:row>
                <xdr:rowOff>91440</xdr:rowOff>
              </to>
            </anchor>
          </commentPr>
        </mc:Fallback>
      </mc:AlternateContent>
    </comment>
    <comment ref="A74" authorId="2" shapeId="88085">
      <text>
        <r>
          <rPr>
            <sz val="8"/>
            <color indexed="81"/>
            <rFont val="Tahoma"/>
            <family val="2"/>
          </rPr>
          <t>'My' is the Y-axis moment to be applied at the pier location.
Sign convention: + = by "Right-Hand-Rule" about +Y-axis</t>
        </r>
      </text>
      <mc:AlternateContent xmlns:mc="http://schemas.openxmlformats.org/markup-compatibility/2006">
        <mc:Choice Requires="v"/>
        <mc:Fallback>
          <commentPr defaultSize="0" autoFill="0" autoLine="0">
            <anchor>
              <from>
                <xdr:col>1</xdr:col>
                <xdr:colOff>106680</xdr:colOff>
                <xdr:row>72</xdr:row>
                <xdr:rowOff>76200</xdr:rowOff>
              </from>
              <to>
                <xdr:col>5</xdr:col>
                <xdr:colOff>160020</xdr:colOff>
                <xdr:row>74</xdr:row>
                <xdr:rowOff>91440</xdr:rowOff>
              </to>
            </anchor>
          </commentPr>
        </mc:Fallback>
      </mc:AlternateContent>
    </comment>
    <comment ref="A75" authorId="2" shapeId="88086">
      <text>
        <r>
          <rPr>
            <sz val="8"/>
            <color indexed="81"/>
            <rFont val="Tahoma"/>
            <family val="2"/>
          </rPr>
          <t>'Mz' is the Z-axis moment to be applied at the pier location.
Sign convention: + = by "Right-Hand-Rule" about +Z-axis</t>
        </r>
      </text>
      <mc:AlternateContent xmlns:mc="http://schemas.openxmlformats.org/markup-compatibility/2006">
        <mc:Choice Requires="v"/>
        <mc:Fallback>
          <commentPr defaultSize="0" autoFill="0" autoLine="0">
            <anchor>
              <from>
                <xdr:col>1</xdr:col>
                <xdr:colOff>106680</xdr:colOff>
                <xdr:row>73</xdr:row>
                <xdr:rowOff>76200</xdr:rowOff>
              </from>
              <to>
                <xdr:col>5</xdr:col>
                <xdr:colOff>175260</xdr:colOff>
                <xdr:row>75</xdr:row>
                <xdr:rowOff>99060</xdr:rowOff>
              </to>
            </anchor>
          </commentPr>
        </mc:Fallback>
      </mc:AlternateContent>
    </comment>
    <comment ref="BI84" authorId="2" shapeId="88097">
      <text>
        <r>
          <rPr>
            <b/>
            <sz val="8"/>
            <color indexed="81"/>
            <rFont val="Tahoma"/>
            <family val="2"/>
          </rPr>
          <t>The minimum number of piles = 3.
The maximum number of piles = 300.</t>
        </r>
      </text>
      <mc:AlternateContent xmlns:mc="http://schemas.openxmlformats.org/markup-compatibility/2006">
        <mc:Choice Requires="v"/>
        <mc:Fallback>
          <commentPr defaultSize="0" autoFill="0" autoLine="0">
            <anchor>
              <from>
                <xdr:col>64</xdr:col>
                <xdr:colOff>342900</xdr:colOff>
                <xdr:row>82</xdr:row>
                <xdr:rowOff>76200</xdr:rowOff>
              </from>
              <to>
                <xdr:col>68</xdr:col>
                <xdr:colOff>236220</xdr:colOff>
                <xdr:row>84</xdr:row>
                <xdr:rowOff>76200</xdr:rowOff>
              </to>
            </anchor>
          </commentPr>
        </mc:Fallback>
      </mc:AlternateContent>
    </comment>
    <comment ref="B160" authorId="3" shapeId="88071">
      <text>
        <r>
          <rPr>
            <sz val="8"/>
            <color indexed="81"/>
            <rFont val="Tahoma"/>
            <family val="2"/>
          </rPr>
          <t xml:space="preserve">The location of the centroidal Y-axis from the origin Y-axis is calculated as follows:
   Xc = </t>
        </r>
        <r>
          <rPr>
            <sz val="8"/>
            <color indexed="81"/>
            <rFont val="Symbol"/>
            <family val="1"/>
            <charset val="2"/>
          </rPr>
          <t>S</t>
        </r>
        <r>
          <rPr>
            <sz val="8"/>
            <color indexed="81"/>
            <rFont val="Tahoma"/>
            <family val="2"/>
          </rPr>
          <t xml:space="preserve"> (Xo)/Np
where:
   Np = total number of piles in group</t>
        </r>
      </text>
      <mc:AlternateContent xmlns:mc="http://schemas.openxmlformats.org/markup-compatibility/2006">
        <mc:Choice Requires="v"/>
        <mc:Fallback>
          <commentPr defaultSize="0" autoFill="0" autoLine="0">
            <anchor>
              <from>
                <xdr:col>1</xdr:col>
                <xdr:colOff>838200</xdr:colOff>
                <xdr:row>158</xdr:row>
                <xdr:rowOff>76200</xdr:rowOff>
              </from>
              <to>
                <xdr:col>5</xdr:col>
                <xdr:colOff>60960</xdr:colOff>
                <xdr:row>163</xdr:row>
                <xdr:rowOff>0</xdr:rowOff>
              </to>
            </anchor>
          </commentPr>
        </mc:Fallback>
      </mc:AlternateContent>
    </comment>
    <comment ref="E160" authorId="2" shapeId="88068">
      <text>
        <r>
          <rPr>
            <sz val="8"/>
            <color indexed="81"/>
            <rFont val="Symbol"/>
            <family val="1"/>
            <charset val="2"/>
          </rPr>
          <t xml:space="preserve">S </t>
        </r>
        <r>
          <rPr>
            <sz val="8"/>
            <color indexed="81"/>
            <rFont val="Tahoma"/>
            <family val="2"/>
          </rPr>
          <t xml:space="preserve"> Pz = sum of all applied vertical (Z-axis) loads translated to the centroid of the pile group.
Sign convention: positive in +Z-axis direction</t>
        </r>
      </text>
      <mc:AlternateContent xmlns:mc="http://schemas.openxmlformats.org/markup-compatibility/2006">
        <mc:Choice Requires="v"/>
        <mc:Fallback>
          <commentPr defaultSize="0" autoFill="0" autoLine="0">
            <anchor>
              <from>
                <xdr:col>4</xdr:col>
                <xdr:colOff>487680</xdr:colOff>
                <xdr:row>158</xdr:row>
                <xdr:rowOff>76200</xdr:rowOff>
              </from>
              <to>
                <xdr:col>8</xdr:col>
                <xdr:colOff>45720</xdr:colOff>
                <xdr:row>161</xdr:row>
                <xdr:rowOff>76200</xdr:rowOff>
              </to>
            </anchor>
          </commentPr>
        </mc:Fallback>
      </mc:AlternateContent>
    </comment>
    <comment ref="B161" authorId="3" shapeId="88072">
      <text>
        <r>
          <rPr>
            <sz val="8"/>
            <color indexed="81"/>
            <rFont val="Tahoma"/>
            <family val="2"/>
          </rPr>
          <t xml:space="preserve">The location of the centroidal X-axis from the origin X-axis is calculated as follows:
   Yc = </t>
        </r>
        <r>
          <rPr>
            <sz val="8"/>
            <color indexed="81"/>
            <rFont val="Symbol"/>
            <family val="1"/>
            <charset val="2"/>
          </rPr>
          <t>S</t>
        </r>
        <r>
          <rPr>
            <sz val="8"/>
            <color indexed="81"/>
            <rFont val="Tahoma"/>
            <family val="2"/>
          </rPr>
          <t xml:space="preserve"> (Yo)/Np
where:
   Np = total number of piles in group</t>
        </r>
      </text>
      <mc:AlternateContent xmlns:mc="http://schemas.openxmlformats.org/markup-compatibility/2006">
        <mc:Choice Requires="v"/>
        <mc:Fallback>
          <commentPr defaultSize="0" autoFill="0" autoLine="0">
            <anchor>
              <from>
                <xdr:col>1</xdr:col>
                <xdr:colOff>838200</xdr:colOff>
                <xdr:row>159</xdr:row>
                <xdr:rowOff>76200</xdr:rowOff>
              </from>
              <to>
                <xdr:col>5</xdr:col>
                <xdr:colOff>60960</xdr:colOff>
                <xdr:row>164</xdr:row>
                <xdr:rowOff>30480</xdr:rowOff>
              </to>
            </anchor>
          </commentPr>
        </mc:Fallback>
      </mc:AlternateContent>
    </comment>
    <comment ref="E161" authorId="2" shapeId="88069">
      <text>
        <r>
          <rPr>
            <sz val="8"/>
            <color indexed="81"/>
            <rFont val="Symbol"/>
            <family val="1"/>
            <charset val="2"/>
          </rPr>
          <t xml:space="preserve">S </t>
        </r>
        <r>
          <rPr>
            <sz val="8"/>
            <color indexed="81"/>
            <rFont val="Tahoma"/>
            <family val="2"/>
          </rPr>
          <t xml:space="preserve"> Hx = sum of all applied horizontal (X-axis) loads translated to the centroid of the pile group.
Sign convention: positive in +X-axis direction</t>
        </r>
      </text>
      <mc:AlternateContent xmlns:mc="http://schemas.openxmlformats.org/markup-compatibility/2006">
        <mc:Choice Requires="v"/>
        <mc:Fallback>
          <commentPr defaultSize="0" autoFill="0" autoLine="0">
            <anchor>
              <from>
                <xdr:col>4</xdr:col>
                <xdr:colOff>487680</xdr:colOff>
                <xdr:row>159</xdr:row>
                <xdr:rowOff>76200</xdr:rowOff>
              </from>
              <to>
                <xdr:col>8</xdr:col>
                <xdr:colOff>144780</xdr:colOff>
                <xdr:row>162</xdr:row>
                <xdr:rowOff>30480</xdr:rowOff>
              </to>
            </anchor>
          </commentPr>
        </mc:Fallback>
      </mc:AlternateContent>
    </comment>
    <comment ref="B162" authorId="3" shapeId="88165">
      <text>
        <r>
          <rPr>
            <sz val="8"/>
            <color indexed="81"/>
            <rFont val="Tahoma"/>
            <family val="2"/>
          </rPr>
          <t>The X-axis Moment of Inertia, 'Ix',  for the pile group is calculated as follows:
   Ix = Ap*</t>
        </r>
        <r>
          <rPr>
            <sz val="8"/>
            <color indexed="81"/>
            <rFont val="Symbol"/>
            <family val="1"/>
            <charset val="2"/>
          </rPr>
          <t>S</t>
        </r>
        <r>
          <rPr>
            <sz val="8"/>
            <color indexed="81"/>
            <rFont val="Tahoma"/>
            <family val="2"/>
          </rPr>
          <t xml:space="preserve"> (dy)^2
where:
   Ap = Area of pile assumed = unity (1) 
   dy = y-distance of each pile from
               centroidal X-axis </t>
        </r>
      </text>
      <mc:AlternateContent xmlns:mc="http://schemas.openxmlformats.org/markup-compatibility/2006">
        <mc:Choice Requires="v"/>
        <mc:Fallback>
          <commentPr defaultSize="0" autoFill="0" autoLine="0">
            <anchor>
              <from>
                <xdr:col>2</xdr:col>
                <xdr:colOff>7620</xdr:colOff>
                <xdr:row>160</xdr:row>
                <xdr:rowOff>76200</xdr:rowOff>
              </from>
              <to>
                <xdr:col>4</xdr:col>
                <xdr:colOff>716280</xdr:colOff>
                <xdr:row>166</xdr:row>
                <xdr:rowOff>99060</xdr:rowOff>
              </to>
            </anchor>
          </commentPr>
        </mc:Fallback>
      </mc:AlternateContent>
    </comment>
    <comment ref="E162" authorId="2" shapeId="88070">
      <text>
        <r>
          <rPr>
            <sz val="8"/>
            <color indexed="81"/>
            <rFont val="Symbol"/>
            <family val="1"/>
            <charset val="2"/>
          </rPr>
          <t xml:space="preserve">S </t>
        </r>
        <r>
          <rPr>
            <sz val="8"/>
            <color indexed="81"/>
            <rFont val="Tahoma"/>
            <family val="2"/>
          </rPr>
          <t xml:space="preserve"> Hy = sum of all applied horizontal (Y-axis) loads translated to the centroid of the pile group.
Sign convention: positive in +Y-axis direction</t>
        </r>
      </text>
      <mc:AlternateContent xmlns:mc="http://schemas.openxmlformats.org/markup-compatibility/2006">
        <mc:Choice Requires="v"/>
        <mc:Fallback>
          <commentPr defaultSize="0" autoFill="0" autoLine="0">
            <anchor>
              <from>
                <xdr:col>4</xdr:col>
                <xdr:colOff>487680</xdr:colOff>
                <xdr:row>160</xdr:row>
                <xdr:rowOff>76200</xdr:rowOff>
              </from>
              <to>
                <xdr:col>8</xdr:col>
                <xdr:colOff>144780</xdr:colOff>
                <xdr:row>163</xdr:row>
                <xdr:rowOff>76200</xdr:rowOff>
              </to>
            </anchor>
          </commentPr>
        </mc:Fallback>
      </mc:AlternateContent>
    </comment>
    <comment ref="B163" authorId="3" shapeId="88166">
      <text>
        <r>
          <rPr>
            <sz val="8"/>
            <color indexed="81"/>
            <rFont val="Tahoma"/>
            <family val="2"/>
          </rPr>
          <t>The Y-axis Moment of Inertia, 'Iy',  for the pile group is calculated as follows:
   Iy = Ap*</t>
        </r>
        <r>
          <rPr>
            <sz val="8"/>
            <color indexed="81"/>
            <rFont val="Symbol"/>
            <family val="1"/>
            <charset val="2"/>
          </rPr>
          <t>S</t>
        </r>
        <r>
          <rPr>
            <sz val="8"/>
            <color indexed="81"/>
            <rFont val="Tahoma"/>
            <family val="2"/>
          </rPr>
          <t xml:space="preserve"> (dx)^2
where:
   Ap = Area of pile assumed = unity (1)  
   dx = x-distance of each pile from
               centroidal Y-axis </t>
        </r>
      </text>
      <mc:AlternateContent xmlns:mc="http://schemas.openxmlformats.org/markup-compatibility/2006">
        <mc:Choice Requires="v"/>
        <mc:Fallback>
          <commentPr defaultSize="0" autoFill="0" autoLine="0">
            <anchor>
              <from>
                <xdr:col>2</xdr:col>
                <xdr:colOff>7620</xdr:colOff>
                <xdr:row>161</xdr:row>
                <xdr:rowOff>76200</xdr:rowOff>
              </from>
              <to>
                <xdr:col>4</xdr:col>
                <xdr:colOff>716280</xdr:colOff>
                <xdr:row>167</xdr:row>
                <xdr:rowOff>76200</xdr:rowOff>
              </to>
            </anchor>
          </commentPr>
        </mc:Fallback>
      </mc:AlternateContent>
    </comment>
    <comment ref="E163" authorId="2" shapeId="88087">
      <text>
        <r>
          <rPr>
            <sz val="8"/>
            <color indexed="81"/>
            <rFont val="Symbol"/>
            <family val="1"/>
            <charset val="2"/>
          </rPr>
          <t xml:space="preserve">S </t>
        </r>
        <r>
          <rPr>
            <sz val="8"/>
            <color indexed="81"/>
            <rFont val="Tahoma"/>
            <family val="2"/>
          </rPr>
          <t xml:space="preserve"> Mx = sum of all applied X-axis moments calculated at the top of the piles and  translated to the centroid of the pile group.
Sign convention: positive by "Right-Hand-Rule" about +X-axis</t>
        </r>
      </text>
      <mc:AlternateContent xmlns:mc="http://schemas.openxmlformats.org/markup-compatibility/2006">
        <mc:Choice Requires="v"/>
        <mc:Fallback>
          <commentPr defaultSize="0" autoFill="0" autoLine="0">
            <anchor>
              <from>
                <xdr:col>4</xdr:col>
                <xdr:colOff>487680</xdr:colOff>
                <xdr:row>161</xdr:row>
                <xdr:rowOff>76200</xdr:rowOff>
              </from>
              <to>
                <xdr:col>9</xdr:col>
                <xdr:colOff>144780</xdr:colOff>
                <xdr:row>164</xdr:row>
                <xdr:rowOff>45720</xdr:rowOff>
              </to>
            </anchor>
          </commentPr>
        </mc:Fallback>
      </mc:AlternateContent>
    </comment>
    <comment ref="B164" authorId="3" shapeId="88167">
      <text>
        <r>
          <rPr>
            <sz val="8"/>
            <color indexed="81"/>
            <rFont val="Tahoma"/>
            <family val="2"/>
          </rPr>
          <t>The Polar Moment of Inertia for the pile group is calculated as follows:
   J = Ix+Iy</t>
        </r>
      </text>
      <mc:AlternateContent xmlns:mc="http://schemas.openxmlformats.org/markup-compatibility/2006">
        <mc:Choice Requires="v"/>
        <mc:Fallback>
          <commentPr defaultSize="0" autoFill="0" autoLine="0">
            <anchor>
              <from>
                <xdr:col>2</xdr:col>
                <xdr:colOff>7620</xdr:colOff>
                <xdr:row>162</xdr:row>
                <xdr:rowOff>76200</xdr:rowOff>
              </from>
              <to>
                <xdr:col>4</xdr:col>
                <xdr:colOff>716280</xdr:colOff>
                <xdr:row>165</xdr:row>
                <xdr:rowOff>30480</xdr:rowOff>
              </to>
            </anchor>
          </commentPr>
        </mc:Fallback>
      </mc:AlternateContent>
    </comment>
    <comment ref="E164" authorId="2" shapeId="88088">
      <text>
        <r>
          <rPr>
            <sz val="8"/>
            <color indexed="81"/>
            <rFont val="Symbol"/>
            <family val="1"/>
            <charset val="2"/>
          </rPr>
          <t xml:space="preserve">S </t>
        </r>
        <r>
          <rPr>
            <sz val="8"/>
            <color indexed="81"/>
            <rFont val="Tahoma"/>
            <family val="2"/>
          </rPr>
          <t xml:space="preserve"> My = sum of all applied Y-axis moments calculated at the top of the piles and  translated to the centroid of the pile group.
Sign convention: positive by "Right-Hand-Rule" about +Y-axis</t>
        </r>
      </text>
      <mc:AlternateContent xmlns:mc="http://schemas.openxmlformats.org/markup-compatibility/2006">
        <mc:Choice Requires="v"/>
        <mc:Fallback>
          <commentPr defaultSize="0" autoFill="0" autoLine="0">
            <anchor>
              <from>
                <xdr:col>4</xdr:col>
                <xdr:colOff>487680</xdr:colOff>
                <xdr:row>162</xdr:row>
                <xdr:rowOff>76200</xdr:rowOff>
              </from>
              <to>
                <xdr:col>9</xdr:col>
                <xdr:colOff>205740</xdr:colOff>
                <xdr:row>165</xdr:row>
                <xdr:rowOff>76200</xdr:rowOff>
              </to>
            </anchor>
          </commentPr>
        </mc:Fallback>
      </mc:AlternateContent>
    </comment>
    <comment ref="B165" authorId="3" shapeId="88168">
      <text>
        <r>
          <rPr>
            <sz val="8"/>
            <color indexed="81"/>
            <rFont val="Tahoma"/>
            <family val="2"/>
          </rPr>
          <t>The Product Moment of Inertia, 'Ixy', for the pile group is calculated as follows:
   Ixy = Ap*</t>
        </r>
        <r>
          <rPr>
            <sz val="8"/>
            <color indexed="81"/>
            <rFont val="Symbol"/>
            <family val="1"/>
            <charset val="2"/>
          </rPr>
          <t>S</t>
        </r>
        <r>
          <rPr>
            <sz val="8"/>
            <color indexed="81"/>
            <rFont val="Tahoma"/>
            <family val="2"/>
          </rPr>
          <t xml:space="preserve"> (dx*dy)
where:
   Ap = Area of pile assumed = unity (1) 
   dx = x-distance of each pile from
               centroidal Y-axis
   dy = y-distance of each pile from
               centroidal X-axis
Note:  'Ixy' = 0  for a pile group with at
           least one axis of symmetry.</t>
        </r>
      </text>
      <mc:AlternateContent xmlns:mc="http://schemas.openxmlformats.org/markup-compatibility/2006">
        <mc:Choice Requires="v"/>
        <mc:Fallback>
          <commentPr defaultSize="0" autoFill="0" autoLine="0">
            <anchor>
              <from>
                <xdr:col>2</xdr:col>
                <xdr:colOff>7620</xdr:colOff>
                <xdr:row>163</xdr:row>
                <xdr:rowOff>76200</xdr:rowOff>
              </from>
              <to>
                <xdr:col>4</xdr:col>
                <xdr:colOff>762000</xdr:colOff>
                <xdr:row>173</xdr:row>
                <xdr:rowOff>76200</xdr:rowOff>
              </to>
            </anchor>
          </commentPr>
        </mc:Fallback>
      </mc:AlternateContent>
    </comment>
    <comment ref="E165" authorId="2" shapeId="88089">
      <text>
        <r>
          <rPr>
            <sz val="8"/>
            <color indexed="81"/>
            <rFont val="Symbol"/>
            <family val="1"/>
            <charset val="2"/>
          </rPr>
          <t xml:space="preserve">S </t>
        </r>
        <r>
          <rPr>
            <sz val="8"/>
            <color indexed="81"/>
            <rFont val="Tahoma"/>
            <family val="2"/>
          </rPr>
          <t xml:space="preserve"> Mz = sum of all applied Z-axis moments translated to the centroid of the pile group.
Sign convention: positive by "Right-Hand-Rule" about +Z-axis</t>
        </r>
      </text>
      <mc:AlternateContent xmlns:mc="http://schemas.openxmlformats.org/markup-compatibility/2006">
        <mc:Choice Requires="v"/>
        <mc:Fallback>
          <commentPr defaultSize="0" autoFill="0" autoLine="0">
            <anchor>
              <from>
                <xdr:col>4</xdr:col>
                <xdr:colOff>487680</xdr:colOff>
                <xdr:row>163</xdr:row>
                <xdr:rowOff>76200</xdr:rowOff>
              </from>
              <to>
                <xdr:col>9</xdr:col>
                <xdr:colOff>129540</xdr:colOff>
                <xdr:row>166</xdr:row>
                <xdr:rowOff>30480</xdr:rowOff>
              </to>
            </anchor>
          </commentPr>
        </mc:Fallback>
      </mc:AlternateContent>
    </comment>
    <comment ref="B166" authorId="3" shapeId="88073">
      <text>
        <r>
          <rPr>
            <sz val="8"/>
            <color indexed="81"/>
            <rFont val="Tahoma"/>
            <family val="2"/>
          </rPr>
          <t>The orientation of the principal axes, is defined by the rotation angle, '</t>
        </r>
        <r>
          <rPr>
            <sz val="8"/>
            <color indexed="81"/>
            <rFont val="Symbol"/>
            <family val="1"/>
            <charset val="2"/>
          </rPr>
          <t xml:space="preserve">q </t>
        </r>
        <r>
          <rPr>
            <sz val="8"/>
            <color indexed="81"/>
            <rFont val="Tahoma"/>
            <family val="2"/>
          </rPr>
          <t xml:space="preserve">', from the centroidal axes and is calculated as follows:
   </t>
        </r>
        <r>
          <rPr>
            <sz val="8"/>
            <color indexed="81"/>
            <rFont val="Symbol"/>
            <family val="1"/>
            <charset val="2"/>
          </rPr>
          <t>q</t>
        </r>
        <r>
          <rPr>
            <sz val="8"/>
            <color indexed="81"/>
            <rFont val="Tahoma"/>
            <family val="2"/>
          </rPr>
          <t xml:space="preserve"> = (ATAN(-2*Ixy/(Ix-Iy)))/2
Note: sign convention is positive (+) ccw.
           '</t>
        </r>
        <r>
          <rPr>
            <sz val="8"/>
            <color indexed="81"/>
            <rFont val="Symbol"/>
            <family val="1"/>
            <charset val="2"/>
          </rPr>
          <t xml:space="preserve">q </t>
        </r>
        <r>
          <rPr>
            <sz val="8"/>
            <color indexed="81"/>
            <rFont val="Tahoma"/>
            <family val="2"/>
          </rPr>
          <t>' = 0  for a pile group with at least one
          axis of symmetry.</t>
        </r>
      </text>
      <mc:AlternateContent xmlns:mc="http://schemas.openxmlformats.org/markup-compatibility/2006">
        <mc:Choice Requires="v"/>
        <mc:Fallback>
          <commentPr defaultSize="0" autoFill="0" autoLine="0">
            <anchor>
              <from>
                <xdr:col>1</xdr:col>
                <xdr:colOff>838200</xdr:colOff>
                <xdr:row>164</xdr:row>
                <xdr:rowOff>76200</xdr:rowOff>
              </from>
              <to>
                <xdr:col>5</xdr:col>
                <xdr:colOff>274320</xdr:colOff>
                <xdr:row>170</xdr:row>
                <xdr:rowOff>76200</xdr:rowOff>
              </to>
            </anchor>
          </commentPr>
        </mc:Fallback>
      </mc:AlternateContent>
    </comment>
    <comment ref="B170" authorId="3" shapeId="88090">
      <text>
        <r>
          <rPr>
            <sz val="8"/>
            <color indexed="81"/>
            <rFont val="Tahoma"/>
            <family val="2"/>
          </rPr>
          <t>Sign convention for 'Rz(max)' is as follows:
   positive (+) = compression pile reaction
   negative (-) = tension (uplift) pile reaction</t>
        </r>
      </text>
      <mc:AlternateContent xmlns:mc="http://schemas.openxmlformats.org/markup-compatibility/2006">
        <mc:Choice Requires="v"/>
        <mc:Fallback>
          <commentPr defaultSize="0" autoFill="0" autoLine="0">
            <anchor>
              <from>
                <xdr:col>1</xdr:col>
                <xdr:colOff>838200</xdr:colOff>
                <xdr:row>168</xdr:row>
                <xdr:rowOff>76200</xdr:rowOff>
              </from>
              <to>
                <xdr:col>5</xdr:col>
                <xdr:colOff>137160</xdr:colOff>
                <xdr:row>171</xdr:row>
                <xdr:rowOff>76200</xdr:rowOff>
              </to>
            </anchor>
          </commentPr>
        </mc:Fallback>
      </mc:AlternateContent>
    </comment>
    <comment ref="B171" authorId="3" shapeId="88091">
      <text>
        <r>
          <rPr>
            <sz val="8"/>
            <color indexed="81"/>
            <rFont val="Tahoma"/>
            <family val="2"/>
          </rPr>
          <t>Sign convention for 'Rz(min)' is as follows:
   positive (+) = compression pile reaction
   negative (-) = tension (uplift) pile reaction</t>
        </r>
      </text>
      <mc:AlternateContent xmlns:mc="http://schemas.openxmlformats.org/markup-compatibility/2006">
        <mc:Choice Requires="v"/>
        <mc:Fallback>
          <commentPr defaultSize="0" autoFill="0" autoLine="0">
            <anchor>
              <from>
                <xdr:col>1</xdr:col>
                <xdr:colOff>838200</xdr:colOff>
                <xdr:row>169</xdr:row>
                <xdr:rowOff>76200</xdr:rowOff>
              </from>
              <to>
                <xdr:col>5</xdr:col>
                <xdr:colOff>137160</xdr:colOff>
                <xdr:row>172</xdr:row>
                <xdr:rowOff>30480</xdr:rowOff>
              </to>
            </anchor>
          </commentPr>
        </mc:Fallback>
      </mc:AlternateContent>
    </comment>
    <comment ref="B172" authorId="3" shapeId="88092">
      <text>
        <r>
          <rPr>
            <sz val="8"/>
            <color indexed="81"/>
            <rFont val="Tahoma"/>
            <family val="2"/>
          </rPr>
          <t>Note: 'Rh(max)' is an "absolute" value
          with no particular sign convention,
          thus no directional sense.</t>
        </r>
      </text>
      <mc:AlternateContent xmlns:mc="http://schemas.openxmlformats.org/markup-compatibility/2006">
        <mc:Choice Requires="v"/>
        <mc:Fallback>
          <commentPr defaultSize="0" autoFill="0" autoLine="0">
            <anchor>
              <from>
                <xdr:col>1</xdr:col>
                <xdr:colOff>838200</xdr:colOff>
                <xdr:row>170</xdr:row>
                <xdr:rowOff>76200</xdr:rowOff>
              </from>
              <to>
                <xdr:col>4</xdr:col>
                <xdr:colOff>807720</xdr:colOff>
                <xdr:row>173</xdr:row>
                <xdr:rowOff>45720</xdr:rowOff>
              </to>
            </anchor>
          </commentPr>
        </mc:Fallback>
      </mc:AlternateContent>
    </comment>
    <comment ref="B179" authorId="3" shapeId="88066">
      <text>
        <r>
          <rPr>
            <sz val="8"/>
            <color indexed="81"/>
            <rFont val="Tahoma"/>
            <family val="2"/>
          </rPr>
          <t>The Vertical Pile Reaction, 'Rz', at each pile is calculated as follows:
   Rz = (-</t>
        </r>
        <r>
          <rPr>
            <sz val="8"/>
            <color indexed="81"/>
            <rFont val="Symbol"/>
            <family val="1"/>
            <charset val="2"/>
          </rPr>
          <t>S</t>
        </r>
        <r>
          <rPr>
            <sz val="8"/>
            <color indexed="81"/>
            <rFont val="Tahoma"/>
            <family val="2"/>
          </rPr>
          <t xml:space="preserve"> Pz)/Np +</t>
        </r>
        <r>
          <rPr>
            <sz val="8"/>
            <color indexed="81"/>
            <rFont val="Symbol"/>
            <family val="1"/>
            <charset val="2"/>
          </rPr>
          <t xml:space="preserve"> ((S</t>
        </r>
        <r>
          <rPr>
            <sz val="8"/>
            <color indexed="81"/>
            <rFont val="Tahoma"/>
            <family val="2"/>
          </rPr>
          <t xml:space="preserve"> My)*Ix-(-</t>
        </r>
        <r>
          <rPr>
            <sz val="8"/>
            <color indexed="81"/>
            <rFont val="Symbol"/>
            <family val="1"/>
            <charset val="2"/>
          </rPr>
          <t>S</t>
        </r>
        <r>
          <rPr>
            <sz val="8"/>
            <color indexed="81"/>
            <rFont val="Tahoma"/>
            <family val="2"/>
          </rPr>
          <t xml:space="preserve"> Mx)*Ixy)/(Ix*Iy-Ixy^2)*Xp + ((</t>
        </r>
        <r>
          <rPr>
            <sz val="8"/>
            <color indexed="81"/>
            <rFont val="Symbol"/>
            <family val="1"/>
            <charset val="2"/>
          </rPr>
          <t>S</t>
        </r>
        <r>
          <rPr>
            <sz val="8"/>
            <color indexed="81"/>
            <rFont val="Tahoma"/>
            <family val="2"/>
          </rPr>
          <t xml:space="preserve"> Mx)*Iy-(</t>
        </r>
        <r>
          <rPr>
            <sz val="8"/>
            <color indexed="81"/>
            <rFont val="Symbol"/>
            <family val="1"/>
            <charset val="2"/>
          </rPr>
          <t>S</t>
        </r>
        <r>
          <rPr>
            <sz val="8"/>
            <color indexed="81"/>
            <rFont val="Tahoma"/>
            <family val="2"/>
          </rPr>
          <t xml:space="preserve"> My)*Ixy)/(Ix*Iy-Ixy^2)*Yp
where:
   Xp = x-distance of pile from centroidal Y-axis
   Yp = y-distance of pile from centroidal X-axis
Sign convention for 'Rz' is as follows:
   positive (+) = compression pile reaction
   negative (-) = tension (uplift) pile reaction</t>
        </r>
      </text>
      <mc:AlternateContent xmlns:mc="http://schemas.openxmlformats.org/markup-compatibility/2006">
        <mc:Choice Requires="v"/>
        <mc:Fallback>
          <commentPr defaultSize="0" autoFill="0" autoLine="0">
            <anchor>
              <from>
                <xdr:col>1</xdr:col>
                <xdr:colOff>838200</xdr:colOff>
                <xdr:row>177</xdr:row>
                <xdr:rowOff>76200</xdr:rowOff>
              </from>
              <to>
                <xdr:col>8</xdr:col>
                <xdr:colOff>579120</xdr:colOff>
                <xdr:row>184</xdr:row>
                <xdr:rowOff>76200</xdr:rowOff>
              </to>
            </anchor>
          </commentPr>
        </mc:Fallback>
      </mc:AlternateContent>
    </comment>
    <comment ref="C179" authorId="3" shapeId="88067">
      <text>
        <r>
          <rPr>
            <sz val="8"/>
            <color indexed="81"/>
            <rFont val="Tahoma"/>
            <family val="2"/>
          </rPr>
          <t>The Horizontal Pile Reaction, 'Rh', at each pile is calculated as follows:
   Rh = (((</t>
        </r>
        <r>
          <rPr>
            <sz val="8"/>
            <color indexed="81"/>
            <rFont val="Symbol"/>
            <family val="1"/>
            <charset val="2"/>
          </rPr>
          <t>S</t>
        </r>
        <r>
          <rPr>
            <sz val="8"/>
            <color indexed="81"/>
            <rFont val="Tahoma"/>
            <family val="2"/>
          </rPr>
          <t xml:space="preserve"> Hx)/Np +</t>
        </r>
        <r>
          <rPr>
            <sz val="8"/>
            <color indexed="81"/>
            <rFont val="Symbol"/>
            <family val="1"/>
            <charset val="2"/>
          </rPr>
          <t xml:space="preserve"> (S</t>
        </r>
        <r>
          <rPr>
            <sz val="8"/>
            <color indexed="81"/>
            <rFont val="Tahoma"/>
            <family val="2"/>
          </rPr>
          <t xml:space="preserve"> Mz)*Yp/J)^2 + ((</t>
        </r>
        <r>
          <rPr>
            <sz val="8"/>
            <color indexed="81"/>
            <rFont val="Symbol"/>
            <family val="1"/>
            <charset val="2"/>
          </rPr>
          <t>S</t>
        </r>
        <r>
          <rPr>
            <sz val="8"/>
            <color indexed="81"/>
            <rFont val="Tahoma"/>
            <family val="2"/>
          </rPr>
          <t xml:space="preserve"> Hy)/Np + (</t>
        </r>
        <r>
          <rPr>
            <sz val="8"/>
            <color indexed="81"/>
            <rFont val="Symbol"/>
            <family val="1"/>
            <charset val="2"/>
          </rPr>
          <t>S</t>
        </r>
        <r>
          <rPr>
            <sz val="8"/>
            <color indexed="81"/>
            <rFont val="Tahoma"/>
            <family val="2"/>
          </rPr>
          <t xml:space="preserve"> Mz)*Xp/J)^2)^(1/2)
where:
   Xp = x-distance of pile from centroidal Y-axis
   Yp = y-distance of pile from centroidal X-axis
Note: 'Rh' is an "absolute" value with no particular sign convention, thus no
             directional sense.</t>
        </r>
      </text>
      <mc:AlternateContent xmlns:mc="http://schemas.openxmlformats.org/markup-compatibility/2006">
        <mc:Choice Requires="v"/>
        <mc:Fallback>
          <commentPr defaultSize="0" autoFill="0" autoLine="0">
            <anchor>
              <from>
                <xdr:col>2</xdr:col>
                <xdr:colOff>594360</xdr:colOff>
                <xdr:row>177</xdr:row>
                <xdr:rowOff>76200</xdr:rowOff>
              </from>
              <to>
                <xdr:col>8</xdr:col>
                <xdr:colOff>304800</xdr:colOff>
                <xdr:row>183</xdr:row>
                <xdr:rowOff>76200</xdr:rowOff>
              </to>
            </anchor>
          </commentPr>
        </mc:Fallback>
      </mc:AlternateContent>
    </comment>
  </commentList>
</comments>
</file>

<file path=xl/comments9.xml><?xml version="1.0" encoding="utf-8"?>
<comments xmlns="http://purl.oclc.org/ooxml/spreadsheetml/main" xmlns:xdr="http://purl.oclc.org/ooxml/drawingml/spreadsheetDrawing" xmlns:v="urn:schemas-microsoft-com:vml">
  <authors>
    <author>Bob Dalpiaz</author>
    <author>Alex Tomanovich, P.E.</author>
    <author>O'Neal, Inc.</author>
    <author xml:space="preserve"> </author>
  </authors>
  <commentList>
    <comment ref="AA1" authorId="0" shapeId="98336">
      <text>
        <r>
          <rPr>
            <sz val="8"/>
            <color indexed="81"/>
            <rFont val="Tahoma"/>
          </rPr>
          <t xml:space="preserve">              "</t>
        </r>
        <r>
          <rPr>
            <b/>
            <sz val="8"/>
            <color indexed="81"/>
            <rFont val="Tahoma"/>
            <family val="2"/>
          </rPr>
          <t>PILEGRP.xls</t>
        </r>
        <r>
          <rPr>
            <sz val="8"/>
            <color indexed="81"/>
            <rFont val="Tahoma"/>
          </rPr>
          <t>"
written by:  Alex Tomanovich, P.E.</t>
        </r>
      </text>
      <mc:AlternateContent xmlns:mc="http://schemas.openxmlformats.org/markup-compatibility/2006">
        <mc:Choice Requires="v"/>
        <mc:Fallback>
          <commentPr defaultSize="0" autoFill="0" autoLine="0">
            <anchor>
              <from>
                <xdr:col>44</xdr:col>
                <xdr:colOff>617220</xdr:colOff>
                <xdr:row>0</xdr:row>
                <xdr:rowOff>15240</xdr:rowOff>
              </from>
              <to>
                <xdr:col>47</xdr:col>
                <xdr:colOff>419100</xdr:colOff>
                <xdr:row>1</xdr:row>
                <xdr:rowOff>106680</xdr:rowOff>
              </to>
            </anchor>
          </commentPr>
        </mc:Fallback>
      </mc:AlternateContent>
    </comment>
    <comment ref="C11" authorId="1" shapeId="98341">
      <text>
        <r>
          <rPr>
            <sz val="8"/>
            <color indexed="81"/>
            <rFont val="Tahoma"/>
            <family val="2"/>
          </rPr>
          <t>Suggested minimum pile edge distance, 'E', based on pile compression capacity is as follows:
    E = 15" for Rp &lt;= 120 kips
    E = 21" for 120 kips &lt; Rp &lt;= 240 kips
    E = 27" for 240 kips &lt; Rp &lt;= 400 kips
    E = 30" for Rp &gt; 400 kips</t>
        </r>
      </text>
      <mc:AlternateContent xmlns:mc="http://schemas.openxmlformats.org/markup-compatibility/2006">
        <mc:Choice Requires="v"/>
        <mc:Fallback>
          <commentPr defaultSize="0" autoFill="0" autoLine="0">
            <anchor>
              <from>
                <xdr:col>3</xdr:col>
                <xdr:colOff>144780</xdr:colOff>
                <xdr:row>9</xdr:row>
                <xdr:rowOff>68580</xdr:rowOff>
              </from>
              <to>
                <xdr:col>6</xdr:col>
                <xdr:colOff>510540</xdr:colOff>
                <xdr:row>14</xdr:row>
                <xdr:rowOff>121920</xdr:rowOff>
              </to>
            </anchor>
          </commentPr>
        </mc:Fallback>
      </mc:AlternateContent>
    </comment>
    <comment ref="C13" authorId="1" shapeId="98342">
      <text>
        <r>
          <rPr>
            <sz val="8"/>
            <color indexed="81"/>
            <rFont val="Tahoma"/>
            <family val="2"/>
          </rPr>
          <t>Typical values of min. pile embedment, 'dp', are:
    dp = 6" for steel piles
    dp = 4" for concrete piles.</t>
        </r>
      </text>
      <mc:AlternateContent xmlns:mc="http://schemas.openxmlformats.org/markup-compatibility/2006">
        <mc:Choice Requires="v"/>
        <mc:Fallback>
          <commentPr defaultSize="0" autoFill="0" autoLine="0">
            <anchor>
              <from>
                <xdr:col>3</xdr:col>
                <xdr:colOff>144780</xdr:colOff>
                <xdr:row>11</xdr:row>
                <xdr:rowOff>68580</xdr:rowOff>
              </from>
              <to>
                <xdr:col>6</xdr:col>
                <xdr:colOff>449580</xdr:colOff>
                <xdr:row>14</xdr:row>
                <xdr:rowOff>45720</xdr:rowOff>
              </to>
            </anchor>
          </commentPr>
        </mc:Fallback>
      </mc:AlternateContent>
    </comment>
    <comment ref="AD17" authorId="2" shapeId="98351">
      <text>
        <r>
          <rPr>
            <sz val="8"/>
            <color indexed="81"/>
            <rFont val="Tahoma"/>
            <family val="2"/>
          </rPr>
          <t>The weight per pier for the pile cap should be added to the total applied load at each pier in the English units pile group analysis worksheets.
Remember that the value of 'Wp' should be negative (-), for a downward load.</t>
        </r>
      </text>
      <mc:AlternateContent xmlns:mc="http://schemas.openxmlformats.org/markup-compatibility/2006">
        <mc:Choice Requires="v"/>
        <mc:Fallback>
          <commentPr defaultSize="0" autoFill="0" autoLine="0">
            <anchor>
              <from>
                <xdr:col>30</xdr:col>
                <xdr:colOff>144780</xdr:colOff>
                <xdr:row>15</xdr:row>
                <xdr:rowOff>68580</xdr:rowOff>
              </from>
              <to>
                <xdr:col>34</xdr:col>
                <xdr:colOff>0</xdr:colOff>
                <xdr:row>19</xdr:row>
                <xdr:rowOff>160020</xdr:rowOff>
              </to>
            </anchor>
          </commentPr>
        </mc:Fallback>
      </mc:AlternateContent>
    </comment>
    <comment ref="AH17" authorId="2" shapeId="98354">
      <text>
        <r>
          <rPr>
            <sz val="8"/>
            <color indexed="81"/>
            <rFont val="Tahoma"/>
            <family val="2"/>
          </rPr>
          <t>The weight per pier for the pile cap should be added to the total applied load at each pier in the metric units pile group analysis worksheets.
Remember that the value of 'Wp' should be negative (-), for a downward load.</t>
        </r>
      </text>
      <mc:AlternateContent xmlns:mc="http://schemas.openxmlformats.org/markup-compatibility/2006">
        <mc:Choice Requires="v"/>
        <mc:Fallback>
          <commentPr defaultSize="0" autoFill="0" autoLine="0">
            <anchor>
              <from>
                <xdr:col>34</xdr:col>
                <xdr:colOff>320040</xdr:colOff>
                <xdr:row>15</xdr:row>
                <xdr:rowOff>68580</xdr:rowOff>
              </from>
              <to>
                <xdr:col>38</xdr:col>
                <xdr:colOff>358140</xdr:colOff>
                <xdr:row>19</xdr:row>
                <xdr:rowOff>137160</xdr:rowOff>
              </to>
            </anchor>
          </commentPr>
        </mc:Fallback>
      </mc:AlternateContent>
    </comment>
    <comment ref="C18" authorId="3" shapeId="98366">
      <text>
        <r>
          <rPr>
            <sz val="8"/>
            <color indexed="81"/>
            <rFont val="Tahoma"/>
            <family val="2"/>
          </rPr>
          <t>If the user inputs a factored pile reaction, 'Rp', as opposed to a typical unfactored value, then a Load Factor, LF = 1, should be input here.</t>
        </r>
      </text>
      <mc:AlternateContent xmlns:mc="http://schemas.openxmlformats.org/markup-compatibility/2006">
        <mc:Choice Requires="v"/>
        <mc:Fallback>
          <commentPr defaultSize="0" autoFill="0" autoLine="0">
            <anchor>
              <from>
                <xdr:col>3</xdr:col>
                <xdr:colOff>144780</xdr:colOff>
                <xdr:row>16</xdr:row>
                <xdr:rowOff>68580</xdr:rowOff>
              </from>
              <to>
                <xdr:col>5</xdr:col>
                <xdr:colOff>586740</xdr:colOff>
                <xdr:row>20</xdr:row>
                <xdr:rowOff>22860</xdr:rowOff>
              </to>
            </anchor>
          </commentPr>
        </mc:Fallback>
      </mc:AlternateContent>
    </comment>
    <comment ref="I30" authorId="2" shapeId="98355">
      <text>
        <r>
          <rPr>
            <sz val="8"/>
            <color indexed="81"/>
            <rFont val="Tahoma"/>
            <family val="2"/>
          </rPr>
          <t>Critical section for one-way, beam shear is limited to minimum of "d" or "(L-Dp)/2" so that there is no overlapping of critical sections from other piles.</t>
        </r>
      </text>
      <mc:AlternateContent xmlns:mc="http://schemas.openxmlformats.org/markup-compatibility/2006">
        <mc:Choice Requires="v"/>
        <mc:Fallback>
          <commentPr defaultSize="0" autoFill="0" autoLine="0">
            <anchor>
              <from>
                <xdr:col>26</xdr:col>
                <xdr:colOff>144780</xdr:colOff>
                <xdr:row>28</xdr:row>
                <xdr:rowOff>68580</xdr:rowOff>
              </from>
              <to>
                <xdr:col>30</xdr:col>
                <xdr:colOff>91440</xdr:colOff>
                <xdr:row>31</xdr:row>
                <xdr:rowOff>45720</xdr:rowOff>
              </to>
            </anchor>
          </commentPr>
        </mc:Fallback>
      </mc:AlternateContent>
    </comment>
    <comment ref="I40" authorId="2" shapeId="98356">
      <text>
        <r>
          <rPr>
            <sz val="8"/>
            <color indexed="81"/>
            <rFont val="Tahoma"/>
            <family val="2"/>
          </rPr>
          <t>Critical section for two-way, punching shear is limited to minimum of "d/2" or "(L-Dp)/2" so that there is no overlapping of critical sections from other piles.</t>
        </r>
      </text>
      <mc:AlternateContent xmlns:mc="http://schemas.openxmlformats.org/markup-compatibility/2006">
        <mc:Choice Requires="v"/>
        <mc:Fallback>
          <commentPr defaultSize="0" autoFill="0" autoLine="0">
            <anchor>
              <from>
                <xdr:col>26</xdr:col>
                <xdr:colOff>144780</xdr:colOff>
                <xdr:row>38</xdr:row>
                <xdr:rowOff>68580</xdr:rowOff>
              </from>
              <to>
                <xdr:col>30</xdr:col>
                <xdr:colOff>220980</xdr:colOff>
                <xdr:row>41</xdr:row>
                <xdr:rowOff>45720</xdr:rowOff>
              </to>
            </anchor>
          </commentPr>
        </mc:Fallback>
      </mc:AlternateContent>
    </comment>
    <comment ref="C43" authorId="2" shapeId="98353">
      <text>
        <r>
          <rPr>
            <sz val="8"/>
            <color indexed="81"/>
            <rFont val="Tahoma"/>
            <family val="2"/>
          </rPr>
          <t>Shear perimeter, 'bo', for defining critical section for two-way, punching shear is limited to a maximum value = 2*</t>
        </r>
        <r>
          <rPr>
            <sz val="8"/>
            <color indexed="81"/>
            <rFont val="Symbol"/>
            <family val="1"/>
            <charset val="2"/>
          </rPr>
          <t>p</t>
        </r>
        <r>
          <rPr>
            <sz val="8"/>
            <color indexed="81"/>
            <rFont val="Tahoma"/>
            <family val="2"/>
          </rPr>
          <t>*(Dp/2+CS).</t>
        </r>
      </text>
      <mc:AlternateContent xmlns:mc="http://schemas.openxmlformats.org/markup-compatibility/2006">
        <mc:Choice Requires="v"/>
        <mc:Fallback>
          <commentPr defaultSize="0" autoFill="0" autoLine="0">
            <anchor>
              <from>
                <xdr:col>3</xdr:col>
                <xdr:colOff>144780</xdr:colOff>
                <xdr:row>41</xdr:row>
                <xdr:rowOff>68580</xdr:rowOff>
              </from>
              <to>
                <xdr:col>6</xdr:col>
                <xdr:colOff>350520</xdr:colOff>
                <xdr:row>44</xdr:row>
                <xdr:rowOff>38100</xdr:rowOff>
              </to>
            </anchor>
          </commentPr>
        </mc:Fallback>
      </mc:AlternateContent>
    </comment>
  </commentList>
</comments>
</file>

<file path=xl/sharedStrings.xml><?xml version="1.0" encoding="utf-8"?>
<sst xmlns="http://purl.oclc.org/ooxml/spreadsheetml/main" count="1848" uniqueCount="382">
  <si>
    <t xml:space="preserve"> </t>
  </si>
  <si>
    <t>Input Data:</t>
  </si>
  <si>
    <t>Job Name:</t>
  </si>
  <si>
    <t>Job Number:</t>
  </si>
  <si>
    <t>CALCULATIONS:</t>
  </si>
  <si>
    <t>Xc =</t>
  </si>
  <si>
    <t>Yc =</t>
  </si>
  <si>
    <t>Pier Data and Loads:</t>
  </si>
  <si>
    <t>Pier #1</t>
  </si>
  <si>
    <t>Pier #2</t>
  </si>
  <si>
    <t>Pier #3</t>
  </si>
  <si>
    <t>Pier #4</t>
  </si>
  <si>
    <t>Mx(Pz)</t>
  </si>
  <si>
    <t>My(Pz)</t>
  </si>
  <si>
    <t>Mx(Hy)</t>
  </si>
  <si>
    <t>My(Hx)</t>
  </si>
  <si>
    <t>Mz(Hx)</t>
  </si>
  <si>
    <t>Mz(Hy)</t>
  </si>
  <si>
    <t>Xp</t>
  </si>
  <si>
    <t>Yp</t>
  </si>
  <si>
    <t>Vert. Rz</t>
  </si>
  <si>
    <t>Horiz. Rh</t>
  </si>
  <si>
    <t>J =</t>
  </si>
  <si>
    <r>
      <t>q</t>
    </r>
    <r>
      <rPr>
        <sz val="10"/>
        <color indexed="12"/>
        <rFont val="Arial"/>
        <family val="2"/>
      </rPr>
      <t xml:space="preserve"> =</t>
    </r>
  </si>
  <si>
    <t>Pile Dist. to C.G.:</t>
  </si>
  <si>
    <t>Pile Reactions:</t>
  </si>
  <si>
    <r>
      <t>S</t>
    </r>
    <r>
      <rPr>
        <sz val="10"/>
        <color indexed="12"/>
        <rFont val="Arial"/>
        <family val="2"/>
      </rPr>
      <t xml:space="preserve"> Pz =</t>
    </r>
  </si>
  <si>
    <r>
      <t>S</t>
    </r>
    <r>
      <rPr>
        <sz val="10"/>
        <color indexed="12"/>
        <rFont val="Arial"/>
        <family val="2"/>
      </rPr>
      <t xml:space="preserve"> Hx =</t>
    </r>
  </si>
  <si>
    <r>
      <t>S</t>
    </r>
    <r>
      <rPr>
        <sz val="10"/>
        <color indexed="12"/>
        <rFont val="Arial"/>
        <family val="2"/>
      </rPr>
      <t xml:space="preserve"> Hy =</t>
    </r>
  </si>
  <si>
    <r>
      <t>S</t>
    </r>
    <r>
      <rPr>
        <sz val="10"/>
        <color indexed="12"/>
        <rFont val="Arial"/>
        <family val="2"/>
      </rPr>
      <t xml:space="preserve"> Mx =</t>
    </r>
  </si>
  <si>
    <r>
      <t>S</t>
    </r>
    <r>
      <rPr>
        <sz val="10"/>
        <color indexed="12"/>
        <rFont val="Arial"/>
        <family val="2"/>
      </rPr>
      <t xml:space="preserve"> My =</t>
    </r>
  </si>
  <si>
    <r>
      <t>S</t>
    </r>
    <r>
      <rPr>
        <sz val="10"/>
        <color indexed="12"/>
        <rFont val="Arial"/>
        <family val="2"/>
      </rPr>
      <t xml:space="preserve"> Mz =</t>
    </r>
  </si>
  <si>
    <t>Pile Group Properties:</t>
  </si>
  <si>
    <t>kips</t>
  </si>
  <si>
    <t>ft-k</t>
  </si>
  <si>
    <r>
      <t>S</t>
    </r>
    <r>
      <rPr>
        <sz val="10"/>
        <color indexed="8"/>
        <rFont val="Arial"/>
        <family val="2"/>
      </rPr>
      <t xml:space="preserve"> Pz =</t>
    </r>
  </si>
  <si>
    <r>
      <t>S</t>
    </r>
    <r>
      <rPr>
        <sz val="10"/>
        <color indexed="8"/>
        <rFont val="Arial"/>
        <family val="2"/>
      </rPr>
      <t xml:space="preserve"> Hx =</t>
    </r>
  </si>
  <si>
    <r>
      <t>S</t>
    </r>
    <r>
      <rPr>
        <sz val="10"/>
        <color indexed="8"/>
        <rFont val="Arial"/>
        <family val="2"/>
      </rPr>
      <t xml:space="preserve"> Hy =</t>
    </r>
  </si>
  <si>
    <r>
      <t>S</t>
    </r>
    <r>
      <rPr>
        <sz val="10"/>
        <color indexed="8"/>
        <rFont val="Arial"/>
        <family val="2"/>
      </rPr>
      <t xml:space="preserve"> Mx =</t>
    </r>
  </si>
  <si>
    <r>
      <t>S</t>
    </r>
    <r>
      <rPr>
        <sz val="10"/>
        <color indexed="8"/>
        <rFont val="Arial"/>
        <family val="2"/>
      </rPr>
      <t xml:space="preserve"> My =</t>
    </r>
  </si>
  <si>
    <r>
      <t>S</t>
    </r>
    <r>
      <rPr>
        <sz val="10"/>
        <color indexed="8"/>
        <rFont val="Arial"/>
        <family val="2"/>
      </rPr>
      <t xml:space="preserve"> Mz =</t>
    </r>
  </si>
  <si>
    <t>Results:</t>
  </si>
  <si>
    <t>ft.</t>
  </si>
  <si>
    <r>
      <t>q</t>
    </r>
    <r>
      <rPr>
        <sz val="10"/>
        <color indexed="8"/>
        <rFont val="Arial"/>
        <family val="2"/>
      </rPr>
      <t xml:space="preserve"> =</t>
    </r>
  </si>
  <si>
    <t>deg.</t>
  </si>
  <si>
    <t>Pier #5</t>
  </si>
  <si>
    <t>Pier #6</t>
  </si>
  <si>
    <t>Pier #7</t>
  </si>
  <si>
    <t>Pier #8</t>
  </si>
  <si>
    <t>No. Piers =</t>
  </si>
  <si>
    <t>Using the Elastic Method for up to 25 Total Piles</t>
  </si>
  <si>
    <t>Using the Elastic Method for up to 75 Total Piles</t>
  </si>
  <si>
    <t>Pier/Loading Data:</t>
  </si>
  <si>
    <t>Pile Coordinates:</t>
  </si>
  <si>
    <t>Pile Coodinates:</t>
  </si>
  <si>
    <t>Pile Dist. to X,Y axis:</t>
  </si>
  <si>
    <t>Pile No.:</t>
  </si>
  <si>
    <t>Number of Piles, Np =</t>
  </si>
  <si>
    <t>Program Description:</t>
  </si>
  <si>
    <t>Program Assumptions and Limitations:</t>
  </si>
  <si>
    <t>caps using the "elastic method".  Specifically, the properties of the pile group are calculated, and then based</t>
  </si>
  <si>
    <t xml:space="preserve">     sure to either clear the contents of all spreadsheet cells that are not used for input or those cell values should</t>
  </si>
  <si>
    <t xml:space="preserve">     However, the total weight of the pile cap and piers may be included by assuming an additional "ficticious" pier</t>
  </si>
  <si>
    <t xml:space="preserve">     located at the centroid of the pile cap plan area, and applying the total weight at that "pier" location.</t>
  </si>
  <si>
    <t xml:space="preserve">     or given allowable pile reactions for downward, uplift, or lateral cases.  This is done so that the extent of any </t>
  </si>
  <si>
    <t xml:space="preserve">     acceptable overstress is left up to the judgement of the user.  However, in all cases this must be checked by</t>
  </si>
  <si>
    <t xml:space="preserve">     the user.</t>
  </si>
  <si>
    <t>PILE GROUP ANALYSIS FOR RIGID PILE CAP</t>
  </si>
  <si>
    <t>2.  This program uses the "elastic method" of analysis, assuming that the pile cap is in fact "rigid", so that the</t>
  </si>
  <si>
    <t xml:space="preserve">4.  The piles and piers/loadings can be numbered in any desired order.  However, the user should make </t>
  </si>
  <si>
    <t xml:space="preserve">     "Right-Hand-Rule" sign convention is used for all applied forces and moments at pier locations.</t>
  </si>
  <si>
    <t xml:space="preserve">     is denoted by a “red triangle” in the upper right-hand corner of a cell.  Merely move the mouse pointer to the </t>
  </si>
  <si>
    <t xml:space="preserve">     desired cell to view the contents of that particular "comment box".)</t>
  </si>
  <si>
    <t xml:space="preserve">     "positive" (1st) quadrant.  "Negative" pile or pier/loading location coordinates are NOT permitted.</t>
  </si>
  <si>
    <t>5.  This program does NOT include the weight of the pile cap or piers in the calculation of the vertical pile reactions.</t>
  </si>
  <si>
    <t>6.  This program does NOT check the actual calculated pile reactions (vertical and horizontal) against known</t>
  </si>
  <si>
    <t>3.  This program assumes an orthogonal X-Y-Z coordinate system.  All piles and piers MUST BE located in the</t>
  </si>
  <si>
    <t>This documentation sheet</t>
  </si>
  <si>
    <t>Pile group analysis for up to 25 total piles and 4 piers/loadings</t>
  </si>
  <si>
    <t>Pile group analysis for up to 75 total piles and 8 piers/loadings</t>
  </si>
  <si>
    <t>Worksheet Name</t>
  </si>
  <si>
    <t>Description</t>
  </si>
  <si>
    <t>Doc</t>
  </si>
  <si>
    <t>Number of Piers, N =</t>
  </si>
  <si>
    <t>Moments of Inertia:</t>
  </si>
  <si>
    <r>
      <t>S</t>
    </r>
    <r>
      <rPr>
        <sz val="10"/>
        <color indexed="12"/>
        <rFont val="Arial"/>
        <family val="2"/>
      </rPr>
      <t xml:space="preserve"> Xo =</t>
    </r>
  </si>
  <si>
    <r>
      <t>S</t>
    </r>
    <r>
      <rPr>
        <sz val="10"/>
        <color indexed="12"/>
        <rFont val="Arial"/>
        <family val="2"/>
      </rPr>
      <t xml:space="preserve"> Yo =</t>
    </r>
  </si>
  <si>
    <t>dy</t>
  </si>
  <si>
    <t>dx</t>
  </si>
  <si>
    <t xml:space="preserve">     be input = 0.  All piles and piers/loadings MUST BE input in proper numerical sequence with no "breaks" in</t>
  </si>
  <si>
    <t xml:space="preserve">     the numerical order of input data.</t>
  </si>
  <si>
    <t>upon the applied vertical and horizontal loadings, the vertical and horizontal pile reactions are calculated.</t>
  </si>
  <si>
    <t>Ix =</t>
  </si>
  <si>
    <t>Iy =</t>
  </si>
  <si>
    <t>Ixy =</t>
  </si>
  <si>
    <t>Ix</t>
  </si>
  <si>
    <t>Iy</t>
  </si>
  <si>
    <t>Ixy</t>
  </si>
  <si>
    <r>
      <t>S</t>
    </r>
    <r>
      <rPr>
        <u/>
        <sz val="10"/>
        <color indexed="12"/>
        <rFont val="Arial"/>
        <family val="2"/>
      </rPr>
      <t xml:space="preserve"> Pier Loads @ C.G. of Pile Group:</t>
    </r>
  </si>
  <si>
    <t>Pile Reaction Summary:</t>
  </si>
  <si>
    <t>Rz(max) =</t>
  </si>
  <si>
    <t>Rz(min) =</t>
  </si>
  <si>
    <t>Rh(max) =</t>
  </si>
  <si>
    <t xml:space="preserve">     explanations of input or output items, equations used, data tables, etc.  (Note:  presence of a “comment box”</t>
  </si>
  <si>
    <r>
      <t>S</t>
    </r>
    <r>
      <rPr>
        <b/>
        <u/>
        <sz val="10"/>
        <color indexed="8"/>
        <rFont val="Arial"/>
        <family val="2"/>
      </rPr>
      <t xml:space="preserve"> Pier Loads @ C.G. of Group:</t>
    </r>
  </si>
  <si>
    <t>(continued)</t>
  </si>
  <si>
    <t>Checker:</t>
  </si>
  <si>
    <t>Originator:</t>
  </si>
  <si>
    <t>Subject:</t>
  </si>
  <si>
    <t>Plot Scale Factors</t>
  </si>
  <si>
    <t>X-axis</t>
  </si>
  <si>
    <t>Yaxis</t>
  </si>
  <si>
    <r>
      <t>S</t>
    </r>
    <r>
      <rPr>
        <b/>
        <u/>
        <sz val="10"/>
        <color indexed="8"/>
        <rFont val="Arial"/>
        <family val="2"/>
      </rPr>
      <t xml:space="preserve"> Loads @ C.G. of Pile Group:</t>
    </r>
  </si>
  <si>
    <t>Y-axis</t>
  </si>
  <si>
    <t>kN</t>
  </si>
  <si>
    <t>m</t>
  </si>
  <si>
    <t>kN-m</t>
  </si>
  <si>
    <r>
      <t xml:space="preserve">X-Coordinate </t>
    </r>
    <r>
      <rPr>
        <sz val="8"/>
        <rFont val="Arial"/>
        <family val="2"/>
      </rPr>
      <t>(m)</t>
    </r>
    <r>
      <rPr>
        <sz val="10"/>
        <rFont val="Arial"/>
      </rPr>
      <t xml:space="preserve"> =</t>
    </r>
  </si>
  <si>
    <r>
      <t xml:space="preserve">Y-Coordinate </t>
    </r>
    <r>
      <rPr>
        <sz val="8"/>
        <rFont val="Arial"/>
        <family val="2"/>
      </rPr>
      <t>(m)</t>
    </r>
    <r>
      <rPr>
        <sz val="10"/>
        <rFont val="Arial"/>
      </rPr>
      <t xml:space="preserve"> =</t>
    </r>
  </si>
  <si>
    <r>
      <t xml:space="preserve">Dist. to T/Piles, h </t>
    </r>
    <r>
      <rPr>
        <sz val="8"/>
        <rFont val="Arial"/>
        <family val="2"/>
      </rPr>
      <t>(m)</t>
    </r>
    <r>
      <rPr>
        <sz val="10"/>
        <rFont val="Arial"/>
      </rPr>
      <t xml:space="preserve"> =</t>
    </r>
  </si>
  <si>
    <r>
      <t xml:space="preserve">Vertical Load, Pz </t>
    </r>
    <r>
      <rPr>
        <sz val="8"/>
        <rFont val="Arial"/>
        <family val="2"/>
      </rPr>
      <t>(kN)</t>
    </r>
    <r>
      <rPr>
        <sz val="10"/>
        <rFont val="Arial"/>
      </rPr>
      <t xml:space="preserve"> =</t>
    </r>
  </si>
  <si>
    <r>
      <t xml:space="preserve">Horiz. Load, Hx </t>
    </r>
    <r>
      <rPr>
        <sz val="8"/>
        <rFont val="Arial"/>
        <family val="2"/>
      </rPr>
      <t>(kN)</t>
    </r>
    <r>
      <rPr>
        <sz val="10"/>
        <rFont val="Arial"/>
      </rPr>
      <t xml:space="preserve"> =</t>
    </r>
  </si>
  <si>
    <r>
      <t xml:space="preserve">Horiz. Load, Hy </t>
    </r>
    <r>
      <rPr>
        <sz val="8"/>
        <rFont val="Arial"/>
        <family val="2"/>
      </rPr>
      <t>(kN)</t>
    </r>
    <r>
      <rPr>
        <sz val="10"/>
        <rFont val="Arial"/>
      </rPr>
      <t xml:space="preserve"> =</t>
    </r>
  </si>
  <si>
    <r>
      <t xml:space="preserve">Moment, Mx </t>
    </r>
    <r>
      <rPr>
        <sz val="8"/>
        <rFont val="Arial"/>
        <family val="2"/>
      </rPr>
      <t>(kN-m)</t>
    </r>
    <r>
      <rPr>
        <sz val="10"/>
        <rFont val="Arial"/>
      </rPr>
      <t xml:space="preserve"> =</t>
    </r>
  </si>
  <si>
    <r>
      <t xml:space="preserve">Moment, My </t>
    </r>
    <r>
      <rPr>
        <sz val="8"/>
        <rFont val="Arial"/>
        <family val="2"/>
      </rPr>
      <t>(kN-m)</t>
    </r>
    <r>
      <rPr>
        <sz val="10"/>
        <rFont val="Arial"/>
      </rPr>
      <t xml:space="preserve"> =</t>
    </r>
  </si>
  <si>
    <r>
      <t xml:space="preserve">Moment, Mz </t>
    </r>
    <r>
      <rPr>
        <sz val="8"/>
        <rFont val="Arial"/>
        <family val="2"/>
      </rPr>
      <t>(kN-m)</t>
    </r>
    <r>
      <rPr>
        <sz val="10"/>
        <rFont val="Arial"/>
      </rPr>
      <t xml:space="preserve"> =</t>
    </r>
  </si>
  <si>
    <r>
      <t xml:space="preserve">Pile Reactions </t>
    </r>
    <r>
      <rPr>
        <b/>
        <sz val="8"/>
        <rFont val="Arial"/>
        <family val="2"/>
      </rPr>
      <t>(kN)</t>
    </r>
  </si>
  <si>
    <r>
      <t xml:space="preserve">Xo </t>
    </r>
    <r>
      <rPr>
        <sz val="8"/>
        <rFont val="Arial"/>
        <family val="2"/>
      </rPr>
      <t>(m)</t>
    </r>
  </si>
  <si>
    <r>
      <t xml:space="preserve">Yo </t>
    </r>
    <r>
      <rPr>
        <sz val="8"/>
        <rFont val="Arial"/>
        <family val="2"/>
      </rPr>
      <t>(m)</t>
    </r>
  </si>
  <si>
    <r>
      <t xml:space="preserve">X </t>
    </r>
    <r>
      <rPr>
        <sz val="8"/>
        <rFont val="Arial"/>
        <family val="2"/>
      </rPr>
      <t>(m)</t>
    </r>
    <r>
      <rPr>
        <sz val="10"/>
        <rFont val="Arial"/>
      </rPr>
      <t xml:space="preserve"> =</t>
    </r>
  </si>
  <si>
    <r>
      <t xml:space="preserve">Y </t>
    </r>
    <r>
      <rPr>
        <sz val="8"/>
        <rFont val="Arial"/>
        <family val="2"/>
      </rPr>
      <t>(m)</t>
    </r>
    <r>
      <rPr>
        <sz val="10"/>
        <rFont val="Arial"/>
      </rPr>
      <t xml:space="preserve"> =</t>
    </r>
  </si>
  <si>
    <r>
      <t xml:space="preserve">h </t>
    </r>
    <r>
      <rPr>
        <sz val="8"/>
        <rFont val="Arial"/>
        <family val="2"/>
      </rPr>
      <t>(m)</t>
    </r>
    <r>
      <rPr>
        <sz val="10"/>
        <rFont val="Arial"/>
      </rPr>
      <t xml:space="preserve"> =</t>
    </r>
  </si>
  <si>
    <r>
      <t xml:space="preserve">Pz </t>
    </r>
    <r>
      <rPr>
        <sz val="8"/>
        <rFont val="Arial"/>
        <family val="2"/>
      </rPr>
      <t>(kN)</t>
    </r>
    <r>
      <rPr>
        <sz val="10"/>
        <rFont val="Arial"/>
      </rPr>
      <t xml:space="preserve"> =</t>
    </r>
  </si>
  <si>
    <r>
      <t xml:space="preserve">Hx </t>
    </r>
    <r>
      <rPr>
        <sz val="8"/>
        <rFont val="Arial"/>
        <family val="2"/>
      </rPr>
      <t>(kN)</t>
    </r>
    <r>
      <rPr>
        <sz val="10"/>
        <rFont val="Arial"/>
      </rPr>
      <t xml:space="preserve"> =</t>
    </r>
  </si>
  <si>
    <r>
      <t xml:space="preserve">Hy </t>
    </r>
    <r>
      <rPr>
        <sz val="8"/>
        <rFont val="Arial"/>
        <family val="2"/>
      </rPr>
      <t>(kN)</t>
    </r>
    <r>
      <rPr>
        <sz val="10"/>
        <rFont val="Arial"/>
      </rPr>
      <t xml:space="preserve"> =</t>
    </r>
  </si>
  <si>
    <r>
      <t xml:space="preserve">Mx </t>
    </r>
    <r>
      <rPr>
        <sz val="8"/>
        <rFont val="Arial"/>
        <family val="2"/>
      </rPr>
      <t>(kN-m)</t>
    </r>
    <r>
      <rPr>
        <sz val="10"/>
        <rFont val="Arial"/>
      </rPr>
      <t xml:space="preserve"> =</t>
    </r>
  </si>
  <si>
    <r>
      <t xml:space="preserve">My </t>
    </r>
    <r>
      <rPr>
        <sz val="8"/>
        <rFont val="Arial"/>
        <family val="2"/>
      </rPr>
      <t>(kN-m)</t>
    </r>
    <r>
      <rPr>
        <sz val="10"/>
        <rFont val="Arial"/>
      </rPr>
      <t xml:space="preserve"> =</t>
    </r>
  </si>
  <si>
    <t>Kn-m</t>
  </si>
  <si>
    <t>Pile group analysis for up to 25 total piles and 4 piers/loadings (metric)</t>
  </si>
  <si>
    <t>Pile group analysis for up to 75 total piles and 8 piers/loadings (metric)</t>
  </si>
  <si>
    <r>
      <t xml:space="preserve">Xo </t>
    </r>
    <r>
      <rPr>
        <sz val="8"/>
        <rFont val="Arial"/>
        <family val="2"/>
      </rPr>
      <t>(ft.)</t>
    </r>
  </si>
  <si>
    <r>
      <t xml:space="preserve">Yo </t>
    </r>
    <r>
      <rPr>
        <sz val="8"/>
        <rFont val="Arial"/>
        <family val="2"/>
      </rPr>
      <t>(ft.)</t>
    </r>
  </si>
  <si>
    <r>
      <t xml:space="preserve">Pile Reactions </t>
    </r>
    <r>
      <rPr>
        <b/>
        <sz val="8"/>
        <rFont val="Arial"/>
        <family val="2"/>
      </rPr>
      <t>(k)</t>
    </r>
  </si>
  <si>
    <r>
      <t xml:space="preserve">X-Coordinate </t>
    </r>
    <r>
      <rPr>
        <sz val="8"/>
        <rFont val="Arial"/>
        <family val="2"/>
      </rPr>
      <t>(ft.)</t>
    </r>
    <r>
      <rPr>
        <sz val="10"/>
        <rFont val="Arial"/>
      </rPr>
      <t xml:space="preserve"> =</t>
    </r>
  </si>
  <si>
    <r>
      <t xml:space="preserve">Y-Coordinate </t>
    </r>
    <r>
      <rPr>
        <sz val="8"/>
        <rFont val="Arial"/>
        <family val="2"/>
      </rPr>
      <t>(ft.)</t>
    </r>
    <r>
      <rPr>
        <sz val="10"/>
        <rFont val="Arial"/>
      </rPr>
      <t xml:space="preserve"> =</t>
    </r>
  </si>
  <si>
    <r>
      <t xml:space="preserve">Dist. to T/Piles, h </t>
    </r>
    <r>
      <rPr>
        <sz val="8"/>
        <rFont val="Arial"/>
        <family val="2"/>
      </rPr>
      <t>(ft.)</t>
    </r>
    <r>
      <rPr>
        <sz val="10"/>
        <rFont val="Arial"/>
      </rPr>
      <t xml:space="preserve"> =</t>
    </r>
  </si>
  <si>
    <r>
      <t xml:space="preserve">Vertical Load, Pz </t>
    </r>
    <r>
      <rPr>
        <sz val="8"/>
        <rFont val="Arial"/>
        <family val="2"/>
      </rPr>
      <t>(k)</t>
    </r>
    <r>
      <rPr>
        <sz val="10"/>
        <rFont val="Arial"/>
      </rPr>
      <t xml:space="preserve"> =</t>
    </r>
  </si>
  <si>
    <r>
      <t xml:space="preserve">Horiz. Load, Hx </t>
    </r>
    <r>
      <rPr>
        <sz val="8"/>
        <rFont val="Arial"/>
        <family val="2"/>
      </rPr>
      <t>(k)</t>
    </r>
    <r>
      <rPr>
        <sz val="10"/>
        <rFont val="Arial"/>
      </rPr>
      <t xml:space="preserve"> =</t>
    </r>
  </si>
  <si>
    <r>
      <t xml:space="preserve">Horiz. Load, Hy </t>
    </r>
    <r>
      <rPr>
        <sz val="8"/>
        <rFont val="Arial"/>
        <family val="2"/>
      </rPr>
      <t>(k)</t>
    </r>
    <r>
      <rPr>
        <sz val="10"/>
        <rFont val="Arial"/>
      </rPr>
      <t xml:space="preserve"> =</t>
    </r>
  </si>
  <si>
    <r>
      <t xml:space="preserve">Moment, Mx </t>
    </r>
    <r>
      <rPr>
        <sz val="8"/>
        <rFont val="Arial"/>
        <family val="2"/>
      </rPr>
      <t>(ft-k)</t>
    </r>
    <r>
      <rPr>
        <sz val="10"/>
        <rFont val="Arial"/>
      </rPr>
      <t xml:space="preserve"> =</t>
    </r>
  </si>
  <si>
    <r>
      <t xml:space="preserve">Moment, My </t>
    </r>
    <r>
      <rPr>
        <sz val="8"/>
        <rFont val="Arial"/>
        <family val="2"/>
      </rPr>
      <t>(ft-k)</t>
    </r>
    <r>
      <rPr>
        <sz val="10"/>
        <rFont val="Arial"/>
      </rPr>
      <t xml:space="preserve"> =</t>
    </r>
  </si>
  <si>
    <r>
      <t xml:space="preserve">Moment, Mz </t>
    </r>
    <r>
      <rPr>
        <sz val="8"/>
        <rFont val="Arial"/>
        <family val="2"/>
      </rPr>
      <t>(ft-k)</t>
    </r>
    <r>
      <rPr>
        <sz val="10"/>
        <rFont val="Arial"/>
      </rPr>
      <t xml:space="preserve"> =</t>
    </r>
  </si>
  <si>
    <r>
      <t xml:space="preserve">X </t>
    </r>
    <r>
      <rPr>
        <sz val="8"/>
        <rFont val="Arial"/>
        <family val="2"/>
      </rPr>
      <t>(ft.)</t>
    </r>
    <r>
      <rPr>
        <sz val="10"/>
        <rFont val="Arial"/>
      </rPr>
      <t xml:space="preserve"> =</t>
    </r>
  </si>
  <si>
    <r>
      <t xml:space="preserve">Y </t>
    </r>
    <r>
      <rPr>
        <sz val="8"/>
        <rFont val="Arial"/>
        <family val="2"/>
      </rPr>
      <t>(ft.)</t>
    </r>
    <r>
      <rPr>
        <sz val="10"/>
        <rFont val="Arial"/>
      </rPr>
      <t xml:space="preserve"> =</t>
    </r>
  </si>
  <si>
    <r>
      <t xml:space="preserve">h </t>
    </r>
    <r>
      <rPr>
        <sz val="8"/>
        <rFont val="Arial"/>
        <family val="2"/>
      </rPr>
      <t>(ft.)</t>
    </r>
    <r>
      <rPr>
        <sz val="10"/>
        <rFont val="Arial"/>
      </rPr>
      <t xml:space="preserve"> =</t>
    </r>
  </si>
  <si>
    <r>
      <t xml:space="preserve">Pz </t>
    </r>
    <r>
      <rPr>
        <sz val="8"/>
        <rFont val="Arial"/>
        <family val="2"/>
      </rPr>
      <t>(k)</t>
    </r>
    <r>
      <rPr>
        <sz val="10"/>
        <rFont val="Arial"/>
      </rPr>
      <t xml:space="preserve"> =</t>
    </r>
  </si>
  <si>
    <r>
      <t xml:space="preserve">Hx </t>
    </r>
    <r>
      <rPr>
        <sz val="8"/>
        <rFont val="Arial"/>
        <family val="2"/>
      </rPr>
      <t>(k)</t>
    </r>
    <r>
      <rPr>
        <sz val="10"/>
        <rFont val="Arial"/>
      </rPr>
      <t xml:space="preserve"> =</t>
    </r>
  </si>
  <si>
    <r>
      <t xml:space="preserve">Hy </t>
    </r>
    <r>
      <rPr>
        <sz val="8"/>
        <rFont val="Arial"/>
        <family val="2"/>
      </rPr>
      <t>(k)</t>
    </r>
    <r>
      <rPr>
        <sz val="10"/>
        <rFont val="Arial"/>
      </rPr>
      <t xml:space="preserve"> =</t>
    </r>
  </si>
  <si>
    <r>
      <t xml:space="preserve">Mx </t>
    </r>
    <r>
      <rPr>
        <sz val="8"/>
        <rFont val="Arial"/>
        <family val="2"/>
      </rPr>
      <t>(ft-k)</t>
    </r>
    <r>
      <rPr>
        <sz val="10"/>
        <rFont val="Arial"/>
      </rPr>
      <t xml:space="preserve"> =</t>
    </r>
  </si>
  <si>
    <r>
      <t xml:space="preserve">My </t>
    </r>
    <r>
      <rPr>
        <sz val="8"/>
        <rFont val="Arial"/>
        <family val="2"/>
      </rPr>
      <t>(ft-k)</t>
    </r>
    <r>
      <rPr>
        <sz val="10"/>
        <rFont val="Arial"/>
      </rPr>
      <t xml:space="preserve"> =</t>
    </r>
  </si>
  <si>
    <r>
      <t xml:space="preserve">Mz </t>
    </r>
    <r>
      <rPr>
        <sz val="8"/>
        <rFont val="Arial"/>
        <family val="2"/>
      </rPr>
      <t>(ft-k)</t>
    </r>
    <r>
      <rPr>
        <sz val="10"/>
        <rFont val="Arial"/>
      </rPr>
      <t xml:space="preserve"> =</t>
    </r>
  </si>
  <si>
    <t>(For English Units)</t>
  </si>
  <si>
    <t>(For Metric Units)</t>
  </si>
  <si>
    <t>Metric Units Pile Coordinates:</t>
  </si>
  <si>
    <t>Metric Units Pier/Loading Data:</t>
  </si>
  <si>
    <t>English Units Pile Coordinates:</t>
  </si>
  <si>
    <t>English Units Pier/Loading Data:</t>
  </si>
  <si>
    <t>below from English to Metric Units, and use</t>
  </si>
  <si>
    <t>appropriate input cells in Metric worksheet.</t>
  </si>
  <si>
    <r>
      <t>Note:</t>
    </r>
    <r>
      <rPr>
        <b/>
        <i/>
        <sz val="10"/>
        <color indexed="10"/>
        <rFont val="Arial"/>
        <family val="2"/>
      </rPr>
      <t xml:space="preserve">  User may copy the values converted </t>
    </r>
  </si>
  <si>
    <t>below from Metric to English Units, and use</t>
  </si>
  <si>
    <t>appropriate input cells in English worksheet.</t>
  </si>
  <si>
    <t>"Paste Special, Values" function to paste into</t>
  </si>
  <si>
    <t>"PILEGRP" --- PILE GROUP ANALYSIS PROGRAM</t>
  </si>
  <si>
    <t>"PILEGRP" is a spreadsheet program written in MS-Excel for the purpose of analysis of pile groups with rigid</t>
  </si>
  <si>
    <t>Center of Circle, Xo =</t>
  </si>
  <si>
    <t>Center of Circle, Yo =</t>
  </si>
  <si>
    <t>Input which can be copied</t>
  </si>
  <si>
    <t>(See notes below)</t>
  </si>
  <si>
    <r>
      <t xml:space="preserve">                in the appropriate position, starting at cell </t>
    </r>
    <r>
      <rPr>
        <b/>
        <sz val="10"/>
        <color indexed="12"/>
        <rFont val="Arial"/>
        <family val="2"/>
      </rPr>
      <t>B12</t>
    </r>
    <r>
      <rPr>
        <sz val="10"/>
        <color indexed="12"/>
        <rFont val="Arial"/>
        <family val="2"/>
      </rPr>
      <t xml:space="preserve"> on the input page. </t>
    </r>
  </si>
  <si>
    <r>
      <t xml:space="preserve">               "Paste Special" only their "values" in the appropriate position, starting at cell </t>
    </r>
    <r>
      <rPr>
        <b/>
        <sz val="10"/>
        <color indexed="12"/>
        <rFont val="Arial"/>
        <family val="2"/>
      </rPr>
      <t>B12</t>
    </r>
    <r>
      <rPr>
        <sz val="10"/>
        <color indexed="12"/>
        <rFont val="Arial"/>
        <family val="2"/>
      </rPr>
      <t xml:space="preserve"> on the input page. </t>
    </r>
  </si>
  <si>
    <t>Circular Pile Pattern:</t>
  </si>
  <si>
    <t>No. of Piles, Np =</t>
  </si>
  <si>
    <t>Pile Circle, Dc =</t>
  </si>
  <si>
    <r>
      <t xml:space="preserve">Angle to Pile #1, </t>
    </r>
    <r>
      <rPr>
        <sz val="10"/>
        <color indexed="12"/>
        <rFont val="Symbol"/>
        <family val="1"/>
        <charset val="2"/>
      </rPr>
      <t>q</t>
    </r>
    <r>
      <rPr>
        <sz val="10"/>
        <color indexed="12"/>
        <rFont val="Arial"/>
      </rPr>
      <t>1 =</t>
    </r>
  </si>
  <si>
    <t>Xo (ft.)</t>
  </si>
  <si>
    <t>Yo (ft.)</t>
  </si>
  <si>
    <r>
      <t xml:space="preserve">            2. Remember to account for the correct total number of piles in cell </t>
    </r>
    <r>
      <rPr>
        <b/>
        <sz val="10"/>
        <color indexed="12"/>
        <rFont val="Arial"/>
        <family val="2"/>
      </rPr>
      <t>C9</t>
    </r>
    <r>
      <rPr>
        <sz val="10"/>
        <color indexed="12"/>
        <rFont val="Arial"/>
        <family val="2"/>
      </rPr>
      <t xml:space="preserve"> on the input page.</t>
    </r>
  </si>
  <si>
    <t xml:space="preserve">            3. When modeling multiple pile circles, remember to always use the center coordinates of the </t>
  </si>
  <si>
    <t xml:space="preserve">                largest pile circle for all the other smaller pile circles.</t>
  </si>
  <si>
    <t>Input (English Units):</t>
  </si>
  <si>
    <t>Input (Metric Units):</t>
  </si>
  <si>
    <t>Xo (m)</t>
  </si>
  <si>
    <t>Yo (m)</t>
  </si>
  <si>
    <r>
      <t>Notes:</t>
    </r>
    <r>
      <rPr>
        <sz val="10"/>
        <color indexed="12"/>
        <rFont val="Arial"/>
        <family val="2"/>
      </rPr>
      <t xml:space="preserve">  1. Copy only the block of cells from </t>
    </r>
    <r>
      <rPr>
        <b/>
        <sz val="10"/>
        <color indexed="12"/>
        <rFont val="Arial"/>
        <family val="2"/>
      </rPr>
      <t>AF66</t>
    </r>
    <r>
      <rPr>
        <sz val="10"/>
        <color indexed="12"/>
        <rFont val="Arial"/>
        <family val="2"/>
      </rPr>
      <t xml:space="preserve"> to </t>
    </r>
    <r>
      <rPr>
        <b/>
        <sz val="10"/>
        <color indexed="12"/>
        <rFont val="Arial"/>
        <family val="2"/>
      </rPr>
      <t>AG90</t>
    </r>
    <r>
      <rPr>
        <sz val="10"/>
        <color indexed="12"/>
        <rFont val="Arial"/>
        <family val="2"/>
      </rPr>
      <t xml:space="preserve"> above, and "Paste Special" only their "values"</t>
    </r>
  </si>
  <si>
    <r>
      <t>Notes:</t>
    </r>
    <r>
      <rPr>
        <sz val="10"/>
        <color indexed="12"/>
        <rFont val="Arial"/>
        <family val="2"/>
      </rPr>
      <t xml:space="preserve">  1. Copy only the block of cells from </t>
    </r>
    <r>
      <rPr>
        <b/>
        <sz val="10"/>
        <color indexed="12"/>
        <rFont val="Arial"/>
        <family val="2"/>
      </rPr>
      <t>AF66</t>
    </r>
    <r>
      <rPr>
        <sz val="10"/>
        <color indexed="12"/>
        <rFont val="Arial"/>
        <family val="2"/>
      </rPr>
      <t xml:space="preserve"> to </t>
    </r>
    <r>
      <rPr>
        <b/>
        <sz val="10"/>
        <color indexed="12"/>
        <rFont val="Arial"/>
        <family val="2"/>
      </rPr>
      <t xml:space="preserve">AG90, </t>
    </r>
    <r>
      <rPr>
        <sz val="10"/>
        <color indexed="12"/>
        <rFont val="Arial"/>
        <family val="2"/>
      </rPr>
      <t xml:space="preserve"> </t>
    </r>
    <r>
      <rPr>
        <b/>
        <sz val="10"/>
        <color indexed="12"/>
        <rFont val="Arial"/>
        <family val="2"/>
      </rPr>
      <t>AI66</t>
    </r>
    <r>
      <rPr>
        <sz val="10"/>
        <color indexed="12"/>
        <rFont val="Arial"/>
        <family val="2"/>
      </rPr>
      <t xml:space="preserve"> to </t>
    </r>
    <r>
      <rPr>
        <b/>
        <sz val="10"/>
        <color indexed="12"/>
        <rFont val="Arial"/>
        <family val="2"/>
      </rPr>
      <t>AJ90</t>
    </r>
    <r>
      <rPr>
        <sz val="10"/>
        <color indexed="12"/>
        <rFont val="Arial"/>
        <family val="2"/>
      </rPr>
      <t xml:space="preserve">, and </t>
    </r>
    <r>
      <rPr>
        <b/>
        <sz val="10"/>
        <color indexed="12"/>
        <rFont val="Arial"/>
        <family val="2"/>
      </rPr>
      <t>AL66</t>
    </r>
    <r>
      <rPr>
        <sz val="10"/>
        <color indexed="12"/>
        <rFont val="Arial"/>
        <family val="2"/>
      </rPr>
      <t xml:space="preserve"> to </t>
    </r>
    <r>
      <rPr>
        <b/>
        <sz val="10"/>
        <color indexed="12"/>
        <rFont val="Arial"/>
        <family val="2"/>
      </rPr>
      <t>AM90</t>
    </r>
    <r>
      <rPr>
        <sz val="10"/>
        <color indexed="12"/>
        <rFont val="Arial"/>
        <family val="2"/>
      </rPr>
      <t xml:space="preserve"> above, and</t>
    </r>
  </si>
  <si>
    <r>
      <t xml:space="preserve">Xo </t>
    </r>
    <r>
      <rPr>
        <sz val="8"/>
        <color indexed="12"/>
        <rFont val="Arial"/>
        <family val="2"/>
      </rPr>
      <t>(ft.)</t>
    </r>
  </si>
  <si>
    <r>
      <t xml:space="preserve">Yo </t>
    </r>
    <r>
      <rPr>
        <sz val="8"/>
        <color indexed="12"/>
        <rFont val="Arial"/>
        <family val="2"/>
      </rPr>
      <t>(ft.)</t>
    </r>
  </si>
  <si>
    <r>
      <t xml:space="preserve">X </t>
    </r>
    <r>
      <rPr>
        <sz val="8"/>
        <color indexed="12"/>
        <rFont val="Arial"/>
        <family val="2"/>
      </rPr>
      <t>(ft.)</t>
    </r>
    <r>
      <rPr>
        <sz val="10"/>
        <color indexed="12"/>
        <rFont val="Arial"/>
        <family val="2"/>
      </rPr>
      <t xml:space="preserve"> =</t>
    </r>
  </si>
  <si>
    <r>
      <t xml:space="preserve">Y </t>
    </r>
    <r>
      <rPr>
        <sz val="8"/>
        <color indexed="12"/>
        <rFont val="Arial"/>
        <family val="2"/>
      </rPr>
      <t>(ft.)</t>
    </r>
    <r>
      <rPr>
        <sz val="10"/>
        <color indexed="12"/>
        <rFont val="Arial"/>
        <family val="2"/>
      </rPr>
      <t xml:space="preserve"> =</t>
    </r>
  </si>
  <si>
    <r>
      <t xml:space="preserve">h </t>
    </r>
    <r>
      <rPr>
        <sz val="8"/>
        <color indexed="12"/>
        <rFont val="Arial"/>
        <family val="2"/>
      </rPr>
      <t>(ft.)</t>
    </r>
    <r>
      <rPr>
        <sz val="10"/>
        <color indexed="12"/>
        <rFont val="Arial"/>
        <family val="2"/>
      </rPr>
      <t xml:space="preserve"> =</t>
    </r>
  </si>
  <si>
    <r>
      <t xml:space="preserve">Pz </t>
    </r>
    <r>
      <rPr>
        <sz val="8"/>
        <color indexed="12"/>
        <rFont val="Arial"/>
        <family val="2"/>
      </rPr>
      <t>(k)</t>
    </r>
    <r>
      <rPr>
        <sz val="10"/>
        <color indexed="12"/>
        <rFont val="Arial"/>
        <family val="2"/>
      </rPr>
      <t xml:space="preserve"> =</t>
    </r>
  </si>
  <si>
    <r>
      <t xml:space="preserve">Hx </t>
    </r>
    <r>
      <rPr>
        <sz val="8"/>
        <color indexed="12"/>
        <rFont val="Arial"/>
        <family val="2"/>
      </rPr>
      <t>(k)</t>
    </r>
    <r>
      <rPr>
        <sz val="10"/>
        <color indexed="12"/>
        <rFont val="Arial"/>
        <family val="2"/>
      </rPr>
      <t xml:space="preserve"> =</t>
    </r>
  </si>
  <si>
    <r>
      <t xml:space="preserve">Hy </t>
    </r>
    <r>
      <rPr>
        <sz val="8"/>
        <color indexed="12"/>
        <rFont val="Arial"/>
        <family val="2"/>
      </rPr>
      <t>(k)</t>
    </r>
    <r>
      <rPr>
        <sz val="10"/>
        <color indexed="12"/>
        <rFont val="Arial"/>
        <family val="2"/>
      </rPr>
      <t xml:space="preserve"> =</t>
    </r>
  </si>
  <si>
    <r>
      <t xml:space="preserve">Mx </t>
    </r>
    <r>
      <rPr>
        <sz val="8"/>
        <color indexed="12"/>
        <rFont val="Arial"/>
        <family val="2"/>
      </rPr>
      <t>(ft-k)</t>
    </r>
    <r>
      <rPr>
        <sz val="10"/>
        <color indexed="12"/>
        <rFont val="Arial"/>
        <family val="2"/>
      </rPr>
      <t xml:space="preserve"> =</t>
    </r>
  </si>
  <si>
    <r>
      <t xml:space="preserve">My </t>
    </r>
    <r>
      <rPr>
        <sz val="8"/>
        <color indexed="12"/>
        <rFont val="Arial"/>
        <family val="2"/>
      </rPr>
      <t>(ft-k)</t>
    </r>
    <r>
      <rPr>
        <sz val="10"/>
        <color indexed="12"/>
        <rFont val="Arial"/>
        <family val="2"/>
      </rPr>
      <t xml:space="preserve"> =</t>
    </r>
  </si>
  <si>
    <r>
      <t xml:space="preserve">Mz </t>
    </r>
    <r>
      <rPr>
        <sz val="8"/>
        <color indexed="12"/>
        <rFont val="Arial"/>
        <family val="2"/>
      </rPr>
      <t>(ft-k)</t>
    </r>
    <r>
      <rPr>
        <sz val="10"/>
        <color indexed="12"/>
        <rFont val="Arial"/>
        <family val="2"/>
      </rPr>
      <t xml:space="preserve"> =</t>
    </r>
  </si>
  <si>
    <r>
      <t xml:space="preserve">Xo </t>
    </r>
    <r>
      <rPr>
        <sz val="8"/>
        <color indexed="12"/>
        <rFont val="Arial"/>
        <family val="2"/>
      </rPr>
      <t>(m)</t>
    </r>
  </si>
  <si>
    <r>
      <t xml:space="preserve">Yo </t>
    </r>
    <r>
      <rPr>
        <sz val="8"/>
        <color indexed="12"/>
        <rFont val="Arial"/>
        <family val="2"/>
      </rPr>
      <t>(m)</t>
    </r>
  </si>
  <si>
    <r>
      <t xml:space="preserve">X </t>
    </r>
    <r>
      <rPr>
        <sz val="8"/>
        <color indexed="12"/>
        <rFont val="Arial"/>
        <family val="2"/>
      </rPr>
      <t>(m)</t>
    </r>
    <r>
      <rPr>
        <sz val="10"/>
        <color indexed="12"/>
        <rFont val="Arial"/>
        <family val="2"/>
      </rPr>
      <t xml:space="preserve"> =</t>
    </r>
  </si>
  <si>
    <r>
      <t xml:space="preserve">Y </t>
    </r>
    <r>
      <rPr>
        <sz val="8"/>
        <color indexed="12"/>
        <rFont val="Arial"/>
        <family val="2"/>
      </rPr>
      <t>(m)</t>
    </r>
    <r>
      <rPr>
        <sz val="10"/>
        <color indexed="12"/>
        <rFont val="Arial"/>
        <family val="2"/>
      </rPr>
      <t xml:space="preserve"> =</t>
    </r>
  </si>
  <si>
    <r>
      <t xml:space="preserve">h </t>
    </r>
    <r>
      <rPr>
        <sz val="8"/>
        <color indexed="12"/>
        <rFont val="Arial"/>
        <family val="2"/>
      </rPr>
      <t>(m)</t>
    </r>
    <r>
      <rPr>
        <sz val="10"/>
        <color indexed="12"/>
        <rFont val="Arial"/>
        <family val="2"/>
      </rPr>
      <t xml:space="preserve"> =</t>
    </r>
  </si>
  <si>
    <r>
      <t xml:space="preserve">Pz </t>
    </r>
    <r>
      <rPr>
        <sz val="8"/>
        <color indexed="12"/>
        <rFont val="Arial"/>
        <family val="2"/>
      </rPr>
      <t>(kN)</t>
    </r>
    <r>
      <rPr>
        <sz val="10"/>
        <color indexed="12"/>
        <rFont val="Arial"/>
        <family val="2"/>
      </rPr>
      <t xml:space="preserve"> =</t>
    </r>
  </si>
  <si>
    <r>
      <t xml:space="preserve">Hx </t>
    </r>
    <r>
      <rPr>
        <sz val="8"/>
        <color indexed="12"/>
        <rFont val="Arial"/>
        <family val="2"/>
      </rPr>
      <t>(kN)</t>
    </r>
    <r>
      <rPr>
        <sz val="10"/>
        <color indexed="12"/>
        <rFont val="Arial"/>
        <family val="2"/>
      </rPr>
      <t xml:space="preserve"> =</t>
    </r>
  </si>
  <si>
    <r>
      <t xml:space="preserve">Hy </t>
    </r>
    <r>
      <rPr>
        <sz val="8"/>
        <color indexed="12"/>
        <rFont val="Arial"/>
        <family val="2"/>
      </rPr>
      <t>(kN)</t>
    </r>
    <r>
      <rPr>
        <sz val="10"/>
        <color indexed="12"/>
        <rFont val="Arial"/>
        <family val="2"/>
      </rPr>
      <t xml:space="preserve"> =</t>
    </r>
  </si>
  <si>
    <r>
      <t xml:space="preserve">Mx </t>
    </r>
    <r>
      <rPr>
        <sz val="8"/>
        <color indexed="12"/>
        <rFont val="Arial"/>
        <family val="2"/>
      </rPr>
      <t>(kN-m)</t>
    </r>
    <r>
      <rPr>
        <sz val="10"/>
        <color indexed="12"/>
        <rFont val="Arial"/>
        <family val="2"/>
      </rPr>
      <t xml:space="preserve"> =</t>
    </r>
  </si>
  <si>
    <r>
      <t xml:space="preserve">My </t>
    </r>
    <r>
      <rPr>
        <sz val="8"/>
        <color indexed="12"/>
        <rFont val="Arial"/>
        <family val="2"/>
      </rPr>
      <t>(kN-m)</t>
    </r>
    <r>
      <rPr>
        <sz val="10"/>
        <color indexed="12"/>
        <rFont val="Arial"/>
        <family val="2"/>
      </rPr>
      <t xml:space="preserve"> =</t>
    </r>
  </si>
  <si>
    <r>
      <t xml:space="preserve">Mz </t>
    </r>
    <r>
      <rPr>
        <sz val="8"/>
        <color indexed="12"/>
        <rFont val="Arial"/>
        <family val="2"/>
      </rPr>
      <t>(Kn-m)</t>
    </r>
    <r>
      <rPr>
        <sz val="10"/>
        <color indexed="12"/>
        <rFont val="Arial"/>
        <family val="2"/>
      </rPr>
      <t xml:space="preserve"> =</t>
    </r>
  </si>
  <si>
    <r>
      <t xml:space="preserve">X-Coordinate </t>
    </r>
    <r>
      <rPr>
        <sz val="8"/>
        <color indexed="12"/>
        <rFont val="Arial"/>
        <family val="2"/>
      </rPr>
      <t>(ft.)</t>
    </r>
    <r>
      <rPr>
        <sz val="10"/>
        <color indexed="12"/>
        <rFont val="Arial"/>
        <family val="2"/>
      </rPr>
      <t xml:space="preserve"> =</t>
    </r>
  </si>
  <si>
    <r>
      <t xml:space="preserve">Y-Coordinate </t>
    </r>
    <r>
      <rPr>
        <sz val="8"/>
        <color indexed="12"/>
        <rFont val="Arial"/>
        <family val="2"/>
      </rPr>
      <t>(ft.)</t>
    </r>
    <r>
      <rPr>
        <sz val="10"/>
        <color indexed="12"/>
        <rFont val="Arial"/>
        <family val="2"/>
      </rPr>
      <t xml:space="preserve"> =</t>
    </r>
  </si>
  <si>
    <r>
      <t xml:space="preserve">Dist. to T/Piles, h </t>
    </r>
    <r>
      <rPr>
        <sz val="8"/>
        <color indexed="12"/>
        <rFont val="Arial"/>
        <family val="2"/>
      </rPr>
      <t>(ft.)</t>
    </r>
    <r>
      <rPr>
        <sz val="10"/>
        <color indexed="12"/>
        <rFont val="Arial"/>
        <family val="2"/>
      </rPr>
      <t xml:space="preserve"> =</t>
    </r>
  </si>
  <si>
    <r>
      <t xml:space="preserve">Vertical Load, Pz </t>
    </r>
    <r>
      <rPr>
        <sz val="8"/>
        <color indexed="12"/>
        <rFont val="Arial"/>
        <family val="2"/>
      </rPr>
      <t>(k)</t>
    </r>
    <r>
      <rPr>
        <sz val="10"/>
        <color indexed="12"/>
        <rFont val="Arial"/>
        <family val="2"/>
      </rPr>
      <t xml:space="preserve"> =</t>
    </r>
  </si>
  <si>
    <r>
      <t xml:space="preserve">Horiz. Load, Hx </t>
    </r>
    <r>
      <rPr>
        <sz val="8"/>
        <color indexed="12"/>
        <rFont val="Arial"/>
        <family val="2"/>
      </rPr>
      <t>(k)</t>
    </r>
    <r>
      <rPr>
        <sz val="10"/>
        <color indexed="12"/>
        <rFont val="Arial"/>
        <family val="2"/>
      </rPr>
      <t xml:space="preserve"> =</t>
    </r>
  </si>
  <si>
    <r>
      <t xml:space="preserve">Horiz. Load, Hy </t>
    </r>
    <r>
      <rPr>
        <sz val="8"/>
        <color indexed="12"/>
        <rFont val="Arial"/>
        <family val="2"/>
      </rPr>
      <t>(k)</t>
    </r>
    <r>
      <rPr>
        <sz val="10"/>
        <color indexed="12"/>
        <rFont val="Arial"/>
        <family val="2"/>
      </rPr>
      <t xml:space="preserve"> =</t>
    </r>
  </si>
  <si>
    <r>
      <t xml:space="preserve">Moment, Mx </t>
    </r>
    <r>
      <rPr>
        <sz val="8"/>
        <color indexed="12"/>
        <rFont val="Arial"/>
        <family val="2"/>
      </rPr>
      <t>(ft-k)</t>
    </r>
    <r>
      <rPr>
        <sz val="10"/>
        <color indexed="12"/>
        <rFont val="Arial"/>
        <family val="2"/>
      </rPr>
      <t xml:space="preserve"> =</t>
    </r>
  </si>
  <si>
    <r>
      <t xml:space="preserve">Moment, My </t>
    </r>
    <r>
      <rPr>
        <sz val="8"/>
        <color indexed="12"/>
        <rFont val="Arial"/>
        <family val="2"/>
      </rPr>
      <t>(ft-k)</t>
    </r>
    <r>
      <rPr>
        <sz val="10"/>
        <color indexed="12"/>
        <rFont val="Arial"/>
        <family val="2"/>
      </rPr>
      <t xml:space="preserve"> =</t>
    </r>
  </si>
  <si>
    <r>
      <t xml:space="preserve">Moment, Mz </t>
    </r>
    <r>
      <rPr>
        <sz val="8"/>
        <color indexed="12"/>
        <rFont val="Arial"/>
        <family val="2"/>
      </rPr>
      <t>(ft-k)</t>
    </r>
    <r>
      <rPr>
        <sz val="10"/>
        <color indexed="12"/>
        <rFont val="Arial"/>
        <family val="2"/>
      </rPr>
      <t xml:space="preserve"> =</t>
    </r>
  </si>
  <si>
    <r>
      <t xml:space="preserve">X-Coordinate </t>
    </r>
    <r>
      <rPr>
        <sz val="8"/>
        <color indexed="12"/>
        <rFont val="Arial"/>
        <family val="2"/>
      </rPr>
      <t>(m)</t>
    </r>
    <r>
      <rPr>
        <sz val="10"/>
        <color indexed="12"/>
        <rFont val="Arial"/>
        <family val="2"/>
      </rPr>
      <t xml:space="preserve"> =</t>
    </r>
  </si>
  <si>
    <r>
      <t xml:space="preserve">Y-Coordinate </t>
    </r>
    <r>
      <rPr>
        <sz val="8"/>
        <color indexed="12"/>
        <rFont val="Arial"/>
        <family val="2"/>
      </rPr>
      <t>(m)</t>
    </r>
    <r>
      <rPr>
        <sz val="10"/>
        <color indexed="12"/>
        <rFont val="Arial"/>
        <family val="2"/>
      </rPr>
      <t xml:space="preserve"> =</t>
    </r>
  </si>
  <si>
    <r>
      <t xml:space="preserve">Dist. to T/Piles, h </t>
    </r>
    <r>
      <rPr>
        <sz val="8"/>
        <color indexed="12"/>
        <rFont val="Arial"/>
        <family val="2"/>
      </rPr>
      <t>(m)</t>
    </r>
    <r>
      <rPr>
        <sz val="10"/>
        <color indexed="12"/>
        <rFont val="Arial"/>
        <family val="2"/>
      </rPr>
      <t xml:space="preserve"> =</t>
    </r>
  </si>
  <si>
    <r>
      <t xml:space="preserve">Vertical Load, Pz </t>
    </r>
    <r>
      <rPr>
        <sz val="8"/>
        <color indexed="12"/>
        <rFont val="Arial"/>
        <family val="2"/>
      </rPr>
      <t>(kN)</t>
    </r>
    <r>
      <rPr>
        <sz val="10"/>
        <color indexed="12"/>
        <rFont val="Arial"/>
        <family val="2"/>
      </rPr>
      <t xml:space="preserve"> =</t>
    </r>
  </si>
  <si>
    <r>
      <t xml:space="preserve">Horiz. Load, Hx </t>
    </r>
    <r>
      <rPr>
        <sz val="8"/>
        <color indexed="12"/>
        <rFont val="Arial"/>
        <family val="2"/>
      </rPr>
      <t>(kN)</t>
    </r>
    <r>
      <rPr>
        <sz val="10"/>
        <color indexed="12"/>
        <rFont val="Arial"/>
        <family val="2"/>
      </rPr>
      <t xml:space="preserve"> =</t>
    </r>
  </si>
  <si>
    <r>
      <t xml:space="preserve">Horiz. Load, Hy </t>
    </r>
    <r>
      <rPr>
        <sz val="8"/>
        <color indexed="12"/>
        <rFont val="Arial"/>
        <family val="2"/>
      </rPr>
      <t>(kN)</t>
    </r>
    <r>
      <rPr>
        <sz val="10"/>
        <color indexed="12"/>
        <rFont val="Arial"/>
        <family val="2"/>
      </rPr>
      <t xml:space="preserve"> =</t>
    </r>
  </si>
  <si>
    <r>
      <t xml:space="preserve">Moment, Mx </t>
    </r>
    <r>
      <rPr>
        <sz val="8"/>
        <color indexed="12"/>
        <rFont val="Arial"/>
        <family val="2"/>
      </rPr>
      <t>(kN-m)</t>
    </r>
    <r>
      <rPr>
        <sz val="10"/>
        <color indexed="12"/>
        <rFont val="Arial"/>
        <family val="2"/>
      </rPr>
      <t xml:space="preserve"> =</t>
    </r>
  </si>
  <si>
    <r>
      <t xml:space="preserve">Moment, My </t>
    </r>
    <r>
      <rPr>
        <sz val="8"/>
        <color indexed="12"/>
        <rFont val="Arial"/>
        <family val="2"/>
      </rPr>
      <t>(kN-m)</t>
    </r>
    <r>
      <rPr>
        <sz val="10"/>
        <color indexed="12"/>
        <rFont val="Arial"/>
        <family val="2"/>
      </rPr>
      <t xml:space="preserve"> =</t>
    </r>
  </si>
  <si>
    <r>
      <t xml:space="preserve">Moment, Mz </t>
    </r>
    <r>
      <rPr>
        <sz val="8"/>
        <color indexed="12"/>
        <rFont val="Arial"/>
        <family val="2"/>
      </rPr>
      <t>(kN-m)</t>
    </r>
    <r>
      <rPr>
        <sz val="10"/>
        <color indexed="12"/>
        <rFont val="Arial"/>
        <family val="2"/>
      </rPr>
      <t xml:space="preserve"> =</t>
    </r>
  </si>
  <si>
    <r>
      <t>Note:</t>
    </r>
    <r>
      <rPr>
        <b/>
        <sz val="10"/>
        <color indexed="12"/>
        <rFont val="Arial"/>
        <family val="2"/>
      </rPr>
      <t xml:space="preserve">  The following may be used to facilitate input </t>
    </r>
  </si>
  <si>
    <t xml:space="preserve">          of pile coordinates for a circular pattern:</t>
  </si>
  <si>
    <t>Using the Elastic Method for up to 300 Total Piles</t>
  </si>
  <si>
    <t>Metric Units</t>
  </si>
  <si>
    <t>2.</t>
  </si>
  <si>
    <t>3.</t>
  </si>
  <si>
    <t>When modeling multiple pile circles, remember to always use center coordinates of largest pile circle for all other smaller pile circles.</t>
  </si>
  <si>
    <t>Pier #9</t>
  </si>
  <si>
    <t>Pier #10</t>
  </si>
  <si>
    <t>Pier #11</t>
  </si>
  <si>
    <t>Pier #12</t>
  </si>
  <si>
    <t>Pier #13</t>
  </si>
  <si>
    <t>Pier #14</t>
  </si>
  <si>
    <t>Pier #15</t>
  </si>
  <si>
    <t>Pier #16</t>
  </si>
  <si>
    <r>
      <t xml:space="preserve">Remember to account for correct total number of piles in cell </t>
    </r>
    <r>
      <rPr>
        <b/>
        <sz val="10"/>
        <color indexed="12"/>
        <rFont val="Arial"/>
        <family val="2"/>
      </rPr>
      <t>C9</t>
    </r>
    <r>
      <rPr>
        <sz val="10"/>
        <color indexed="12"/>
        <rFont val="Arial"/>
        <family val="2"/>
      </rPr>
      <t xml:space="preserve"> on input page.</t>
    </r>
  </si>
  <si>
    <r>
      <t>Notes:</t>
    </r>
    <r>
      <rPr>
        <sz val="10"/>
        <color indexed="12"/>
        <rFont val="Arial"/>
        <family val="2"/>
      </rPr>
      <t xml:space="preserve"> 1.</t>
    </r>
  </si>
  <si>
    <r>
      <t xml:space="preserve">Mz </t>
    </r>
    <r>
      <rPr>
        <sz val="8"/>
        <rFont val="Arial"/>
        <family val="2"/>
      </rPr>
      <t>(kN-m)</t>
    </r>
    <r>
      <rPr>
        <sz val="10"/>
        <rFont val="Arial"/>
      </rPr>
      <t xml:space="preserve"> =</t>
    </r>
  </si>
  <si>
    <r>
      <t>Pile Reactions</t>
    </r>
    <r>
      <rPr>
        <b/>
        <sz val="8"/>
        <rFont val="Arial"/>
        <family val="2"/>
      </rPr>
      <t>(kN)</t>
    </r>
  </si>
  <si>
    <r>
      <t xml:space="preserve">Mz </t>
    </r>
    <r>
      <rPr>
        <sz val="8"/>
        <color indexed="12"/>
        <rFont val="Arial"/>
        <family val="2"/>
      </rPr>
      <t>(kN-m)</t>
    </r>
    <r>
      <rPr>
        <sz val="10"/>
        <color indexed="12"/>
        <rFont val="Arial"/>
        <family val="2"/>
      </rPr>
      <t xml:space="preserve"> =</t>
    </r>
  </si>
  <si>
    <t>English Units</t>
  </si>
  <si>
    <t xml:space="preserve">     applied loads are linearly distributed among the piles.  A common "rule-of-thumb" is to assume a pile cap </t>
  </si>
  <si>
    <t xml:space="preserve">     thickness equal to least 1/10 of the longest dimension (length or width) of the pile cap.  All piles are assumed </t>
  </si>
  <si>
    <t xml:space="preserve">     to be vertical, and of equal size and length (stiffness).  Battered piles are NOT permitted.  The tops of all piles </t>
  </si>
  <si>
    <t xml:space="preserve">     are assumed at the same level. </t>
  </si>
  <si>
    <t>ft^2</t>
  </si>
  <si>
    <t>m^2</t>
  </si>
  <si>
    <t>for Single Corner Pile</t>
  </si>
  <si>
    <t>Yes</t>
  </si>
  <si>
    <t>For One-way, Beam Shear:</t>
  </si>
  <si>
    <t>No</t>
  </si>
  <si>
    <t>d =</t>
  </si>
  <si>
    <t>in.</t>
  </si>
  <si>
    <t>CS =</t>
  </si>
  <si>
    <t>Input:</t>
  </si>
  <si>
    <t>b =</t>
  </si>
  <si>
    <t>b = 2*(SQRT(2*E^2)+Dp/2+CS)</t>
  </si>
  <si>
    <t>Determine Pile Cap Weight and Weight per Pier:</t>
  </si>
  <si>
    <t>Vu =</t>
  </si>
  <si>
    <t>Vu = LF*Rp</t>
  </si>
  <si>
    <t>Pile Reaction, Rp =</t>
  </si>
  <si>
    <t>No. of Piers, N =</t>
  </si>
  <si>
    <t>Pile Dia., Dp =</t>
  </si>
  <si>
    <t>For Two-way, Punching Shear:</t>
  </si>
  <si>
    <t>Pile Cap Length, Lx =</t>
  </si>
  <si>
    <t>Pile Edge Dist., E =</t>
  </si>
  <si>
    <t>Pile Cap Width, Ly =</t>
  </si>
  <si>
    <t>Pile Spacing, L =</t>
  </si>
  <si>
    <t>Pile Cap Thk., H =</t>
  </si>
  <si>
    <t>Pile Embedment, dp =</t>
  </si>
  <si>
    <t>bo =</t>
  </si>
  <si>
    <t>Conc. Unit Weight, wc =</t>
  </si>
  <si>
    <t>pcf</t>
  </si>
  <si>
    <t>Pile Cap Thk, H =</t>
  </si>
  <si>
    <t>Conc. Strength, f 'c =</t>
  </si>
  <si>
    <t>psi</t>
  </si>
  <si>
    <t>Top Face Reinf.?</t>
  </si>
  <si>
    <t>Pile Cap Total Wt., W =</t>
  </si>
  <si>
    <t>USD Load Factor, LF =</t>
  </si>
  <si>
    <t>Weight per Pier, Wp =</t>
  </si>
  <si>
    <t>Nomenclature</t>
  </si>
  <si>
    <t>Pile Cap Eff. Depth, d =</t>
  </si>
  <si>
    <t>Critical Section, CS =</t>
  </si>
  <si>
    <t>Shear Width, b =</t>
  </si>
  <si>
    <t>Ultimate Shear, Vu =</t>
  </si>
  <si>
    <r>
      <t xml:space="preserve">Allow. Shear, </t>
    </r>
    <r>
      <rPr>
        <sz val="10"/>
        <rFont val="Symbol"/>
        <family val="1"/>
        <charset val="2"/>
      </rPr>
      <t>f</t>
    </r>
    <r>
      <rPr>
        <sz val="10"/>
        <rFont val="Arial"/>
      </rPr>
      <t>Vc =</t>
    </r>
  </si>
  <si>
    <t>Shear Perimeter, bo =</t>
  </si>
  <si>
    <t>Comments:</t>
  </si>
  <si>
    <r>
      <t>f</t>
    </r>
    <r>
      <rPr>
        <sz val="10"/>
        <color indexed="12"/>
        <rFont val="Arial"/>
      </rPr>
      <t>Vc =</t>
    </r>
  </si>
  <si>
    <r>
      <t>bo = 2*E+(2*</t>
    </r>
    <r>
      <rPr>
        <sz val="10"/>
        <color indexed="12"/>
        <rFont val="Symbol"/>
        <family val="1"/>
        <charset val="2"/>
      </rPr>
      <t>p</t>
    </r>
    <r>
      <rPr>
        <sz val="10"/>
        <color indexed="12"/>
        <rFont val="Arial"/>
        <family val="2"/>
      </rPr>
      <t>*(Dp/2+CS))/4 &lt;= 2*</t>
    </r>
    <r>
      <rPr>
        <sz val="10"/>
        <color indexed="12"/>
        <rFont val="Symbol"/>
        <family val="1"/>
        <charset val="2"/>
      </rPr>
      <t>p</t>
    </r>
    <r>
      <rPr>
        <sz val="10"/>
        <color indexed="12"/>
        <rFont val="Arial"/>
        <family val="2"/>
      </rPr>
      <t>*(Dp/2+CS)</t>
    </r>
  </si>
  <si>
    <r>
      <t>bo = 2*E+(2*</t>
    </r>
    <r>
      <rPr>
        <sz val="10"/>
        <color indexed="8"/>
        <rFont val="Symbol"/>
        <family val="1"/>
        <charset val="2"/>
      </rPr>
      <t>p</t>
    </r>
    <r>
      <rPr>
        <sz val="10"/>
        <color indexed="8"/>
        <rFont val="Arial"/>
        <family val="2"/>
      </rPr>
      <t>*(Dp/2+CS))/4 &lt;= 2*</t>
    </r>
    <r>
      <rPr>
        <sz val="10"/>
        <color indexed="8"/>
        <rFont val="Symbol"/>
        <family val="1"/>
        <charset val="2"/>
      </rPr>
      <t>p</t>
    </r>
    <r>
      <rPr>
        <sz val="10"/>
        <color indexed="8"/>
        <rFont val="Arial"/>
        <family val="2"/>
      </rPr>
      <t>*(Dp/2+CS)</t>
    </r>
  </si>
  <si>
    <t>Corner Pile Shear</t>
  </si>
  <si>
    <t>Results (English Units):</t>
  </si>
  <si>
    <t>W =</t>
  </si>
  <si>
    <t>Wp =</t>
  </si>
  <si>
    <t>cm</t>
  </si>
  <si>
    <t>N/m^3</t>
  </si>
  <si>
    <t>1 ft. = 0.3048 m</t>
  </si>
  <si>
    <t>1 in. =2.54 cm</t>
  </si>
  <si>
    <t>1 pcf = 157.0875 N/m^3</t>
  </si>
  <si>
    <t>1 kip = 4.4482 kN</t>
  </si>
  <si>
    <t>BEAM AND PUNCHING SHEAR CHECKS FOR PILE CAP</t>
  </si>
  <si>
    <t>Beam and punching shear checks for pile cap for single corner pile</t>
  </si>
  <si>
    <t xml:space="preserve">There is also a worksheet to check beam and punching shear in the pile cap for a single corner pile, for the </t>
  </si>
  <si>
    <t>purpose of estimating the required pile cap thickness and subsequent pile cap weight.</t>
  </si>
  <si>
    <t>CS = minimum of: d  or  (L-Dp)/2</t>
  </si>
  <si>
    <t>CS = minimum of: d/2  or  (L-Dp)/2</t>
  </si>
  <si>
    <t>Critical Section @ min. of d or (L-Dp)/2 from face of pile</t>
  </si>
  <si>
    <t>Critical Section @ min. of d/2 or (L-Dp)/2 from face of pile</t>
  </si>
  <si>
    <t>Using the Elastic Method for up to 400 Total Piles</t>
  </si>
  <si>
    <r>
      <t xml:space="preserve">Copy only the block of cells from </t>
    </r>
    <r>
      <rPr>
        <b/>
        <sz val="10"/>
        <color indexed="12"/>
        <rFont val="Arial"/>
        <family val="2"/>
      </rPr>
      <t>AU92</t>
    </r>
    <r>
      <rPr>
        <sz val="10"/>
        <color indexed="12"/>
        <rFont val="Arial"/>
        <family val="2"/>
      </rPr>
      <t xml:space="preserve"> to </t>
    </r>
    <r>
      <rPr>
        <b/>
        <sz val="10"/>
        <color indexed="12"/>
        <rFont val="Arial"/>
        <family val="2"/>
      </rPr>
      <t>AV141</t>
    </r>
    <r>
      <rPr>
        <sz val="10"/>
        <color indexed="12"/>
        <rFont val="Arial"/>
        <family val="2"/>
      </rPr>
      <t>, AX</t>
    </r>
    <r>
      <rPr>
        <b/>
        <sz val="10"/>
        <color indexed="12"/>
        <rFont val="Arial"/>
        <family val="2"/>
      </rPr>
      <t>92</t>
    </r>
    <r>
      <rPr>
        <sz val="10"/>
        <color indexed="12"/>
        <rFont val="Arial"/>
        <family val="2"/>
      </rPr>
      <t xml:space="preserve"> to AY</t>
    </r>
    <r>
      <rPr>
        <b/>
        <sz val="10"/>
        <color indexed="12"/>
        <rFont val="Arial"/>
        <family val="2"/>
      </rPr>
      <t>141</t>
    </r>
    <r>
      <rPr>
        <sz val="10"/>
        <color indexed="12"/>
        <rFont val="Arial"/>
        <family val="2"/>
      </rPr>
      <t xml:space="preserve">, </t>
    </r>
    <r>
      <rPr>
        <b/>
        <sz val="10"/>
        <color indexed="12"/>
        <rFont val="Arial"/>
        <family val="2"/>
      </rPr>
      <t>BDA92</t>
    </r>
    <r>
      <rPr>
        <sz val="10"/>
        <color indexed="12"/>
        <rFont val="Arial"/>
        <family val="2"/>
      </rPr>
      <t xml:space="preserve"> to </t>
    </r>
    <r>
      <rPr>
        <b/>
        <sz val="10"/>
        <color indexed="12"/>
        <rFont val="Arial"/>
        <family val="2"/>
      </rPr>
      <t>BB141</t>
    </r>
    <r>
      <rPr>
        <sz val="10"/>
        <color indexed="12"/>
        <rFont val="Arial"/>
        <family val="2"/>
      </rPr>
      <t xml:space="preserve">, </t>
    </r>
    <r>
      <rPr>
        <b/>
        <sz val="10"/>
        <color indexed="12"/>
        <rFont val="Arial"/>
        <family val="2"/>
      </rPr>
      <t>BD92</t>
    </r>
    <r>
      <rPr>
        <sz val="10"/>
        <color indexed="12"/>
        <rFont val="Arial"/>
        <family val="2"/>
      </rPr>
      <t xml:space="preserve"> to </t>
    </r>
    <r>
      <rPr>
        <b/>
        <sz val="10"/>
        <color indexed="12"/>
        <rFont val="Arial"/>
        <family val="2"/>
      </rPr>
      <t>BE141</t>
    </r>
    <r>
      <rPr>
        <sz val="10"/>
        <color indexed="12"/>
        <rFont val="Arial"/>
        <family val="2"/>
      </rPr>
      <t xml:space="preserve">, </t>
    </r>
    <r>
      <rPr>
        <b/>
        <sz val="10"/>
        <color indexed="12"/>
        <rFont val="Arial"/>
        <family val="2"/>
      </rPr>
      <t>BG92</t>
    </r>
    <r>
      <rPr>
        <sz val="10"/>
        <color indexed="12"/>
        <rFont val="Arial"/>
        <family val="2"/>
      </rPr>
      <t xml:space="preserve"> to </t>
    </r>
    <r>
      <rPr>
        <b/>
        <sz val="10"/>
        <color indexed="12"/>
        <rFont val="Arial"/>
        <family val="2"/>
      </rPr>
      <t>BH141</t>
    </r>
    <r>
      <rPr>
        <sz val="10"/>
        <color indexed="12"/>
        <rFont val="Arial"/>
        <family val="2"/>
      </rPr>
      <t xml:space="preserve">, and </t>
    </r>
    <r>
      <rPr>
        <b/>
        <sz val="10"/>
        <color indexed="12"/>
        <rFont val="Arial"/>
        <family val="2"/>
      </rPr>
      <t>BJ92</t>
    </r>
    <r>
      <rPr>
        <sz val="10"/>
        <color indexed="12"/>
        <rFont val="Arial"/>
        <family val="2"/>
      </rPr>
      <t xml:space="preserve"> to </t>
    </r>
    <r>
      <rPr>
        <b/>
        <sz val="10"/>
        <color indexed="12"/>
        <rFont val="Arial"/>
        <family val="2"/>
      </rPr>
      <t>BK141</t>
    </r>
    <r>
      <rPr>
        <sz val="10"/>
        <color indexed="12"/>
        <rFont val="Arial"/>
        <family val="2"/>
      </rPr>
      <t xml:space="preserve">  </t>
    </r>
  </si>
  <si>
    <r>
      <t xml:space="preserve">below, and "Paste Special" only their "values" in appropriate position, starting at cell </t>
    </r>
    <r>
      <rPr>
        <b/>
        <sz val="10"/>
        <color indexed="12"/>
        <rFont val="Arial"/>
        <family val="2"/>
      </rPr>
      <t>B13</t>
    </r>
    <r>
      <rPr>
        <sz val="10"/>
        <color indexed="12"/>
        <rFont val="Arial"/>
        <family val="2"/>
      </rPr>
      <t xml:space="preserve"> on input page. </t>
    </r>
  </si>
  <si>
    <r>
      <t xml:space="preserve">Copy only the block of cells from </t>
    </r>
    <r>
      <rPr>
        <b/>
        <sz val="10"/>
        <color indexed="12"/>
        <rFont val="Arial"/>
        <family val="2"/>
      </rPr>
      <t>AU92</t>
    </r>
    <r>
      <rPr>
        <sz val="10"/>
        <color indexed="12"/>
        <rFont val="Arial"/>
        <family val="2"/>
      </rPr>
      <t xml:space="preserve"> to </t>
    </r>
    <r>
      <rPr>
        <b/>
        <sz val="10"/>
        <color indexed="12"/>
        <rFont val="Arial"/>
        <family val="2"/>
      </rPr>
      <t>AV141</t>
    </r>
    <r>
      <rPr>
        <sz val="10"/>
        <color indexed="12"/>
        <rFont val="Arial"/>
        <family val="2"/>
      </rPr>
      <t xml:space="preserve">, </t>
    </r>
    <r>
      <rPr>
        <b/>
        <sz val="10"/>
        <color indexed="12"/>
        <rFont val="Arial"/>
        <family val="2"/>
      </rPr>
      <t>AX92</t>
    </r>
    <r>
      <rPr>
        <sz val="10"/>
        <color indexed="12"/>
        <rFont val="Arial"/>
        <family val="2"/>
      </rPr>
      <t xml:space="preserve"> to </t>
    </r>
    <r>
      <rPr>
        <b/>
        <sz val="10"/>
        <color indexed="12"/>
        <rFont val="Arial"/>
        <family val="2"/>
      </rPr>
      <t>AY141</t>
    </r>
    <r>
      <rPr>
        <sz val="10"/>
        <color indexed="12"/>
        <rFont val="Arial"/>
        <family val="2"/>
      </rPr>
      <t xml:space="preserve">, </t>
    </r>
    <r>
      <rPr>
        <b/>
        <sz val="10"/>
        <color indexed="12"/>
        <rFont val="Arial"/>
        <family val="2"/>
      </rPr>
      <t>BDA92</t>
    </r>
    <r>
      <rPr>
        <sz val="10"/>
        <color indexed="12"/>
        <rFont val="Arial"/>
        <family val="2"/>
      </rPr>
      <t xml:space="preserve"> to </t>
    </r>
    <r>
      <rPr>
        <b/>
        <sz val="10"/>
        <color indexed="12"/>
        <rFont val="Arial"/>
        <family val="2"/>
      </rPr>
      <t>BB141</t>
    </r>
    <r>
      <rPr>
        <sz val="10"/>
        <color indexed="12"/>
        <rFont val="Arial"/>
        <family val="2"/>
      </rPr>
      <t xml:space="preserve">, </t>
    </r>
    <r>
      <rPr>
        <b/>
        <sz val="10"/>
        <color indexed="12"/>
        <rFont val="Arial"/>
        <family val="2"/>
      </rPr>
      <t>BD92</t>
    </r>
    <r>
      <rPr>
        <sz val="10"/>
        <color indexed="12"/>
        <rFont val="Arial"/>
        <family val="2"/>
      </rPr>
      <t xml:space="preserve"> to </t>
    </r>
    <r>
      <rPr>
        <b/>
        <sz val="10"/>
        <color indexed="12"/>
        <rFont val="Arial"/>
        <family val="2"/>
      </rPr>
      <t>BE141</t>
    </r>
    <r>
      <rPr>
        <sz val="10"/>
        <color indexed="12"/>
        <rFont val="Arial"/>
        <family val="2"/>
      </rPr>
      <t xml:space="preserve">, </t>
    </r>
    <r>
      <rPr>
        <b/>
        <sz val="10"/>
        <color indexed="12"/>
        <rFont val="Arial"/>
        <family val="2"/>
      </rPr>
      <t>BG92</t>
    </r>
    <r>
      <rPr>
        <sz val="10"/>
        <color indexed="12"/>
        <rFont val="Arial"/>
        <family val="2"/>
      </rPr>
      <t xml:space="preserve"> to </t>
    </r>
    <r>
      <rPr>
        <b/>
        <sz val="10"/>
        <color indexed="12"/>
        <rFont val="Arial"/>
        <family val="2"/>
      </rPr>
      <t>BH141</t>
    </r>
    <r>
      <rPr>
        <sz val="10"/>
        <color indexed="12"/>
        <rFont val="Arial"/>
        <family val="2"/>
      </rPr>
      <t xml:space="preserve">, and </t>
    </r>
    <r>
      <rPr>
        <b/>
        <sz val="10"/>
        <color indexed="12"/>
        <rFont val="Arial"/>
        <family val="2"/>
      </rPr>
      <t>BJ92</t>
    </r>
    <r>
      <rPr>
        <sz val="10"/>
        <color indexed="12"/>
        <rFont val="Arial"/>
        <family val="2"/>
      </rPr>
      <t xml:space="preserve"> to </t>
    </r>
    <r>
      <rPr>
        <b/>
        <sz val="10"/>
        <color indexed="12"/>
        <rFont val="Arial"/>
        <family val="2"/>
      </rPr>
      <t>BK141</t>
    </r>
    <r>
      <rPr>
        <sz val="10"/>
        <color indexed="12"/>
        <rFont val="Arial"/>
        <family val="2"/>
      </rPr>
      <t xml:space="preserve">  </t>
    </r>
  </si>
  <si>
    <r>
      <t xml:space="preserve">Copy only the block of cells from </t>
    </r>
    <r>
      <rPr>
        <b/>
        <sz val="10"/>
        <color indexed="12"/>
        <rFont val="Arial"/>
        <family val="2"/>
      </rPr>
      <t>BA92</t>
    </r>
    <r>
      <rPr>
        <sz val="10"/>
        <color indexed="12"/>
        <rFont val="Arial"/>
        <family val="2"/>
      </rPr>
      <t xml:space="preserve"> to </t>
    </r>
    <r>
      <rPr>
        <b/>
        <sz val="10"/>
        <color indexed="12"/>
        <rFont val="Arial"/>
        <family val="2"/>
      </rPr>
      <t>BB141</t>
    </r>
    <r>
      <rPr>
        <sz val="10"/>
        <color indexed="12"/>
        <rFont val="Arial"/>
        <family val="2"/>
      </rPr>
      <t xml:space="preserve">, </t>
    </r>
    <r>
      <rPr>
        <b/>
        <sz val="10"/>
        <color indexed="12"/>
        <rFont val="Arial"/>
        <family val="2"/>
      </rPr>
      <t>BD92</t>
    </r>
    <r>
      <rPr>
        <sz val="10"/>
        <color indexed="12"/>
        <rFont val="Arial"/>
        <family val="2"/>
      </rPr>
      <t xml:space="preserve"> to </t>
    </r>
    <r>
      <rPr>
        <b/>
        <sz val="10"/>
        <color indexed="12"/>
        <rFont val="Arial"/>
        <family val="2"/>
      </rPr>
      <t>BE141</t>
    </r>
    <r>
      <rPr>
        <sz val="10"/>
        <color indexed="12"/>
        <rFont val="Arial"/>
        <family val="2"/>
      </rPr>
      <t xml:space="preserve">, </t>
    </r>
    <r>
      <rPr>
        <b/>
        <sz val="10"/>
        <color indexed="12"/>
        <rFont val="Arial"/>
        <family val="2"/>
      </rPr>
      <t>BG92</t>
    </r>
    <r>
      <rPr>
        <sz val="10"/>
        <color indexed="12"/>
        <rFont val="Arial"/>
        <family val="2"/>
      </rPr>
      <t xml:space="preserve"> to </t>
    </r>
    <r>
      <rPr>
        <b/>
        <sz val="10"/>
        <color indexed="12"/>
        <rFont val="Arial"/>
        <family val="2"/>
      </rPr>
      <t>BH141</t>
    </r>
    <r>
      <rPr>
        <sz val="10"/>
        <color indexed="12"/>
        <rFont val="Arial"/>
        <family val="2"/>
      </rPr>
      <t xml:space="preserve">, </t>
    </r>
    <r>
      <rPr>
        <b/>
        <sz val="10"/>
        <color indexed="12"/>
        <rFont val="Arial"/>
        <family val="2"/>
      </rPr>
      <t>BJ92</t>
    </r>
    <r>
      <rPr>
        <sz val="10"/>
        <color indexed="12"/>
        <rFont val="Arial"/>
        <family val="2"/>
      </rPr>
      <t xml:space="preserve"> to </t>
    </r>
    <r>
      <rPr>
        <b/>
        <sz val="10"/>
        <color indexed="12"/>
        <rFont val="Arial"/>
        <family val="2"/>
      </rPr>
      <t>BK141</t>
    </r>
    <r>
      <rPr>
        <sz val="10"/>
        <color indexed="12"/>
        <rFont val="Arial"/>
        <family val="2"/>
      </rPr>
      <t xml:space="preserve">, </t>
    </r>
    <r>
      <rPr>
        <b/>
        <sz val="10"/>
        <color indexed="12"/>
        <rFont val="Arial"/>
        <family val="2"/>
      </rPr>
      <t>BM92</t>
    </r>
    <r>
      <rPr>
        <sz val="10"/>
        <color indexed="12"/>
        <rFont val="Arial"/>
        <family val="2"/>
      </rPr>
      <t xml:space="preserve"> to </t>
    </r>
    <r>
      <rPr>
        <b/>
        <sz val="10"/>
        <color indexed="12"/>
        <rFont val="Arial"/>
        <family val="2"/>
      </rPr>
      <t>BN141</t>
    </r>
    <r>
      <rPr>
        <sz val="10"/>
        <color indexed="12"/>
        <rFont val="Arial"/>
        <family val="2"/>
      </rPr>
      <t xml:space="preserve">, </t>
    </r>
    <r>
      <rPr>
        <b/>
        <sz val="10"/>
        <color indexed="12"/>
        <rFont val="Arial"/>
        <family val="2"/>
      </rPr>
      <t>BP92</t>
    </r>
    <r>
      <rPr>
        <sz val="10"/>
        <color indexed="12"/>
        <rFont val="Arial"/>
        <family val="2"/>
      </rPr>
      <t xml:space="preserve"> to </t>
    </r>
    <r>
      <rPr>
        <b/>
        <sz val="10"/>
        <color indexed="12"/>
        <rFont val="Arial"/>
        <family val="2"/>
      </rPr>
      <t>BQ141, BS92 to BT141,and BV92 to BW141</t>
    </r>
  </si>
  <si>
    <t>This program is a workbook consisting of ten (10) worksheets, described as follows:</t>
  </si>
  <si>
    <t xml:space="preserve">1.  The Pile Group worksheets assume a minimum of 2 piles and a maximum of either 25, 75, 300, or 400 piles </t>
  </si>
  <si>
    <t xml:space="preserve">     for a pile group.</t>
  </si>
  <si>
    <t xml:space="preserve">Piles (&lt;=25) </t>
  </si>
  <si>
    <t xml:space="preserve">Piles (&lt;=25)(metric) </t>
  </si>
  <si>
    <t xml:space="preserve">Piles (&lt;=75) </t>
  </si>
  <si>
    <t xml:space="preserve">Piles (&lt;=75)(metric) </t>
  </si>
  <si>
    <t xml:space="preserve">Piles (&lt;=300) </t>
  </si>
  <si>
    <t>Piles (&lt;=300)(metric)</t>
  </si>
  <si>
    <t xml:space="preserve">Piles (&lt;=400) </t>
  </si>
  <si>
    <t>Piles (&lt;=400)(metric)</t>
  </si>
  <si>
    <t>X (m) =</t>
  </si>
  <si>
    <t>Y (m) =</t>
  </si>
  <si>
    <t>h (m) =</t>
  </si>
  <si>
    <t>Pz (kN) =</t>
  </si>
  <si>
    <t>Hx (kN) =</t>
  </si>
  <si>
    <t>Hy (kN) =</t>
  </si>
  <si>
    <t>Mx (kN-m) =</t>
  </si>
  <si>
    <t>My (kN-m) =</t>
  </si>
  <si>
    <t>Mz (kN-m) =</t>
  </si>
  <si>
    <t>Pier #17</t>
  </si>
  <si>
    <t>Pier #18</t>
  </si>
  <si>
    <t>Pier #19</t>
  </si>
  <si>
    <t>Pier #20</t>
  </si>
  <si>
    <t>Pier #21</t>
  </si>
  <si>
    <t>Pier #22</t>
  </si>
  <si>
    <t>Pier #23</t>
  </si>
  <si>
    <t>Pile group analysis for up to 300 total piles and 17 piers/loadings</t>
  </si>
  <si>
    <t>Pile group analysis for up to 300 total piles and 17 piers/loadings (metric)</t>
  </si>
  <si>
    <t>Pile group analysis for up to 400 total piles and 23 piers/loadings (metric)</t>
  </si>
  <si>
    <t>Pile group analysis for up to 400 total piles and 23 piers/loadings</t>
  </si>
  <si>
    <t>Applicable ACI Code =</t>
  </si>
  <si>
    <t>318-99</t>
  </si>
  <si>
    <t>318-02</t>
  </si>
  <si>
    <t>318-05</t>
  </si>
  <si>
    <r>
      <t>f</t>
    </r>
    <r>
      <rPr>
        <sz val="10"/>
        <rFont val="Arial"/>
      </rPr>
      <t xml:space="preserve"> =</t>
    </r>
  </si>
  <si>
    <r>
      <t>f</t>
    </r>
    <r>
      <rPr>
        <sz val="10"/>
        <color indexed="8"/>
        <rFont val="Arial"/>
      </rPr>
      <t xml:space="preserve">Vc = </t>
    </r>
    <r>
      <rPr>
        <sz val="10"/>
        <color indexed="8"/>
        <rFont val="Symbol"/>
        <family val="1"/>
        <charset val="2"/>
      </rPr>
      <t>f</t>
    </r>
    <r>
      <rPr>
        <sz val="10"/>
        <color indexed="8"/>
        <rFont val="Arial"/>
      </rPr>
      <t>*2*SQRT(f 'c)/1000*b*d</t>
    </r>
  </si>
  <si>
    <r>
      <t>f</t>
    </r>
    <r>
      <rPr>
        <sz val="10"/>
        <color indexed="8"/>
        <rFont val="Arial"/>
      </rPr>
      <t xml:space="preserve">Vc = </t>
    </r>
    <r>
      <rPr>
        <sz val="10"/>
        <color indexed="8"/>
        <rFont val="Symbol"/>
        <family val="1"/>
        <charset val="2"/>
      </rPr>
      <t>f</t>
    </r>
    <r>
      <rPr>
        <sz val="10"/>
        <color indexed="8"/>
        <rFont val="Arial"/>
      </rPr>
      <t>*4*SQRT(f 'c)/1000*bo*d</t>
    </r>
  </si>
  <si>
    <r>
      <t>f</t>
    </r>
    <r>
      <rPr>
        <sz val="10"/>
        <color indexed="12"/>
        <rFont val="Arial"/>
      </rPr>
      <t xml:space="preserve"> =</t>
    </r>
  </si>
  <si>
    <r>
      <t>f</t>
    </r>
    <r>
      <rPr>
        <sz val="10"/>
        <color indexed="12"/>
        <rFont val="Arial"/>
      </rPr>
      <t xml:space="preserve"> = strength reduction factor for shear</t>
    </r>
  </si>
  <si>
    <r>
      <t>f</t>
    </r>
    <r>
      <rPr>
        <sz val="10"/>
        <color indexed="8"/>
        <rFont val="Arial"/>
      </rPr>
      <t xml:space="preserve"> = strength reduction factor for shear</t>
    </r>
  </si>
  <si>
    <r>
      <t>f</t>
    </r>
    <r>
      <rPr>
        <sz val="10"/>
        <color indexed="12"/>
        <rFont val="Arial"/>
      </rPr>
      <t xml:space="preserve">Vc = </t>
    </r>
    <r>
      <rPr>
        <sz val="10"/>
        <color indexed="12"/>
        <rFont val="Symbol"/>
        <family val="1"/>
        <charset val="2"/>
      </rPr>
      <t>f</t>
    </r>
    <r>
      <rPr>
        <sz val="10"/>
        <color indexed="12"/>
        <rFont val="Arial"/>
      </rPr>
      <t>*2*SQRT(f 'c)/1000*b*d</t>
    </r>
  </si>
  <si>
    <r>
      <t>f</t>
    </r>
    <r>
      <rPr>
        <sz val="10"/>
        <color indexed="12"/>
        <rFont val="Arial"/>
      </rPr>
      <t xml:space="preserve">Vc = </t>
    </r>
    <r>
      <rPr>
        <sz val="10"/>
        <color indexed="12"/>
        <rFont val="Symbol"/>
        <family val="1"/>
        <charset val="2"/>
      </rPr>
      <t>f</t>
    </r>
    <r>
      <rPr>
        <sz val="10"/>
        <color indexed="12"/>
        <rFont val="Arial"/>
      </rPr>
      <t>*4*SQRT(f 'c)/1000*bo*d</t>
    </r>
  </si>
  <si>
    <t>Version 3.6</t>
  </si>
  <si>
    <t xml:space="preserve">7.  This program does NOT perform all of the necessary checks for the beam-type shear or punching shear for the </t>
  </si>
  <si>
    <t>9.  This program contains numerous “comment boxes” which contain a wide variety of information including</t>
  </si>
  <si>
    <t xml:space="preserve">8.  This program does NOT check the flexural requirements of the pile cap, as this must be done independently by </t>
  </si>
  <si>
    <t xml:space="preserve">     pile cap, as this must be done independently by the user.  However the "Corner Pile Shear" worksheet can be </t>
  </si>
  <si>
    <t xml:space="preserve">     used to estimate the required pile cap thickness and subsequently the pile cap weight to be accounted for.</t>
  </si>
  <si>
    <t>Results (Metric Units):</t>
  </si>
  <si>
    <t>318-08</t>
  </si>
  <si>
    <t>318-11</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</si>
</sst>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5">
    <numFmt numFmtId="164" formatCode="0.000"/>
    <numFmt numFmtId="166" formatCode="0.0000"/>
    <numFmt numFmtId="167" formatCode="0.0"/>
    <numFmt numFmtId="172" formatCode="0.000E+00"/>
    <numFmt numFmtId="184" formatCode="&quot;$&quot;#,##0\ ;\(&quot;$&quot;#,##0\)"/>
  </numFmts>
  <fonts count="44" x14ac:knownFonts="1">
    <font>
      <sz val="10"/>
      <name val="Arial"/>
    </font>
    <font>
      <sz val="10"/>
      <name val="Arial"/>
    </font>
    <font>
      <sz val="10"/>
      <name val="Arial"/>
      <family val="2"/>
    </font>
    <font>
      <b/>
      <sz val="10"/>
      <color indexed="10"/>
      <name val="Arial"/>
      <family val="2"/>
    </font>
    <font>
      <b/>
      <sz val="10"/>
      <name val="Arial"/>
      <family val="2"/>
    </font>
    <font>
      <b/>
      <u/>
      <sz val="10"/>
      <name val="Arial"/>
      <family val="2"/>
    </font>
    <font>
      <sz val="10"/>
      <color indexed="12"/>
      <name val="Arial"/>
      <family val="2"/>
    </font>
    <font>
      <sz val="10"/>
      <color indexed="8"/>
      <name val="Arial"/>
      <family val="2"/>
    </font>
    <font>
      <b/>
      <sz val="12"/>
      <name val="Arial"/>
      <family val="2"/>
    </font>
    <font>
      <b/>
      <sz val="10"/>
      <color indexed="12"/>
      <name val="Arial"/>
      <family val="2"/>
    </font>
    <font>
      <sz val="8"/>
      <color indexed="81"/>
      <name val="Tahoma"/>
    </font>
    <font>
      <b/>
      <sz val="8"/>
      <color indexed="81"/>
      <name val="Tahoma"/>
      <family val="2"/>
    </font>
    <font>
      <sz val="10"/>
      <name val="Symbol"/>
      <family val="1"/>
      <charset val="2"/>
    </font>
    <font>
      <u/>
      <sz val="10"/>
      <color indexed="12"/>
      <name val="Arial"/>
      <family val="2"/>
    </font>
    <font>
      <sz val="10"/>
      <color indexed="12"/>
      <name val="Symbol"/>
      <family val="1"/>
      <charset val="2"/>
    </font>
    <font>
      <sz val="10"/>
      <color indexed="8"/>
      <name val="Symbol"/>
      <family val="1"/>
      <charset val="2"/>
    </font>
    <font>
      <sz val="10"/>
      <color indexed="12"/>
      <name val="Arial"/>
    </font>
    <font>
      <u/>
      <sz val="10"/>
      <color indexed="12"/>
      <name val="Symbol"/>
      <family val="1"/>
      <charset val="2"/>
    </font>
    <font>
      <sz val="10"/>
      <color indexed="8"/>
      <name val="Arial"/>
    </font>
    <font>
      <sz val="8"/>
      <color indexed="81"/>
      <name val="Tahoma"/>
      <family val="2"/>
    </font>
    <font>
      <sz val="8"/>
      <color indexed="81"/>
      <name val="Symbol"/>
      <family val="1"/>
      <charset val="2"/>
    </font>
    <font>
      <b/>
      <u/>
      <sz val="12"/>
      <name val="Arial"/>
      <family val="2"/>
    </font>
    <font>
      <sz val="9"/>
      <name val="Arial"/>
      <family val="2"/>
    </font>
    <font>
      <b/>
      <u/>
      <sz val="10"/>
      <color indexed="8"/>
      <name val="Arial"/>
      <family val="2"/>
    </font>
    <font>
      <u/>
      <sz val="10"/>
      <name val="Arial"/>
      <family val="2"/>
    </font>
    <font>
      <sz val="8"/>
      <color indexed="8"/>
      <name val="Arial"/>
      <family val="2"/>
    </font>
    <font>
      <sz val="8"/>
      <name val="Arial"/>
      <family val="2"/>
    </font>
    <font>
      <b/>
      <u/>
      <sz val="10"/>
      <color indexed="8"/>
      <name val="Symbol"/>
      <family val="1"/>
      <charset val="2"/>
    </font>
    <font>
      <sz val="9"/>
      <color indexed="8"/>
      <name val="Arial"/>
      <family val="2"/>
    </font>
    <font>
      <sz val="10"/>
      <color indexed="24"/>
      <name val="Arial"/>
    </font>
    <font>
      <b/>
      <sz val="18"/>
      <color indexed="24"/>
      <name val="Arial"/>
    </font>
    <font>
      <b/>
      <sz val="12"/>
      <color indexed="24"/>
      <name val="Arial"/>
    </font>
    <font>
      <b/>
      <sz val="10"/>
      <color indexed="8"/>
      <name val="Arial"/>
      <family val="2"/>
    </font>
    <font>
      <b/>
      <sz val="8"/>
      <name val="Arial"/>
      <family val="2"/>
    </font>
    <font>
      <b/>
      <i/>
      <sz val="10"/>
      <color indexed="10"/>
      <name val="Arial"/>
      <family val="2"/>
    </font>
    <font>
      <i/>
      <sz val="10"/>
      <name val="Arial"/>
      <family val="2"/>
    </font>
    <font>
      <b/>
      <i/>
      <u/>
      <sz val="10"/>
      <color indexed="10"/>
      <name val="Arial"/>
      <family val="2"/>
    </font>
    <font>
      <sz val="8"/>
      <color indexed="12"/>
      <name val="Arial"/>
      <family val="2"/>
    </font>
    <font>
      <b/>
      <u/>
      <sz val="10"/>
      <color indexed="12"/>
      <name val="Arial"/>
      <family val="2"/>
    </font>
    <font>
      <sz val="9"/>
      <color indexed="12"/>
      <name val="Arial"/>
      <family val="2"/>
    </font>
    <font>
      <sz val="8"/>
      <color indexed="12"/>
      <name val="Arial"/>
    </font>
    <font>
      <sz val="8"/>
      <name val="Arial"/>
    </font>
    <font>
      <i/>
      <u/>
      <sz val="10"/>
      <color indexed="10"/>
      <name val="Arial"/>
      <family val="2"/>
    </font>
    <font>
      <i/>
      <sz val="10"/>
      <color indexed="10"/>
      <name val="Arial"/>
      <family val="2"/>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s>
  <borders count="29">
    <border>
      <start/>
      <end/>
      <top/>
      <bottom/>
      <diagonal/>
    </border>
    <border>
      <start/>
      <end/>
      <top style="double">
        <color indexed="64"/>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top/>
      <bottom/>
      <diagonal/>
    </border>
    <border>
      <start/>
      <end style="thin">
        <color indexed="64"/>
      </end>
      <top/>
      <bottom/>
      <diagonal/>
    </border>
    <border>
      <start/>
      <end/>
      <top/>
      <bottom style="thin">
        <color indexed="64"/>
      </bottom>
      <diagonal/>
    </border>
    <border>
      <start/>
      <end style="thin">
        <color indexed="64"/>
      </end>
      <top/>
      <bottom style="thin">
        <color indexed="64"/>
      </bottom>
      <diagonal/>
    </border>
    <border>
      <start style="thin">
        <color indexed="64"/>
      </start>
      <end style="thin">
        <color indexed="64"/>
      </end>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top/>
      <bottom style="thin">
        <color indexed="64"/>
      </bottom>
      <diagonal/>
    </border>
    <border>
      <start/>
      <end/>
      <top style="thin">
        <color indexed="64"/>
      </top>
      <bottom style="thin">
        <color indexed="64"/>
      </bottom>
      <diagonal/>
    </border>
    <border>
      <start style="thin">
        <color indexed="64"/>
      </start>
      <end style="thin">
        <color indexed="64"/>
      </end>
      <top style="thin">
        <color indexed="64"/>
      </top>
      <bottom style="thin">
        <color indexed="22"/>
      </bottom>
      <diagonal/>
    </border>
    <border>
      <start/>
      <end style="thin">
        <color indexed="64"/>
      </end>
      <top style="thin">
        <color indexed="64"/>
      </top>
      <bottom style="thin">
        <color indexed="22"/>
      </bottom>
      <diagonal/>
    </border>
    <border>
      <start style="thin">
        <color indexed="64"/>
      </start>
      <end style="thin">
        <color indexed="64"/>
      </end>
      <top style="thin">
        <color indexed="22"/>
      </top>
      <bottom style="thin">
        <color indexed="22"/>
      </bottom>
      <diagonal/>
    </border>
    <border>
      <start/>
      <end style="thin">
        <color indexed="64"/>
      </end>
      <top style="thin">
        <color indexed="22"/>
      </top>
      <bottom style="thin">
        <color indexed="22"/>
      </bottom>
      <diagonal/>
    </border>
    <border>
      <start style="thin">
        <color indexed="64"/>
      </start>
      <end style="thin">
        <color indexed="64"/>
      </end>
      <top style="thin">
        <color indexed="22"/>
      </top>
      <bottom style="thin">
        <color indexed="64"/>
      </bottom>
      <diagonal/>
    </border>
    <border>
      <start/>
      <end style="thin">
        <color indexed="64"/>
      </end>
      <top style="thin">
        <color indexed="22"/>
      </top>
      <bottom style="thin">
        <color indexed="64"/>
      </bottom>
      <diagonal/>
    </border>
    <border>
      <start/>
      <end/>
      <top style="thin">
        <color indexed="64"/>
      </top>
      <bottom style="thin">
        <color indexed="22"/>
      </bottom>
      <diagonal/>
    </border>
    <border>
      <start/>
      <end/>
      <top style="thin">
        <color indexed="22"/>
      </top>
      <bottom style="thin">
        <color indexed="22"/>
      </bottom>
      <diagonal/>
    </border>
    <border>
      <start/>
      <end/>
      <top style="thin">
        <color indexed="22"/>
      </top>
      <bottom style="thin">
        <color indexed="64"/>
      </bottom>
      <diagonal/>
    </border>
    <border>
      <start style="thin">
        <color indexed="64"/>
      </start>
      <end/>
      <top style="thin">
        <color indexed="64"/>
      </top>
      <bottom style="thin">
        <color indexed="22"/>
      </bottom>
      <diagonal/>
    </border>
    <border>
      <start style="thin">
        <color indexed="64"/>
      </start>
      <end/>
      <top style="thin">
        <color indexed="22"/>
      </top>
      <bottom style="thin">
        <color indexed="22"/>
      </bottom>
      <diagonal/>
    </border>
    <border>
      <start style="thin">
        <color indexed="64"/>
      </start>
      <end/>
      <top style="thin">
        <color indexed="22"/>
      </top>
      <bottom style="thin">
        <color indexed="64"/>
      </bottom>
      <diagonal/>
    </border>
    <border>
      <start style="thin">
        <color indexed="64"/>
      </start>
      <end style="thin">
        <color indexed="64"/>
      </end>
      <top/>
      <bottom/>
      <diagonal/>
    </border>
  </borders>
  <cellStyleXfs count="8">
    <xf numFmtId="0" fontId="0" fillId="0" borderId="0"/>
    <xf numFmtId="3" fontId="29" fillId="0" borderId="0" applyFont="0" applyFill="0" applyBorder="0" applyAlignment="0" applyProtection="0"/>
    <xf numFmtId="184" fontId="29" fillId="0" borderId="0" applyFont="0" applyFill="0" applyBorder="0" applyAlignment="0" applyProtection="0"/>
    <xf numFmtId="0" fontId="29" fillId="0" borderId="0" applyFont="0" applyFill="0" applyBorder="0" applyAlignment="0" applyProtection="0"/>
    <xf numFmtId="2" fontId="29"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29" fillId="0" borderId="1" applyNumberFormat="0" applyFont="0" applyFill="0" applyAlignment="0" applyProtection="0"/>
  </cellStyleXfs>
  <cellXfs count="380">
    <xf numFmtId="0" fontId="0" fillId="0" borderId="0" xfId="0"/>
    <xf numFmtId="0" fontId="0" fillId="2" borderId="0" xfId="0" applyFill="1"/>
    <xf numFmtId="0" fontId="0" fillId="2" borderId="0" xfId="0" applyFill="1" applyBorder="1"/>
    <xf numFmtId="2" fontId="6" fillId="2" borderId="0" xfId="0" applyNumberFormat="1" applyFont="1" applyFill="1" applyBorder="1" applyAlignment="1">
      <alignment horizontal="center"/>
    </xf>
    <xf numFmtId="164" fontId="6" fillId="2" borderId="0" xfId="0" applyNumberFormat="1" applyFont="1" applyFill="1" applyBorder="1" applyAlignment="1">
      <alignment horizontal="center"/>
    </xf>
    <xf numFmtId="0" fontId="6" fillId="2" borderId="0" xfId="0" applyFont="1" applyFill="1" applyBorder="1"/>
    <xf numFmtId="0" fontId="0" fillId="2" borderId="0" xfId="0" applyFill="1" applyBorder="1" applyAlignment="1">
      <alignment horizontal="centerContinuous"/>
    </xf>
    <xf numFmtId="0" fontId="13" fillId="2" borderId="0" xfId="0" applyFont="1" applyFill="1" applyBorder="1"/>
    <xf numFmtId="0" fontId="6" fillId="2" borderId="0" xfId="0" applyFont="1" applyFill="1"/>
    <xf numFmtId="0" fontId="6" fillId="2" borderId="0" xfId="0" applyFont="1" applyFill="1" applyAlignment="1">
      <alignment horizontal="center"/>
    </xf>
    <xf numFmtId="0" fontId="0" fillId="2" borderId="0" xfId="0" applyFill="1" applyBorder="1" applyAlignment="1"/>
    <xf numFmtId="0" fontId="14" fillId="2" borderId="0" xfId="0" applyFont="1" applyFill="1" applyBorder="1" applyAlignment="1">
      <alignment horizontal="right"/>
    </xf>
    <xf numFmtId="0" fontId="13" fillId="2" borderId="0" xfId="0" applyFont="1" applyFill="1"/>
    <xf numFmtId="0" fontId="16" fillId="2" borderId="0" xfId="0" applyFont="1" applyFill="1" applyBorder="1" applyAlignment="1" applyProtection="1">
      <alignment horizontal="right"/>
    </xf>
    <xf numFmtId="0" fontId="16" fillId="2" borderId="0" xfId="0" applyFont="1" applyFill="1" applyBorder="1" applyAlignment="1">
      <alignment horizontal="center"/>
    </xf>
    <xf numFmtId="0" fontId="16" fillId="2" borderId="0" xfId="0" applyFont="1" applyFill="1" applyAlignment="1">
      <alignment horizontal="center"/>
    </xf>
    <xf numFmtId="164" fontId="16" fillId="2" borderId="0" xfId="0" applyNumberFormat="1" applyFont="1" applyFill="1" applyBorder="1" applyAlignment="1">
      <alignment horizontal="center"/>
    </xf>
    <xf numFmtId="164" fontId="16" fillId="2" borderId="0" xfId="0" applyNumberFormat="1" applyFont="1" applyFill="1" applyAlignment="1">
      <alignment horizontal="center"/>
    </xf>
    <xf numFmtId="2" fontId="16" fillId="2" borderId="0" xfId="0" applyNumberFormat="1" applyFont="1" applyFill="1" applyAlignment="1">
      <alignment horizontal="center"/>
    </xf>
    <xf numFmtId="0" fontId="16" fillId="2" borderId="0" xfId="0" applyFont="1" applyFill="1" applyBorder="1" applyAlignment="1">
      <alignment horizontal="right"/>
    </xf>
    <xf numFmtId="166" fontId="6" fillId="2" borderId="0" xfId="0" applyNumberFormat="1" applyFont="1" applyFill="1" applyBorder="1" applyAlignment="1">
      <alignment horizontal="right"/>
    </xf>
    <xf numFmtId="0" fontId="0" fillId="2" borderId="0" xfId="0" applyFill="1" applyAlignment="1">
      <alignment horizontal="centerContinuous"/>
    </xf>
    <xf numFmtId="0" fontId="6" fillId="2" borderId="0" xfId="0" applyFont="1" applyFill="1" applyAlignment="1">
      <alignment horizontal="centerContinuous"/>
    </xf>
    <xf numFmtId="0" fontId="6" fillId="2" borderId="0" xfId="0" applyFont="1" applyFill="1" applyBorder="1" applyAlignment="1">
      <alignment horizontal="center"/>
    </xf>
    <xf numFmtId="0" fontId="16" fillId="2" borderId="0" xfId="0" applyFont="1" applyFill="1"/>
    <xf numFmtId="0" fontId="13" fillId="2" borderId="0" xfId="0" applyFont="1" applyFill="1" applyAlignment="1">
      <alignment horizontal="centerContinuous"/>
    </xf>
    <xf numFmtId="0" fontId="17" fillId="2" borderId="0" xfId="0" applyFont="1" applyFill="1" applyBorder="1" applyAlignment="1">
      <alignment horizontal="left"/>
    </xf>
    <xf numFmtId="0" fontId="6" fillId="3" borderId="2" xfId="0" applyFont="1" applyFill="1" applyBorder="1" applyAlignment="1" applyProtection="1">
      <alignment horizontal="center"/>
      <protection locked="0"/>
    </xf>
    <xf numFmtId="2" fontId="6" fillId="2" borderId="0" xfId="0" applyNumberFormat="1" applyFont="1" applyFill="1" applyAlignment="1">
      <alignment horizontal="center"/>
    </xf>
    <xf numFmtId="2" fontId="16" fillId="2" borderId="0" xfId="0" applyNumberFormat="1" applyFont="1" applyFill="1" applyBorder="1" applyAlignment="1">
      <alignment horizontal="center"/>
    </xf>
    <xf numFmtId="172" fontId="6" fillId="2" borderId="0" xfId="0" applyNumberFormat="1" applyFont="1" applyFill="1" applyBorder="1" applyAlignment="1">
      <alignment horizontal="center"/>
    </xf>
    <xf numFmtId="0" fontId="13" fillId="2" borderId="0" xfId="0" applyFont="1" applyFill="1" applyAlignment="1">
      <alignment horizontal="left"/>
    </xf>
    <xf numFmtId="0" fontId="8" fillId="4" borderId="3" xfId="0" applyFont="1" applyFill="1" applyBorder="1" applyAlignment="1" applyProtection="1">
      <alignment horizontal="centerContinuous"/>
      <protection hidden="1"/>
    </xf>
    <xf numFmtId="0" fontId="0" fillId="4" borderId="4" xfId="0" applyFill="1" applyBorder="1" applyAlignment="1" applyProtection="1">
      <alignment horizontal="centerContinuous"/>
      <protection hidden="1"/>
    </xf>
    <xf numFmtId="0" fontId="4" fillId="4" borderId="4" xfId="0" applyFont="1" applyFill="1" applyBorder="1" applyAlignment="1" applyProtection="1">
      <alignment horizontal="centerContinuous"/>
      <protection hidden="1"/>
    </xf>
    <xf numFmtId="0" fontId="0" fillId="4" borderId="5" xfId="0" applyFill="1" applyBorder="1" applyAlignment="1" applyProtection="1">
      <alignment horizontal="centerContinuous"/>
      <protection hidden="1"/>
    </xf>
    <xf numFmtId="0" fontId="3" fillId="4" borderId="6" xfId="0" applyFont="1" applyFill="1" applyBorder="1" applyAlignment="1" applyProtection="1">
      <alignment horizontal="centerContinuous"/>
      <protection hidden="1"/>
    </xf>
    <xf numFmtId="0" fontId="4" fillId="4" borderId="0" xfId="0" applyFont="1" applyFill="1" applyBorder="1" applyAlignment="1" applyProtection="1">
      <alignment horizontal="centerContinuous"/>
      <protection hidden="1"/>
    </xf>
    <xf numFmtId="0" fontId="3" fillId="4" borderId="0" xfId="0" applyFont="1" applyFill="1" applyBorder="1" applyAlignment="1" applyProtection="1">
      <alignment horizontal="centerContinuous"/>
      <protection hidden="1"/>
    </xf>
    <xf numFmtId="0" fontId="0" fillId="4" borderId="0" xfId="0" applyFill="1" applyBorder="1" applyAlignment="1" applyProtection="1">
      <alignment horizontal="centerContinuous"/>
      <protection hidden="1"/>
    </xf>
    <xf numFmtId="0" fontId="0" fillId="4" borderId="7" xfId="0" applyFill="1" applyBorder="1" applyAlignment="1" applyProtection="1">
      <alignment horizontal="centerContinuous"/>
      <protection hidden="1"/>
    </xf>
    <xf numFmtId="0" fontId="4" fillId="4" borderId="8" xfId="0" applyFont="1" applyFill="1" applyBorder="1" applyAlignment="1" applyProtection="1">
      <alignment horizontal="centerContinuous"/>
      <protection hidden="1"/>
    </xf>
    <xf numFmtId="0" fontId="0" fillId="4" borderId="8" xfId="0" applyFill="1" applyBorder="1" applyAlignment="1" applyProtection="1">
      <alignment horizontal="centerContinuous"/>
      <protection hidden="1"/>
    </xf>
    <xf numFmtId="0" fontId="0" fillId="4" borderId="9" xfId="0" applyFill="1" applyBorder="1" applyAlignment="1" applyProtection="1">
      <alignment horizontal="centerContinuous"/>
      <protection hidden="1"/>
    </xf>
    <xf numFmtId="0" fontId="0" fillId="2" borderId="10" xfId="0" applyFill="1" applyBorder="1" applyAlignment="1" applyProtection="1">
      <alignment horizontal="right"/>
      <protection hidden="1"/>
    </xf>
    <xf numFmtId="0" fontId="0" fillId="2" borderId="6" xfId="0" applyFill="1" applyBorder="1" applyAlignment="1" applyProtection="1">
      <alignment horizontal="right"/>
      <protection hidden="1"/>
    </xf>
    <xf numFmtId="0" fontId="7" fillId="2" borderId="0" xfId="0" applyFont="1" applyFill="1" applyBorder="1" applyProtection="1">
      <protection hidden="1"/>
    </xf>
    <xf numFmtId="0" fontId="5" fillId="2" borderId="6" xfId="0" applyFont="1" applyFill="1" applyBorder="1" applyProtection="1">
      <protection hidden="1"/>
    </xf>
    <xf numFmtId="0" fontId="0" fillId="2" borderId="6" xfId="0" applyFill="1" applyBorder="1" applyProtection="1">
      <protection hidden="1"/>
    </xf>
    <xf numFmtId="0" fontId="23" fillId="2" borderId="0" xfId="0" applyFont="1" applyFill="1" applyBorder="1" applyAlignment="1" applyProtection="1">
      <alignment horizontal="centerContinuous"/>
      <protection hidden="1"/>
    </xf>
    <xf numFmtId="0" fontId="4" fillId="2" borderId="0" xfId="0" applyFont="1" applyFill="1" applyBorder="1" applyAlignment="1" applyProtection="1">
      <alignment horizontal="right"/>
      <protection hidden="1"/>
    </xf>
    <xf numFmtId="0" fontId="3" fillId="2" borderId="0" xfId="0" applyFont="1" applyFill="1" applyBorder="1" applyProtection="1">
      <protection hidden="1"/>
    </xf>
    <xf numFmtId="0" fontId="5" fillId="2" borderId="0" xfId="0" applyFont="1" applyFill="1" applyBorder="1" applyAlignment="1" applyProtection="1">
      <alignment horizontal="centerContinuous"/>
      <protection hidden="1"/>
    </xf>
    <xf numFmtId="0" fontId="0" fillId="2" borderId="0" xfId="0" applyFill="1" applyBorder="1" applyAlignment="1" applyProtection="1">
      <alignment horizontal="centerContinuous"/>
      <protection hidden="1"/>
    </xf>
    <xf numFmtId="0" fontId="0" fillId="2" borderId="0" xfId="0" applyFill="1" applyBorder="1" applyProtection="1">
      <protection hidden="1"/>
    </xf>
    <xf numFmtId="0" fontId="0" fillId="2" borderId="5" xfId="0" applyFill="1" applyBorder="1" applyProtection="1">
      <protection hidden="1"/>
    </xf>
    <xf numFmtId="0" fontId="4" fillId="2" borderId="0" xfId="0" applyFont="1" applyFill="1" applyBorder="1" applyAlignment="1" applyProtection="1">
      <alignment horizontal="centerContinuous"/>
      <protection hidden="1"/>
    </xf>
    <xf numFmtId="0" fontId="0" fillId="2" borderId="6" xfId="0" applyFill="1" applyBorder="1" applyAlignment="1" applyProtection="1">
      <alignment horizontal="centerContinuous"/>
      <protection hidden="1"/>
    </xf>
    <xf numFmtId="0" fontId="4" fillId="4" borderId="11" xfId="0" applyFont="1" applyFill="1" applyBorder="1" applyAlignment="1" applyProtection="1">
      <alignment horizontal="centerContinuous"/>
      <protection hidden="1"/>
    </xf>
    <xf numFmtId="0" fontId="0" fillId="4" borderId="12" xfId="0" applyFill="1" applyBorder="1" applyAlignment="1" applyProtection="1">
      <alignment horizontal="centerContinuous"/>
      <protection hidden="1"/>
    </xf>
    <xf numFmtId="0" fontId="0" fillId="2" borderId="7" xfId="0" applyFill="1" applyBorder="1" applyProtection="1">
      <protection hidden="1"/>
    </xf>
    <xf numFmtId="0" fontId="0" fillId="2" borderId="8" xfId="0" applyFill="1" applyBorder="1" applyAlignment="1" applyProtection="1">
      <alignment horizontal="center"/>
      <protection hidden="1"/>
    </xf>
    <xf numFmtId="0" fontId="0" fillId="4" borderId="13" xfId="0" applyFill="1" applyBorder="1" applyAlignment="1" applyProtection="1">
      <alignment horizontal="center"/>
      <protection hidden="1"/>
    </xf>
    <xf numFmtId="0" fontId="0" fillId="4" borderId="7" xfId="0" applyFill="1" applyBorder="1" applyAlignment="1" applyProtection="1">
      <alignment horizontal="center"/>
      <protection hidden="1"/>
    </xf>
    <xf numFmtId="0" fontId="0" fillId="2" borderId="7" xfId="0" applyFill="1" applyBorder="1" applyAlignment="1" applyProtection="1">
      <alignment horizontal="centerContinuous"/>
      <protection hidden="1"/>
    </xf>
    <xf numFmtId="0" fontId="18" fillId="2" borderId="0" xfId="0" applyFont="1" applyFill="1" applyBorder="1" applyAlignment="1" applyProtection="1">
      <alignment horizontal="right"/>
      <protection hidden="1"/>
    </xf>
    <xf numFmtId="2" fontId="6" fillId="2" borderId="7" xfId="0" applyNumberFormat="1" applyFont="1" applyFill="1" applyBorder="1" applyAlignment="1" applyProtection="1">
      <alignment horizontal="center"/>
      <protection hidden="1"/>
    </xf>
    <xf numFmtId="166" fontId="7" fillId="2" borderId="0" xfId="0" applyNumberFormat="1" applyFont="1" applyFill="1" applyBorder="1" applyAlignment="1" applyProtection="1">
      <alignment horizontal="right"/>
      <protection hidden="1"/>
    </xf>
    <xf numFmtId="0" fontId="15" fillId="2" borderId="0" xfId="0" applyFont="1" applyFill="1" applyBorder="1" applyAlignment="1" applyProtection="1">
      <alignment horizontal="right"/>
      <protection hidden="1"/>
    </xf>
    <xf numFmtId="0" fontId="27" fillId="2" borderId="0" xfId="0" applyFont="1" applyFill="1" applyBorder="1" applyAlignment="1" applyProtection="1">
      <alignment horizontal="centerContinuous"/>
      <protection hidden="1"/>
    </xf>
    <xf numFmtId="0" fontId="24" fillId="2" borderId="0" xfId="0" applyFont="1" applyFill="1" applyBorder="1" applyAlignment="1" applyProtection="1">
      <alignment horizontal="centerContinuous"/>
      <protection hidden="1"/>
    </xf>
    <xf numFmtId="0" fontId="24" fillId="2" borderId="7" xfId="0" applyFont="1" applyFill="1" applyBorder="1" applyAlignment="1" applyProtection="1">
      <alignment horizontal="centerContinuous"/>
      <protection hidden="1"/>
    </xf>
    <xf numFmtId="0" fontId="0" fillId="2" borderId="0" xfId="0" applyFill="1" applyBorder="1" applyAlignment="1" applyProtection="1">
      <alignment horizontal="right"/>
      <protection hidden="1"/>
    </xf>
    <xf numFmtId="164" fontId="7" fillId="2" borderId="0" xfId="0" applyNumberFormat="1" applyFont="1" applyFill="1" applyBorder="1" applyAlignment="1" applyProtection="1">
      <alignment horizontal="right"/>
      <protection hidden="1"/>
    </xf>
    <xf numFmtId="0" fontId="0" fillId="2" borderId="0" xfId="0" applyFill="1" applyBorder="1" applyAlignment="1" applyProtection="1">
      <protection hidden="1"/>
    </xf>
    <xf numFmtId="0" fontId="0" fillId="2" borderId="7" xfId="0" applyFill="1" applyBorder="1" applyAlignment="1" applyProtection="1">
      <protection hidden="1"/>
    </xf>
    <xf numFmtId="0" fontId="3" fillId="2" borderId="0" xfId="0" applyFont="1" applyFill="1" applyBorder="1" applyAlignment="1" applyProtection="1">
      <alignment horizontal="left"/>
      <protection hidden="1"/>
    </xf>
    <xf numFmtId="0" fontId="0" fillId="2" borderId="0" xfId="0" applyFill="1" applyBorder="1" applyAlignment="1" applyProtection="1">
      <alignment horizontal="center"/>
      <protection hidden="1"/>
    </xf>
    <xf numFmtId="0" fontId="0" fillId="2" borderId="6" xfId="0" applyFill="1" applyBorder="1" applyAlignment="1" applyProtection="1">
      <alignment horizontal="left"/>
      <protection hidden="1"/>
    </xf>
    <xf numFmtId="0" fontId="0" fillId="2" borderId="14" xfId="0" applyFill="1" applyBorder="1" applyProtection="1">
      <protection hidden="1"/>
    </xf>
    <xf numFmtId="2" fontId="23" fillId="2" borderId="0" xfId="0" applyNumberFormat="1" applyFont="1" applyFill="1" applyBorder="1" applyAlignment="1" applyProtection="1">
      <protection hidden="1"/>
    </xf>
    <xf numFmtId="2" fontId="6" fillId="2" borderId="0" xfId="0" applyNumberFormat="1" applyFont="1" applyFill="1" applyBorder="1" applyAlignment="1" applyProtection="1">
      <alignment horizontal="center"/>
      <protection hidden="1"/>
    </xf>
    <xf numFmtId="0" fontId="0" fillId="2" borderId="0" xfId="0" applyFill="1" applyBorder="1" applyAlignment="1" applyProtection="1">
      <alignment horizontal="left"/>
      <protection hidden="1"/>
    </xf>
    <xf numFmtId="2" fontId="7" fillId="2" borderId="0" xfId="0" applyNumberFormat="1" applyFont="1" applyFill="1" applyBorder="1" applyAlignment="1" applyProtection="1">
      <alignment horizontal="left"/>
      <protection hidden="1"/>
    </xf>
    <xf numFmtId="0" fontId="2" fillId="2" borderId="0" xfId="0" applyFont="1" applyFill="1" applyBorder="1" applyAlignment="1" applyProtection="1">
      <protection hidden="1"/>
    </xf>
    <xf numFmtId="166" fontId="6" fillId="2" borderId="0" xfId="0" applyNumberFormat="1" applyFont="1" applyFill="1" applyBorder="1" applyAlignment="1" applyProtection="1">
      <alignment horizontal="center"/>
      <protection hidden="1"/>
    </xf>
    <xf numFmtId="0" fontId="5" fillId="2" borderId="0" xfId="0" applyFont="1" applyFill="1" applyBorder="1" applyProtection="1">
      <protection hidden="1"/>
    </xf>
    <xf numFmtId="0" fontId="12" fillId="2" borderId="0" xfId="0" applyFont="1" applyFill="1" applyBorder="1" applyAlignment="1" applyProtection="1">
      <alignment horizontal="right"/>
      <protection hidden="1"/>
    </xf>
    <xf numFmtId="164" fontId="6" fillId="2" borderId="0" xfId="0" applyNumberFormat="1" applyFont="1" applyFill="1" applyBorder="1" applyAlignment="1" applyProtection="1">
      <alignment horizontal="center"/>
      <protection hidden="1"/>
    </xf>
    <xf numFmtId="0" fontId="4" fillId="2" borderId="0" xfId="0" applyFont="1" applyFill="1" applyBorder="1" applyProtection="1">
      <protection hidden="1"/>
    </xf>
    <xf numFmtId="14" fontId="0" fillId="2" borderId="0" xfId="0" applyNumberFormat="1" applyFill="1" applyBorder="1" applyAlignment="1" applyProtection="1">
      <alignment horizontal="center"/>
      <protection hidden="1"/>
    </xf>
    <xf numFmtId="18" fontId="0" fillId="2" borderId="0" xfId="0" applyNumberFormat="1" applyFill="1" applyBorder="1" applyAlignment="1" applyProtection="1">
      <alignment horizontal="center"/>
      <protection hidden="1"/>
    </xf>
    <xf numFmtId="0" fontId="0" fillId="2" borderId="0" xfId="0" applyFill="1" applyProtection="1">
      <protection hidden="1"/>
    </xf>
    <xf numFmtId="0" fontId="6" fillId="2" borderId="0" xfId="0" applyFont="1" applyFill="1" applyBorder="1" applyProtection="1">
      <protection locked="0"/>
    </xf>
    <xf numFmtId="0" fontId="9" fillId="2" borderId="0" xfId="0" applyFont="1" applyFill="1" applyBorder="1" applyProtection="1">
      <protection locked="0"/>
    </xf>
    <xf numFmtId="0" fontId="25" fillId="2" borderId="7" xfId="0" applyFont="1" applyFill="1" applyBorder="1" applyAlignment="1" applyProtection="1">
      <alignment horizontal="left"/>
      <protection hidden="1"/>
    </xf>
    <xf numFmtId="0" fontId="26" fillId="2" borderId="7" xfId="0" applyFont="1" applyFill="1" applyBorder="1" applyAlignment="1" applyProtection="1">
      <alignment horizontal="left"/>
      <protection hidden="1"/>
    </xf>
    <xf numFmtId="0" fontId="0" fillId="2" borderId="6" xfId="0" applyFill="1" applyBorder="1" applyAlignment="1" applyProtection="1">
      <protection hidden="1"/>
    </xf>
    <xf numFmtId="0" fontId="0" fillId="2" borderId="7" xfId="0" applyFill="1" applyBorder="1" applyAlignment="1" applyProtection="1">
      <alignment horizontal="center"/>
      <protection hidden="1"/>
    </xf>
    <xf numFmtId="0" fontId="4" fillId="2" borderId="6" xfId="0" applyFont="1" applyFill="1" applyBorder="1" applyAlignment="1" applyProtection="1">
      <alignment horizontal="right"/>
      <protection hidden="1"/>
    </xf>
    <xf numFmtId="0" fontId="0" fillId="2" borderId="3" xfId="0" applyFill="1" applyBorder="1" applyProtection="1">
      <protection hidden="1"/>
    </xf>
    <xf numFmtId="0" fontId="0" fillId="2" borderId="4" xfId="0" applyFill="1" applyBorder="1" applyProtection="1">
      <protection hidden="1"/>
    </xf>
    <xf numFmtId="0" fontId="23" fillId="2" borderId="6" xfId="0" applyFont="1" applyFill="1" applyBorder="1" applyAlignment="1" applyProtection="1">
      <alignment horizontal="centerContinuous"/>
      <protection hidden="1"/>
    </xf>
    <xf numFmtId="0" fontId="18" fillId="2" borderId="6" xfId="0" applyFont="1" applyFill="1" applyBorder="1" applyAlignment="1" applyProtection="1">
      <alignment horizontal="right"/>
      <protection hidden="1"/>
    </xf>
    <xf numFmtId="166" fontId="7" fillId="2" borderId="6" xfId="0" applyNumberFormat="1" applyFont="1" applyFill="1" applyBorder="1" applyAlignment="1" applyProtection="1">
      <alignment horizontal="right"/>
      <protection hidden="1"/>
    </xf>
    <xf numFmtId="0" fontId="15" fillId="2" borderId="6" xfId="0" applyFont="1" applyFill="1" applyBorder="1" applyAlignment="1" applyProtection="1">
      <alignment horizontal="right"/>
      <protection hidden="1"/>
    </xf>
    <xf numFmtId="0" fontId="0" fillId="2" borderId="8" xfId="0" applyFill="1" applyBorder="1" applyProtection="1">
      <protection hidden="1"/>
    </xf>
    <xf numFmtId="0" fontId="21" fillId="2" borderId="0" xfId="0" applyFont="1" applyFill="1" applyAlignment="1" applyProtection="1">
      <alignment horizontal="centerContinuous"/>
      <protection hidden="1"/>
    </xf>
    <xf numFmtId="0" fontId="0" fillId="2" borderId="0" xfId="0" applyFill="1" applyAlignment="1" applyProtection="1">
      <alignment horizontal="centerContinuous"/>
      <protection hidden="1"/>
    </xf>
    <xf numFmtId="0" fontId="22" fillId="2" borderId="0" xfId="0" applyFont="1" applyFill="1" applyAlignment="1" applyProtection="1">
      <alignment horizontal="centerContinuous"/>
      <protection hidden="1"/>
    </xf>
    <xf numFmtId="0" fontId="5" fillId="2" borderId="0" xfId="0" applyFont="1" applyFill="1" applyProtection="1">
      <protection hidden="1"/>
    </xf>
    <xf numFmtId="0" fontId="22" fillId="2" borderId="0" xfId="0" applyFont="1" applyFill="1" applyProtection="1">
      <protection hidden="1"/>
    </xf>
    <xf numFmtId="0" fontId="4" fillId="2" borderId="11" xfId="0" applyFont="1" applyFill="1" applyBorder="1" applyAlignment="1" applyProtection="1">
      <alignment horizontal="centerContinuous"/>
      <protection hidden="1"/>
    </xf>
    <xf numFmtId="0" fontId="0" fillId="2" borderId="15" xfId="0" applyFill="1" applyBorder="1" applyAlignment="1" applyProtection="1">
      <alignment horizontal="centerContinuous"/>
      <protection hidden="1"/>
    </xf>
    <xf numFmtId="0" fontId="0" fillId="2" borderId="12" xfId="0" applyFill="1" applyBorder="1" applyAlignment="1" applyProtection="1">
      <alignment horizontal="centerContinuous"/>
      <protection hidden="1"/>
    </xf>
    <xf numFmtId="0" fontId="4" fillId="2" borderId="15" xfId="0" applyFont="1" applyFill="1" applyBorder="1" applyAlignment="1" applyProtection="1">
      <alignment horizontal="centerContinuous"/>
      <protection hidden="1"/>
    </xf>
    <xf numFmtId="0" fontId="26" fillId="2" borderId="0" xfId="0" applyFont="1" applyFill="1" applyBorder="1" applyAlignment="1" applyProtection="1">
      <alignment horizontal="left"/>
      <protection hidden="1"/>
    </xf>
    <xf numFmtId="0" fontId="25" fillId="2" borderId="0" xfId="0" applyFont="1" applyFill="1" applyBorder="1" applyAlignment="1" applyProtection="1">
      <alignment horizontal="left"/>
      <protection hidden="1"/>
    </xf>
    <xf numFmtId="0" fontId="0" fillId="2" borderId="9" xfId="0" applyFill="1" applyBorder="1" applyProtection="1">
      <protection hidden="1"/>
    </xf>
    <xf numFmtId="0" fontId="26" fillId="2" borderId="9" xfId="0" applyFont="1" applyFill="1" applyBorder="1" applyAlignment="1" applyProtection="1">
      <alignment horizontal="right"/>
      <protection hidden="1"/>
    </xf>
    <xf numFmtId="0" fontId="7" fillId="2" borderId="10" xfId="0" applyFont="1" applyFill="1" applyBorder="1" applyAlignment="1" applyProtection="1">
      <alignment horizontal="center"/>
      <protection hidden="1"/>
    </xf>
    <xf numFmtId="49" fontId="9" fillId="2" borderId="4" xfId="0" applyNumberFormat="1" applyFont="1" applyFill="1" applyBorder="1" applyProtection="1">
      <protection locked="0"/>
    </xf>
    <xf numFmtId="49" fontId="6" fillId="2" borderId="11" xfId="0" quotePrefix="1" applyNumberFormat="1" applyFont="1" applyFill="1" applyBorder="1" applyAlignment="1" applyProtection="1">
      <alignment horizontal="left"/>
      <protection locked="0"/>
    </xf>
    <xf numFmtId="49" fontId="6" fillId="2" borderId="15" xfId="0" applyNumberFormat="1" applyFont="1" applyFill="1" applyBorder="1" applyProtection="1">
      <protection locked="0"/>
    </xf>
    <xf numFmtId="49" fontId="6" fillId="2" borderId="12" xfId="0" applyNumberFormat="1" applyFont="1" applyFill="1" applyBorder="1" applyProtection="1">
      <protection locked="0"/>
    </xf>
    <xf numFmtId="49" fontId="6" fillId="2" borderId="3" xfId="0" applyNumberFormat="1" applyFont="1" applyFill="1" applyBorder="1" applyAlignment="1" applyProtection="1">
      <alignment horizontal="left"/>
      <protection locked="0"/>
    </xf>
    <xf numFmtId="49" fontId="6" fillId="2" borderId="15" xfId="0" applyNumberFormat="1" applyFont="1" applyFill="1" applyBorder="1" applyAlignment="1" applyProtection="1">
      <alignment horizontal="left"/>
      <protection locked="0"/>
    </xf>
    <xf numFmtId="0" fontId="7" fillId="2" borderId="2" xfId="0" applyFont="1" applyFill="1" applyBorder="1" applyAlignment="1" applyProtection="1">
      <alignment horizontal="center"/>
      <protection hidden="1"/>
    </xf>
    <xf numFmtId="0" fontId="9" fillId="2" borderId="0" xfId="0" applyFont="1" applyFill="1" applyBorder="1" applyAlignment="1" applyProtection="1">
      <alignment horizontal="left"/>
      <protection locked="0"/>
    </xf>
    <xf numFmtId="0" fontId="7" fillId="4" borderId="5" xfId="0" applyFont="1" applyFill="1" applyBorder="1" applyAlignment="1" applyProtection="1">
      <alignment horizontal="centerContinuous" vertical="justify"/>
      <protection hidden="1"/>
    </xf>
    <xf numFmtId="0" fontId="7" fillId="4" borderId="2" xfId="0" applyFont="1" applyFill="1" applyBorder="1" applyAlignment="1" applyProtection="1">
      <alignment horizontal="center"/>
      <protection hidden="1"/>
    </xf>
    <xf numFmtId="0" fontId="5" fillId="2" borderId="6" xfId="0" applyFont="1" applyFill="1" applyBorder="1" applyAlignment="1" applyProtection="1">
      <alignment horizontal="left"/>
      <protection hidden="1"/>
    </xf>
    <xf numFmtId="0" fontId="7" fillId="2" borderId="0" xfId="0" applyFont="1" applyFill="1" applyBorder="1" applyAlignment="1" applyProtection="1">
      <protection hidden="1"/>
    </xf>
    <xf numFmtId="0" fontId="6" fillId="3" borderId="9" xfId="0" applyFont="1" applyFill="1" applyBorder="1" applyAlignment="1" applyProtection="1">
      <alignment horizontal="center"/>
      <protection locked="0"/>
    </xf>
    <xf numFmtId="0" fontId="32" fillId="4" borderId="13" xfId="0" applyFont="1" applyFill="1" applyBorder="1" applyAlignment="1" applyProtection="1">
      <alignment horizontal="centerContinuous" vertical="justify"/>
      <protection hidden="1"/>
    </xf>
    <xf numFmtId="0" fontId="27" fillId="2" borderId="6" xfId="0" applyFont="1" applyFill="1" applyBorder="1" applyAlignment="1" applyProtection="1">
      <alignment horizontal="centerContinuous"/>
      <protection hidden="1"/>
    </xf>
    <xf numFmtId="0" fontId="3" fillId="4" borderId="14" xfId="0" applyFont="1" applyFill="1" applyBorder="1" applyAlignment="1" applyProtection="1">
      <alignment horizontal="centerContinuous"/>
      <protection hidden="1"/>
    </xf>
    <xf numFmtId="0" fontId="34" fillId="2" borderId="0" xfId="0" applyFont="1" applyFill="1"/>
    <xf numFmtId="0" fontId="35" fillId="2" borderId="0" xfId="0" applyFont="1" applyFill="1"/>
    <xf numFmtId="0" fontId="36" fillId="2" borderId="0" xfId="0" applyFont="1" applyFill="1"/>
    <xf numFmtId="0" fontId="0" fillId="4" borderId="2" xfId="0" applyFill="1" applyBorder="1" applyAlignment="1" applyProtection="1">
      <alignment horizontal="center"/>
      <protection hidden="1"/>
    </xf>
    <xf numFmtId="164" fontId="6" fillId="3" borderId="16" xfId="0" applyNumberFormat="1" applyFont="1" applyFill="1" applyBorder="1" applyAlignment="1" applyProtection="1">
      <alignment horizontal="center"/>
      <protection locked="0"/>
    </xf>
    <xf numFmtId="164" fontId="6" fillId="3" borderId="17" xfId="0" applyNumberFormat="1" applyFont="1" applyFill="1" applyBorder="1" applyAlignment="1" applyProtection="1">
      <alignment horizontal="center"/>
      <protection locked="0"/>
    </xf>
    <xf numFmtId="2" fontId="6" fillId="2" borderId="16" xfId="0" applyNumberFormat="1" applyFont="1" applyFill="1" applyBorder="1" applyAlignment="1" applyProtection="1">
      <alignment horizontal="center"/>
      <protection hidden="1"/>
    </xf>
    <xf numFmtId="2" fontId="6" fillId="2" borderId="17" xfId="0" applyNumberFormat="1" applyFont="1" applyFill="1" applyBorder="1" applyAlignment="1" applyProtection="1">
      <alignment horizontal="center"/>
      <protection hidden="1"/>
    </xf>
    <xf numFmtId="164" fontId="6" fillId="3" borderId="18" xfId="0" applyNumberFormat="1" applyFont="1" applyFill="1" applyBorder="1" applyAlignment="1" applyProtection="1">
      <alignment horizontal="center"/>
      <protection locked="0"/>
    </xf>
    <xf numFmtId="164" fontId="6" fillId="3" borderId="19" xfId="0" applyNumberFormat="1" applyFont="1" applyFill="1" applyBorder="1" applyAlignment="1" applyProtection="1">
      <alignment horizontal="center"/>
      <protection locked="0"/>
    </xf>
    <xf numFmtId="2" fontId="6" fillId="2" borderId="18" xfId="0" applyNumberFormat="1" applyFont="1" applyFill="1" applyBorder="1" applyAlignment="1" applyProtection="1">
      <alignment horizontal="center"/>
      <protection hidden="1"/>
    </xf>
    <xf numFmtId="2" fontId="6" fillId="2" borderId="19" xfId="0" applyNumberFormat="1" applyFont="1" applyFill="1" applyBorder="1" applyAlignment="1" applyProtection="1">
      <alignment horizontal="center"/>
      <protection hidden="1"/>
    </xf>
    <xf numFmtId="164" fontId="16" fillId="2" borderId="16" xfId="0" applyNumberFormat="1" applyFont="1" applyFill="1" applyBorder="1" applyAlignment="1" applyProtection="1">
      <alignment horizontal="center"/>
      <protection hidden="1"/>
    </xf>
    <xf numFmtId="164" fontId="16" fillId="2" borderId="18" xfId="0" applyNumberFormat="1" applyFont="1" applyFill="1" applyBorder="1" applyAlignment="1" applyProtection="1">
      <alignment horizontal="center"/>
      <protection hidden="1"/>
    </xf>
    <xf numFmtId="2" fontId="16" fillId="2" borderId="18" xfId="0" applyNumberFormat="1" applyFont="1" applyFill="1" applyBorder="1" applyAlignment="1" applyProtection="1">
      <alignment horizontal="center"/>
      <protection hidden="1"/>
    </xf>
    <xf numFmtId="164" fontId="6" fillId="3" borderId="20" xfId="0" applyNumberFormat="1" applyFont="1" applyFill="1" applyBorder="1" applyAlignment="1" applyProtection="1">
      <alignment horizontal="center"/>
      <protection locked="0"/>
    </xf>
    <xf numFmtId="164" fontId="6" fillId="3" borderId="21" xfId="0" applyNumberFormat="1" applyFont="1" applyFill="1" applyBorder="1" applyAlignment="1" applyProtection="1">
      <alignment horizontal="center"/>
      <protection locked="0"/>
    </xf>
    <xf numFmtId="2" fontId="6" fillId="2" borderId="20" xfId="0" applyNumberFormat="1" applyFont="1" applyFill="1" applyBorder="1" applyAlignment="1" applyProtection="1">
      <alignment horizontal="center"/>
      <protection hidden="1"/>
    </xf>
    <xf numFmtId="2" fontId="6" fillId="2" borderId="21" xfId="0" applyNumberFormat="1" applyFont="1" applyFill="1" applyBorder="1" applyAlignment="1" applyProtection="1">
      <alignment horizontal="center"/>
      <protection hidden="1"/>
    </xf>
    <xf numFmtId="164" fontId="16" fillId="2" borderId="20" xfId="0" applyNumberFormat="1" applyFont="1" applyFill="1" applyBorder="1" applyAlignment="1" applyProtection="1">
      <alignment horizontal="center"/>
      <protection hidden="1"/>
    </xf>
    <xf numFmtId="164" fontId="6" fillId="3" borderId="22" xfId="0" applyNumberFormat="1" applyFont="1" applyFill="1" applyBorder="1" applyAlignment="1" applyProtection="1">
      <alignment horizontal="center"/>
      <protection locked="0"/>
    </xf>
    <xf numFmtId="164" fontId="6" fillId="3" borderId="23" xfId="0" applyNumberFormat="1" applyFont="1" applyFill="1" applyBorder="1" applyAlignment="1" applyProtection="1">
      <alignment horizontal="center"/>
      <protection locked="0"/>
    </xf>
    <xf numFmtId="2" fontId="6" fillId="3" borderId="18" xfId="0" applyNumberFormat="1" applyFont="1" applyFill="1" applyBorder="1" applyAlignment="1" applyProtection="1">
      <alignment horizontal="center"/>
      <protection locked="0"/>
    </xf>
    <xf numFmtId="2" fontId="6" fillId="3" borderId="23" xfId="0" applyNumberFormat="1" applyFont="1" applyFill="1" applyBorder="1" applyAlignment="1" applyProtection="1">
      <alignment horizontal="center"/>
      <protection locked="0"/>
    </xf>
    <xf numFmtId="2" fontId="6" fillId="3" borderId="19" xfId="0" applyNumberFormat="1" applyFont="1" applyFill="1" applyBorder="1" applyAlignment="1" applyProtection="1">
      <alignment horizontal="center"/>
      <protection locked="0"/>
    </xf>
    <xf numFmtId="2" fontId="6" fillId="3" borderId="20" xfId="0" applyNumberFormat="1" applyFont="1" applyFill="1" applyBorder="1" applyAlignment="1" applyProtection="1">
      <alignment horizontal="center"/>
      <protection locked="0"/>
    </xf>
    <xf numFmtId="2" fontId="6" fillId="3" borderId="24" xfId="0" applyNumberFormat="1" applyFont="1" applyFill="1" applyBorder="1" applyAlignment="1" applyProtection="1">
      <alignment horizontal="center"/>
      <protection locked="0"/>
    </xf>
    <xf numFmtId="2" fontId="6" fillId="3" borderId="21" xfId="0" applyNumberFormat="1" applyFont="1" applyFill="1" applyBorder="1" applyAlignment="1" applyProtection="1">
      <alignment horizontal="center"/>
      <protection locked="0"/>
    </xf>
    <xf numFmtId="0" fontId="22" fillId="0" borderId="3" xfId="0" applyFont="1" applyFill="1" applyBorder="1" applyAlignment="1" applyProtection="1">
      <alignment horizontal="centerContinuous"/>
      <protection hidden="1"/>
    </xf>
    <xf numFmtId="0" fontId="22" fillId="0" borderId="4" xfId="0" applyFont="1" applyFill="1" applyBorder="1" applyAlignment="1" applyProtection="1">
      <alignment horizontal="centerContinuous"/>
      <protection hidden="1"/>
    </xf>
    <xf numFmtId="0" fontId="22" fillId="0" borderId="5" xfId="0" applyFont="1" applyFill="1" applyBorder="1" applyAlignment="1" applyProtection="1">
      <alignment horizontal="centerContinuous"/>
      <protection hidden="1"/>
    </xf>
    <xf numFmtId="0" fontId="22" fillId="0" borderId="6" xfId="0" applyFont="1" applyFill="1" applyBorder="1" applyAlignment="1" applyProtection="1">
      <alignment horizontal="centerContinuous"/>
      <protection hidden="1"/>
    </xf>
    <xf numFmtId="0" fontId="22" fillId="0" borderId="0" xfId="0" applyFont="1" applyFill="1" applyBorder="1" applyAlignment="1" applyProtection="1">
      <alignment horizontal="centerContinuous"/>
      <protection hidden="1"/>
    </xf>
    <xf numFmtId="0" fontId="22" fillId="0" borderId="7" xfId="0" applyFont="1" applyFill="1" applyBorder="1" applyAlignment="1" applyProtection="1">
      <alignment horizontal="centerContinuous"/>
      <protection hidden="1"/>
    </xf>
    <xf numFmtId="0" fontId="22" fillId="0" borderId="14" xfId="0" applyFont="1" applyFill="1" applyBorder="1" applyAlignment="1" applyProtection="1">
      <alignment horizontal="centerContinuous"/>
      <protection hidden="1"/>
    </xf>
    <xf numFmtId="0" fontId="22" fillId="0" borderId="8" xfId="0" applyFont="1" applyFill="1" applyBorder="1" applyAlignment="1" applyProtection="1">
      <alignment horizontal="centerContinuous"/>
      <protection hidden="1"/>
    </xf>
    <xf numFmtId="0" fontId="22" fillId="0" borderId="9" xfId="0" applyFont="1" applyFill="1" applyBorder="1" applyAlignment="1" applyProtection="1">
      <alignment horizontal="centerContinuous"/>
      <protection hidden="1"/>
    </xf>
    <xf numFmtId="164" fontId="6" fillId="3" borderId="25" xfId="0" applyNumberFormat="1" applyFont="1" applyFill="1" applyBorder="1" applyAlignment="1" applyProtection="1">
      <alignment horizontal="center"/>
      <protection locked="0"/>
    </xf>
    <xf numFmtId="164" fontId="6" fillId="3" borderId="26" xfId="0" applyNumberFormat="1" applyFont="1" applyFill="1" applyBorder="1" applyAlignment="1" applyProtection="1">
      <alignment horizontal="center"/>
      <protection locked="0"/>
    </xf>
    <xf numFmtId="2" fontId="6" fillId="3" borderId="26" xfId="0" applyNumberFormat="1" applyFont="1" applyFill="1" applyBorder="1" applyAlignment="1" applyProtection="1">
      <alignment horizontal="center"/>
      <protection locked="0"/>
    </xf>
    <xf numFmtId="2" fontId="6" fillId="3" borderId="27" xfId="0" applyNumberFormat="1" applyFont="1" applyFill="1" applyBorder="1" applyAlignment="1" applyProtection="1">
      <alignment horizontal="center"/>
      <protection locked="0"/>
    </xf>
    <xf numFmtId="49" fontId="6" fillId="2" borderId="2" xfId="0" applyNumberFormat="1" applyFont="1" applyFill="1" applyBorder="1" applyAlignment="1" applyProtection="1">
      <alignment horizontal="left"/>
      <protection locked="0"/>
    </xf>
    <xf numFmtId="0" fontId="28" fillId="2" borderId="2" xfId="0" applyFont="1" applyFill="1" applyBorder="1" applyAlignment="1" applyProtection="1">
      <alignment horizontal="center"/>
      <protection hidden="1"/>
    </xf>
    <xf numFmtId="49" fontId="6" fillId="2" borderId="2" xfId="0" applyNumberFormat="1" applyFont="1" applyFill="1" applyBorder="1" applyProtection="1">
      <protection locked="0"/>
    </xf>
    <xf numFmtId="14" fontId="0" fillId="2" borderId="5" xfId="0" applyNumberFormat="1" applyFill="1" applyBorder="1" applyAlignment="1" applyProtection="1">
      <alignment horizontal="center"/>
      <protection hidden="1"/>
    </xf>
    <xf numFmtId="18" fontId="0" fillId="2" borderId="7" xfId="0" applyNumberFormat="1" applyFill="1" applyBorder="1" applyAlignment="1" applyProtection="1">
      <alignment horizontal="center"/>
      <protection hidden="1"/>
    </xf>
    <xf numFmtId="0" fontId="6" fillId="2" borderId="7" xfId="0" applyFont="1" applyFill="1" applyBorder="1" applyAlignment="1" applyProtection="1">
      <alignment horizontal="center"/>
      <protection locked="0"/>
    </xf>
    <xf numFmtId="0" fontId="37" fillId="0" borderId="2" xfId="0" applyFont="1" applyBorder="1" applyAlignment="1" applyProtection="1">
      <alignment horizontal="center"/>
      <protection hidden="1"/>
    </xf>
    <xf numFmtId="0" fontId="6" fillId="2" borderId="0" xfId="0" applyFont="1" applyFill="1" applyBorder="1" applyAlignment="1" applyProtection="1">
      <alignment horizontal="center"/>
      <protection locked="0"/>
    </xf>
    <xf numFmtId="14" fontId="0" fillId="2" borderId="7" xfId="0" applyNumberFormat="1" applyFill="1" applyBorder="1" applyAlignment="1" applyProtection="1">
      <alignment horizontal="center"/>
      <protection hidden="1"/>
    </xf>
    <xf numFmtId="0" fontId="6" fillId="2" borderId="7" xfId="0" applyFont="1" applyFill="1" applyBorder="1" applyAlignment="1" applyProtection="1">
      <alignment horizontal="center"/>
      <protection hidden="1"/>
    </xf>
    <xf numFmtId="14" fontId="6" fillId="2" borderId="5" xfId="0" applyNumberFormat="1" applyFont="1" applyFill="1" applyBorder="1" applyAlignment="1" applyProtection="1">
      <alignment horizontal="center"/>
      <protection locked="0"/>
    </xf>
    <xf numFmtId="18" fontId="6" fillId="2" borderId="7" xfId="0" applyNumberFormat="1" applyFont="1" applyFill="1" applyBorder="1" applyAlignment="1" applyProtection="1">
      <alignment horizontal="center"/>
      <protection locked="0"/>
    </xf>
    <xf numFmtId="0" fontId="6" fillId="2" borderId="0" xfId="0" applyFont="1" applyFill="1" applyProtection="1">
      <protection locked="0"/>
    </xf>
    <xf numFmtId="14" fontId="6" fillId="2" borderId="7" xfId="0" applyNumberFormat="1" applyFont="1" applyFill="1" applyBorder="1" applyAlignment="1" applyProtection="1">
      <alignment horizontal="center"/>
      <protection locked="0"/>
    </xf>
    <xf numFmtId="0" fontId="0" fillId="2" borderId="0" xfId="0" applyFill="1" applyBorder="1" applyProtection="1">
      <protection locked="0"/>
    </xf>
    <xf numFmtId="0" fontId="6" fillId="2" borderId="0" xfId="0" applyFont="1" applyFill="1" applyAlignment="1" applyProtection="1">
      <alignment horizontal="center"/>
      <protection hidden="1"/>
    </xf>
    <xf numFmtId="0" fontId="6" fillId="2" borderId="0" xfId="0" applyFont="1" applyFill="1" applyBorder="1" applyProtection="1">
      <protection hidden="1"/>
    </xf>
    <xf numFmtId="0" fontId="16" fillId="2" borderId="0" xfId="0" applyFont="1" applyFill="1" applyBorder="1" applyAlignment="1" applyProtection="1">
      <alignment horizontal="center"/>
      <protection hidden="1"/>
    </xf>
    <xf numFmtId="0" fontId="6" fillId="2" borderId="0" xfId="0" applyFont="1" applyFill="1" applyBorder="1" applyAlignment="1" applyProtection="1">
      <alignment horizontal="center"/>
      <protection hidden="1"/>
    </xf>
    <xf numFmtId="0" fontId="38" fillId="2" borderId="0" xfId="0" applyFont="1" applyFill="1" applyProtection="1">
      <protection hidden="1"/>
    </xf>
    <xf numFmtId="0" fontId="39" fillId="2" borderId="0" xfId="0" applyFont="1" applyFill="1" applyProtection="1">
      <protection hidden="1"/>
    </xf>
    <xf numFmtId="0" fontId="6" fillId="2" borderId="0" xfId="0" applyFont="1" applyFill="1" applyBorder="1" applyAlignment="1" applyProtection="1">
      <alignment horizontal="right"/>
      <protection hidden="1"/>
    </xf>
    <xf numFmtId="0" fontId="16" fillId="2" borderId="0" xfId="0" applyFont="1" applyFill="1" applyProtection="1">
      <protection hidden="1"/>
    </xf>
    <xf numFmtId="0" fontId="39" fillId="2" borderId="0" xfId="0" applyFont="1" applyFill="1" applyBorder="1" applyProtection="1">
      <protection hidden="1"/>
    </xf>
    <xf numFmtId="0" fontId="16" fillId="2" borderId="0" xfId="0" applyFont="1" applyFill="1" applyBorder="1" applyProtection="1">
      <protection hidden="1"/>
    </xf>
    <xf numFmtId="0" fontId="38" fillId="2" borderId="0" xfId="0" applyFont="1" applyFill="1" applyBorder="1" applyAlignment="1" applyProtection="1">
      <alignment horizontal="right"/>
      <protection hidden="1"/>
    </xf>
    <xf numFmtId="0" fontId="9" fillId="2" borderId="0" xfId="0" applyFont="1" applyFill="1" applyBorder="1" applyAlignment="1" applyProtection="1">
      <alignment horizontal="left"/>
      <protection hidden="1"/>
    </xf>
    <xf numFmtId="0" fontId="16" fillId="2" borderId="0" xfId="0" applyFont="1" applyFill="1" applyBorder="1" applyAlignment="1" applyProtection="1">
      <alignment horizontal="centerContinuous"/>
      <protection hidden="1"/>
    </xf>
    <xf numFmtId="0" fontId="16" fillId="2" borderId="0" xfId="0" applyFont="1" applyFill="1" applyBorder="1" applyAlignment="1" applyProtection="1">
      <alignment horizontal="left"/>
      <protection hidden="1"/>
    </xf>
    <xf numFmtId="0" fontId="6" fillId="3" borderId="16" xfId="0" applyFont="1" applyFill="1" applyBorder="1" applyAlignment="1" applyProtection="1">
      <alignment horizontal="center"/>
      <protection locked="0"/>
    </xf>
    <xf numFmtId="0" fontId="39" fillId="2" borderId="0" xfId="0" applyFont="1" applyFill="1" applyBorder="1" applyAlignment="1" applyProtection="1">
      <alignment horizontal="right"/>
      <protection hidden="1"/>
    </xf>
    <xf numFmtId="166" fontId="6" fillId="3" borderId="18" xfId="0" applyNumberFormat="1" applyFont="1" applyFill="1" applyBorder="1" applyAlignment="1" applyProtection="1">
      <alignment horizontal="center"/>
      <protection locked="0"/>
    </xf>
    <xf numFmtId="0" fontId="37" fillId="2" borderId="0" xfId="0" applyFont="1" applyFill="1" applyBorder="1" applyProtection="1">
      <protection hidden="1"/>
    </xf>
    <xf numFmtId="0" fontId="16" fillId="2" borderId="0" xfId="0" applyFont="1" applyFill="1" applyAlignment="1" applyProtection="1">
      <alignment horizontal="right"/>
      <protection hidden="1"/>
    </xf>
    <xf numFmtId="166" fontId="6" fillId="3" borderId="20" xfId="0" applyNumberFormat="1" applyFont="1" applyFill="1" applyBorder="1" applyAlignment="1" applyProtection="1">
      <alignment horizontal="center"/>
      <protection locked="0"/>
    </xf>
    <xf numFmtId="0" fontId="9" fillId="2" borderId="0" xfId="0" applyFont="1" applyFill="1" applyBorder="1" applyAlignment="1" applyProtection="1">
      <protection hidden="1"/>
    </xf>
    <xf numFmtId="0" fontId="16" fillId="2" borderId="0" xfId="0" applyFont="1" applyFill="1" applyBorder="1" applyAlignment="1" applyProtection="1">
      <protection hidden="1"/>
    </xf>
    <xf numFmtId="0" fontId="40" fillId="2" borderId="0" xfId="0" applyFont="1" applyFill="1" applyAlignment="1" applyProtection="1">
      <alignment horizontal="right"/>
      <protection hidden="1"/>
    </xf>
    <xf numFmtId="164" fontId="6" fillId="3" borderId="16" xfId="0" applyNumberFormat="1" applyFont="1" applyFill="1" applyBorder="1" applyAlignment="1" applyProtection="1">
      <alignment horizontal="center"/>
    </xf>
    <xf numFmtId="164" fontId="6" fillId="3" borderId="18" xfId="0" applyNumberFormat="1" applyFont="1" applyFill="1" applyBorder="1" applyAlignment="1" applyProtection="1">
      <alignment horizontal="center"/>
    </xf>
    <xf numFmtId="10" fontId="39" fillId="2" borderId="0" xfId="0" quotePrefix="1" applyNumberFormat="1" applyFont="1" applyFill="1" applyBorder="1" applyAlignment="1" applyProtection="1">
      <alignment horizontal="center"/>
      <protection hidden="1"/>
    </xf>
    <xf numFmtId="0" fontId="16" fillId="2" borderId="0" xfId="0" applyFont="1" applyFill="1" applyAlignment="1" applyProtection="1">
      <alignment horizontal="left"/>
      <protection hidden="1"/>
    </xf>
    <xf numFmtId="10" fontId="39" fillId="2" borderId="0" xfId="0" quotePrefix="1" applyNumberFormat="1" applyFont="1" applyFill="1" applyAlignment="1" applyProtection="1">
      <alignment horizontal="center"/>
      <protection hidden="1"/>
    </xf>
    <xf numFmtId="164" fontId="6" fillId="3" borderId="28" xfId="0" applyNumberFormat="1" applyFont="1" applyFill="1" applyBorder="1" applyAlignment="1" applyProtection="1">
      <alignment horizontal="center"/>
    </xf>
    <xf numFmtId="164" fontId="6" fillId="3" borderId="20" xfId="0" applyNumberFormat="1" applyFont="1" applyFill="1" applyBorder="1" applyAlignment="1" applyProtection="1">
      <alignment horizontal="center"/>
    </xf>
    <xf numFmtId="0" fontId="38" fillId="2" borderId="0"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3" fillId="2" borderId="0" xfId="0" applyFont="1" applyFill="1" applyProtection="1">
      <protection hidden="1"/>
    </xf>
    <xf numFmtId="0" fontId="6" fillId="2" borderId="0" xfId="0" applyFont="1" applyFill="1" applyBorder="1" applyAlignment="1" applyProtection="1">
      <protection hidden="1"/>
    </xf>
    <xf numFmtId="0" fontId="40" fillId="2" borderId="0" xfId="0" applyFont="1" applyFill="1" applyBorder="1" applyAlignment="1" applyProtection="1">
      <alignment horizontal="right"/>
      <protection hidden="1"/>
    </xf>
    <xf numFmtId="164" fontId="6" fillId="3" borderId="17" xfId="0" applyNumberFormat="1" applyFont="1" applyFill="1" applyBorder="1" applyAlignment="1" applyProtection="1">
      <alignment horizontal="center"/>
    </xf>
    <xf numFmtId="164" fontId="6" fillId="3" borderId="19" xfId="0" applyNumberFormat="1" applyFont="1" applyFill="1" applyBorder="1" applyAlignment="1" applyProtection="1">
      <alignment horizontal="center"/>
    </xf>
    <xf numFmtId="164" fontId="6" fillId="3" borderId="21" xfId="0" applyNumberFormat="1" applyFont="1" applyFill="1" applyBorder="1" applyAlignment="1" applyProtection="1">
      <alignment horizontal="center"/>
    </xf>
    <xf numFmtId="164" fontId="6" fillId="3" borderId="22" xfId="0" applyNumberFormat="1" applyFont="1" applyFill="1" applyBorder="1" applyAlignment="1" applyProtection="1">
      <alignment horizontal="center"/>
    </xf>
    <xf numFmtId="164" fontId="6" fillId="3" borderId="23" xfId="0" applyNumberFormat="1" applyFont="1" applyFill="1" applyBorder="1" applyAlignment="1" applyProtection="1">
      <alignment horizontal="center"/>
    </xf>
    <xf numFmtId="2" fontId="6" fillId="3" borderId="18" xfId="0" applyNumberFormat="1" applyFont="1" applyFill="1" applyBorder="1" applyAlignment="1" applyProtection="1">
      <alignment horizontal="center"/>
    </xf>
    <xf numFmtId="2" fontId="6" fillId="3" borderId="23" xfId="0" applyNumberFormat="1" applyFont="1" applyFill="1" applyBorder="1" applyAlignment="1" applyProtection="1">
      <alignment horizontal="center"/>
    </xf>
    <xf numFmtId="2" fontId="6" fillId="3" borderId="19" xfId="0" applyNumberFormat="1" applyFont="1" applyFill="1" applyBorder="1" applyAlignment="1" applyProtection="1">
      <alignment horizontal="center"/>
    </xf>
    <xf numFmtId="2" fontId="6" fillId="3" borderId="20" xfId="0" applyNumberFormat="1" applyFont="1" applyFill="1" applyBorder="1" applyAlignment="1" applyProtection="1">
      <alignment horizontal="center"/>
    </xf>
    <xf numFmtId="2" fontId="6" fillId="3" borderId="24" xfId="0" applyNumberFormat="1" applyFont="1" applyFill="1" applyBorder="1" applyAlignment="1" applyProtection="1">
      <alignment horizontal="center"/>
    </xf>
    <xf numFmtId="2" fontId="6" fillId="3" borderId="21" xfId="0" applyNumberFormat="1" applyFont="1" applyFill="1" applyBorder="1" applyAlignment="1" applyProtection="1">
      <alignment horizontal="center"/>
    </xf>
    <xf numFmtId="0" fontId="38" fillId="2" borderId="0" xfId="0" applyFont="1" applyFill="1" applyBorder="1" applyAlignment="1" applyProtection="1">
      <alignment horizontal="centerContinuous"/>
      <protection hidden="1"/>
    </xf>
    <xf numFmtId="0" fontId="6" fillId="2" borderId="0" xfId="0" applyFont="1" applyFill="1" applyBorder="1" applyAlignment="1"/>
    <xf numFmtId="0" fontId="9" fillId="2" borderId="0" xfId="0" applyFont="1" applyFill="1" applyProtection="1">
      <protection hidden="1"/>
    </xf>
    <xf numFmtId="0" fontId="0" fillId="4" borderId="4" xfId="0" applyFill="1" applyBorder="1" applyAlignment="1">
      <alignment horizontal="centerContinuous"/>
    </xf>
    <xf numFmtId="0" fontId="6" fillId="2" borderId="4" xfId="0" applyFont="1" applyFill="1" applyBorder="1" applyProtection="1">
      <protection locked="0"/>
    </xf>
    <xf numFmtId="0" fontId="6" fillId="2" borderId="5" xfId="0" applyFont="1" applyFill="1" applyBorder="1" applyProtection="1">
      <protection locked="0"/>
    </xf>
    <xf numFmtId="0" fontId="0" fillId="4" borderId="0" xfId="0" applyFill="1" applyBorder="1" applyAlignment="1">
      <alignment horizontal="centerContinuous"/>
    </xf>
    <xf numFmtId="0" fontId="6" fillId="2" borderId="7" xfId="0" applyFont="1" applyFill="1" applyBorder="1" applyProtection="1">
      <protection locked="0"/>
    </xf>
    <xf numFmtId="0" fontId="0" fillId="4" borderId="8" xfId="0" applyFill="1" applyBorder="1" applyAlignment="1">
      <alignment horizontal="centerContinuous"/>
    </xf>
    <xf numFmtId="49" fontId="6" fillId="2" borderId="6" xfId="0" applyNumberFormat="1" applyFont="1" applyFill="1" applyBorder="1" applyAlignment="1" applyProtection="1">
      <alignment horizontal="left"/>
      <protection locked="0"/>
    </xf>
    <xf numFmtId="49" fontId="9" fillId="2" borderId="0" xfId="0" applyNumberFormat="1" applyFont="1" applyFill="1" applyBorder="1" applyProtection="1">
      <protection locked="0"/>
    </xf>
    <xf numFmtId="0" fontId="6" fillId="2" borderId="3" xfId="0" applyFont="1" applyFill="1" applyBorder="1" applyProtection="1">
      <protection locked="0"/>
    </xf>
    <xf numFmtId="49" fontId="6" fillId="2" borderId="4" xfId="0" applyNumberFormat="1" applyFont="1" applyFill="1" applyBorder="1" applyAlignment="1" applyProtection="1">
      <alignment horizontal="left"/>
      <protection locked="0"/>
    </xf>
    <xf numFmtId="49" fontId="6" fillId="2" borderId="5" xfId="0" applyNumberFormat="1" applyFont="1" applyFill="1" applyBorder="1" applyProtection="1">
      <protection locked="0"/>
    </xf>
    <xf numFmtId="0" fontId="6" fillId="2" borderId="11" xfId="0" applyFont="1" applyFill="1" applyBorder="1" applyProtection="1">
      <protection locked="0"/>
    </xf>
    <xf numFmtId="49" fontId="6" fillId="2" borderId="12" xfId="0" applyNumberFormat="1" applyFont="1" applyFill="1" applyBorder="1" applyAlignment="1" applyProtection="1">
      <alignment horizontal="left"/>
      <protection locked="0"/>
    </xf>
    <xf numFmtId="0" fontId="28" fillId="2" borderId="8" xfId="0" applyFont="1" applyFill="1" applyBorder="1" applyAlignment="1" applyProtection="1">
      <alignment horizontal="center"/>
      <protection hidden="1"/>
    </xf>
    <xf numFmtId="1" fontId="6" fillId="2" borderId="0" xfId="0" applyNumberFormat="1" applyFont="1" applyFill="1" applyAlignment="1">
      <alignment horizontal="center"/>
    </xf>
    <xf numFmtId="14" fontId="6" fillId="2" borderId="0" xfId="0" applyNumberFormat="1" applyFont="1" applyFill="1" applyBorder="1" applyAlignment="1" applyProtection="1">
      <alignment horizontal="center"/>
      <protection locked="0"/>
    </xf>
    <xf numFmtId="18" fontId="6" fillId="2" borderId="0" xfId="0" applyNumberFormat="1" applyFont="1" applyFill="1" applyBorder="1" applyAlignment="1" applyProtection="1">
      <alignment horizontal="center"/>
      <protection locked="0"/>
    </xf>
    <xf numFmtId="0" fontId="0" fillId="2" borderId="7" xfId="0" applyFill="1" applyBorder="1"/>
    <xf numFmtId="0" fontId="41" fillId="2" borderId="6" xfId="0" applyFont="1" applyFill="1" applyBorder="1" applyAlignment="1" applyProtection="1">
      <alignment horizontal="right"/>
      <protection hidden="1"/>
    </xf>
    <xf numFmtId="0" fontId="41" fillId="2" borderId="0" xfId="0" applyFont="1" applyFill="1" applyBorder="1" applyAlignment="1" applyProtection="1">
      <alignment horizontal="right"/>
      <protection hidden="1"/>
    </xf>
    <xf numFmtId="0" fontId="37" fillId="2" borderId="0" xfId="0" applyFont="1" applyFill="1" applyBorder="1" applyAlignment="1" applyProtection="1">
      <alignment horizontal="right"/>
      <protection hidden="1"/>
    </xf>
    <xf numFmtId="0" fontId="0" fillId="2" borderId="7" xfId="0" applyFill="1" applyBorder="1" applyAlignment="1"/>
    <xf numFmtId="1" fontId="6" fillId="2" borderId="0" xfId="0" applyNumberFormat="1" applyFont="1" applyFill="1" applyBorder="1" applyAlignment="1">
      <alignment horizontal="center"/>
    </xf>
    <xf numFmtId="2" fontId="6" fillId="2" borderId="0" xfId="0" applyNumberFormat="1" applyFont="1" applyFill="1" applyBorder="1" applyAlignment="1" applyProtection="1">
      <alignment horizontal="centerContinuous"/>
      <protection hidden="1"/>
    </xf>
    <xf numFmtId="0" fontId="38" fillId="2" borderId="0" xfId="0" applyFont="1" applyFill="1" applyAlignment="1">
      <alignment horizontal="right"/>
    </xf>
    <xf numFmtId="0" fontId="2" fillId="2" borderId="0" xfId="0" applyFont="1" applyFill="1" applyBorder="1" applyAlignment="1" applyProtection="1">
      <alignment horizontal="right"/>
      <protection hidden="1"/>
    </xf>
    <xf numFmtId="49" fontId="38" fillId="2" borderId="0" xfId="0" applyNumberFormat="1" applyFont="1" applyFill="1"/>
    <xf numFmtId="49" fontId="0" fillId="2" borderId="0" xfId="0" applyNumberFormat="1" applyFill="1"/>
    <xf numFmtId="49" fontId="6" fillId="2" borderId="0" xfId="0" applyNumberFormat="1" applyFont="1" applyFill="1" applyAlignment="1">
      <alignment horizontal="right"/>
    </xf>
    <xf numFmtId="0" fontId="5" fillId="2" borderId="6" xfId="0" applyFont="1" applyFill="1" applyBorder="1" applyAlignment="1" applyProtection="1">
      <alignment horizontal="centerContinuous"/>
      <protection hidden="1"/>
    </xf>
    <xf numFmtId="164" fontId="7" fillId="2" borderId="6" xfId="0" applyNumberFormat="1" applyFont="1" applyFill="1" applyBorder="1" applyAlignment="1" applyProtection="1">
      <alignment horizontal="right"/>
      <protection hidden="1"/>
    </xf>
    <xf numFmtId="0" fontId="0" fillId="2" borderId="8" xfId="0" applyFill="1" applyBorder="1"/>
    <xf numFmtId="0" fontId="0" fillId="2" borderId="9" xfId="0" applyFill="1" applyBorder="1"/>
    <xf numFmtId="0" fontId="0" fillId="2" borderId="4" xfId="0" applyFill="1" applyBorder="1"/>
    <xf numFmtId="0" fontId="0" fillId="2" borderId="5" xfId="0" applyFill="1" applyBorder="1"/>
    <xf numFmtId="0" fontId="0" fillId="4" borderId="9" xfId="0" applyFill="1" applyBorder="1" applyAlignment="1" applyProtection="1">
      <alignment horizontal="center"/>
      <protection hidden="1"/>
    </xf>
    <xf numFmtId="0" fontId="16" fillId="2" borderId="0" xfId="0" applyFont="1" applyFill="1" applyBorder="1"/>
    <xf numFmtId="0" fontId="37" fillId="2" borderId="6" xfId="0" applyFont="1" applyFill="1" applyBorder="1" applyAlignment="1" applyProtection="1">
      <alignment horizontal="right"/>
      <protection hidden="1"/>
    </xf>
    <xf numFmtId="0" fontId="41" fillId="2" borderId="7" xfId="0" applyFont="1" applyFill="1" applyBorder="1" applyAlignment="1" applyProtection="1">
      <alignment horizontal="right"/>
      <protection hidden="1"/>
    </xf>
    <xf numFmtId="0" fontId="1" fillId="2" borderId="0" xfId="0" applyFont="1" applyFill="1" applyProtection="1">
      <protection hidden="1"/>
    </xf>
    <xf numFmtId="0" fontId="1" fillId="2" borderId="0" xfId="0" applyFont="1" applyFill="1" applyBorder="1" applyProtection="1">
      <protection hidden="1"/>
    </xf>
    <xf numFmtId="0" fontId="7" fillId="2" borderId="0" xfId="0" applyFont="1" applyFill="1" applyBorder="1" applyAlignment="1" applyProtection="1">
      <alignment vertical="justify"/>
      <protection hidden="1"/>
    </xf>
    <xf numFmtId="0" fontId="13" fillId="2" borderId="0" xfId="0" applyFont="1" applyFill="1" applyAlignment="1" applyProtection="1">
      <alignment horizontal="left"/>
      <protection hidden="1"/>
    </xf>
    <xf numFmtId="0" fontId="6" fillId="2" borderId="0" xfId="0" applyFont="1" applyFill="1" applyAlignment="1" applyProtection="1">
      <alignment horizontal="centerContinuous"/>
      <protection hidden="1"/>
    </xf>
    <xf numFmtId="0" fontId="1" fillId="2" borderId="0" xfId="0" applyFont="1" applyFill="1" applyAlignment="1" applyProtection="1">
      <alignment horizontal="centerContinuous"/>
      <protection hidden="1"/>
    </xf>
    <xf numFmtId="0" fontId="1" fillId="2" borderId="0" xfId="0" applyFont="1" applyFill="1" applyBorder="1" applyAlignment="1" applyProtection="1">
      <alignment horizontal="centerContinuous"/>
      <protection hidden="1"/>
    </xf>
    <xf numFmtId="0" fontId="16" fillId="2" borderId="0" xfId="0" applyFont="1" applyFill="1" applyBorder="1" applyAlignment="1" applyProtection="1">
      <alignment horizontal="right"/>
      <protection hidden="1"/>
    </xf>
    <xf numFmtId="0" fontId="16" fillId="2" borderId="0" xfId="0" applyFont="1" applyFill="1" applyAlignment="1" applyProtection="1">
      <alignment horizontal="center"/>
      <protection hidden="1"/>
    </xf>
    <xf numFmtId="49" fontId="6" fillId="2" borderId="11" xfId="0" applyNumberFormat="1" applyFont="1" applyFill="1" applyBorder="1" applyAlignment="1" applyProtection="1">
      <protection locked="0"/>
    </xf>
    <xf numFmtId="164" fontId="16" fillId="2" borderId="0" xfId="0" applyNumberFormat="1" applyFont="1" applyFill="1" applyBorder="1" applyAlignment="1" applyProtection="1">
      <alignment horizontal="center"/>
      <protection hidden="1"/>
    </xf>
    <xf numFmtId="0" fontId="6" fillId="2" borderId="0" xfId="0" applyFont="1" applyFill="1" applyProtection="1">
      <protection hidden="1"/>
    </xf>
    <xf numFmtId="2" fontId="16" fillId="2" borderId="0" xfId="0" applyNumberFormat="1" applyFont="1" applyFill="1" applyBorder="1" applyAlignment="1" applyProtection="1">
      <alignment horizontal="center"/>
      <protection hidden="1"/>
    </xf>
    <xf numFmtId="164" fontId="16" fillId="2" borderId="0" xfId="0" applyNumberFormat="1" applyFont="1" applyFill="1" applyAlignment="1" applyProtection="1">
      <alignment horizontal="center"/>
      <protection hidden="1"/>
    </xf>
    <xf numFmtId="2" fontId="16" fillId="2" borderId="0" xfId="0" applyNumberFormat="1" applyFont="1" applyFill="1" applyAlignment="1" applyProtection="1">
      <alignment horizontal="center"/>
      <protection hidden="1"/>
    </xf>
    <xf numFmtId="0" fontId="42" fillId="2" borderId="0" xfId="0" applyFont="1" applyFill="1" applyBorder="1" applyAlignment="1" applyProtection="1">
      <protection hidden="1"/>
    </xf>
    <xf numFmtId="0" fontId="43" fillId="2" borderId="0" xfId="0" applyFont="1" applyFill="1" applyBorder="1" applyAlignment="1" applyProtection="1">
      <protection hidden="1"/>
    </xf>
    <xf numFmtId="0" fontId="35" fillId="2" borderId="0" xfId="0" applyFont="1" applyFill="1" applyBorder="1" applyAlignment="1" applyProtection="1">
      <protection hidden="1"/>
    </xf>
    <xf numFmtId="0" fontId="18" fillId="2" borderId="6" xfId="0" applyFont="1" applyFill="1" applyBorder="1" applyAlignment="1" applyProtection="1">
      <protection hidden="1"/>
    </xf>
    <xf numFmtId="0" fontId="6" fillId="2" borderId="0" xfId="0" applyFont="1" applyFill="1" applyBorder="1" applyAlignment="1" applyProtection="1">
      <protection locked="0"/>
    </xf>
    <xf numFmtId="14" fontId="6" fillId="2" borderId="5" xfId="0" applyNumberFormat="1" applyFont="1" applyFill="1" applyBorder="1" applyAlignment="1" applyProtection="1">
      <protection locked="0"/>
    </xf>
    <xf numFmtId="0" fontId="6" fillId="2" borderId="0" xfId="0" applyFont="1" applyFill="1" applyAlignment="1" applyProtection="1">
      <alignment horizontal="right"/>
      <protection hidden="1"/>
    </xf>
    <xf numFmtId="164" fontId="6" fillId="2" borderId="0" xfId="0" applyNumberFormat="1" applyFont="1" applyFill="1" applyAlignment="1" applyProtection="1">
      <alignment horizontal="center"/>
      <protection hidden="1"/>
    </xf>
    <xf numFmtId="0" fontId="23" fillId="2" borderId="6" xfId="0" applyNumberFormat="1" applyFont="1" applyFill="1" applyBorder="1" applyAlignment="1" applyProtection="1">
      <protection hidden="1"/>
    </xf>
    <xf numFmtId="18" fontId="6" fillId="2" borderId="7" xfId="0" applyNumberFormat="1" applyFont="1" applyFill="1" applyBorder="1" applyAlignment="1" applyProtection="1">
      <protection locked="0"/>
    </xf>
    <xf numFmtId="0" fontId="6" fillId="2" borderId="0" xfId="0" applyNumberFormat="1" applyFont="1" applyFill="1" applyBorder="1" applyAlignment="1" applyProtection="1">
      <protection hidden="1"/>
    </xf>
    <xf numFmtId="0" fontId="23" fillId="2" borderId="0" xfId="0" applyFont="1" applyFill="1" applyBorder="1" applyAlignment="1" applyProtection="1">
      <protection hidden="1"/>
    </xf>
    <xf numFmtId="0" fontId="7" fillId="2" borderId="0" xfId="0" applyNumberFormat="1" applyFont="1" applyFill="1" applyBorder="1" applyAlignment="1" applyProtection="1">
      <protection hidden="1"/>
    </xf>
    <xf numFmtId="0" fontId="16" fillId="2" borderId="0" xfId="0" applyNumberFormat="1" applyFont="1" applyFill="1" applyBorder="1" applyAlignment="1" applyProtection="1">
      <alignment horizontal="right"/>
      <protection hidden="1"/>
    </xf>
    <xf numFmtId="0" fontId="37" fillId="2" borderId="0" xfId="0" applyNumberFormat="1" applyFont="1" applyFill="1" applyBorder="1" applyAlignment="1" applyProtection="1">
      <protection hidden="1"/>
    </xf>
    <xf numFmtId="0" fontId="18" fillId="2" borderId="7" xfId="0" applyNumberFormat="1" applyFont="1" applyFill="1" applyBorder="1" applyAlignment="1" applyProtection="1">
      <protection hidden="1"/>
    </xf>
    <xf numFmtId="0" fontId="23" fillId="2" borderId="0" xfId="0" applyNumberFormat="1" applyFont="1" applyFill="1" applyBorder="1" applyAlignment="1" applyProtection="1">
      <protection hidden="1"/>
    </xf>
    <xf numFmtId="0" fontId="18" fillId="2" borderId="6" xfId="0" applyNumberFormat="1" applyFont="1" applyFill="1" applyBorder="1" applyAlignment="1" applyProtection="1">
      <protection hidden="1"/>
    </xf>
    <xf numFmtId="2" fontId="6" fillId="3" borderId="16" xfId="0" applyNumberFormat="1" applyFont="1" applyFill="1" applyBorder="1" applyAlignment="1" applyProtection="1">
      <alignment horizontal="center"/>
      <protection locked="0"/>
    </xf>
    <xf numFmtId="0" fontId="41" fillId="2" borderId="0" xfId="0" applyFont="1" applyFill="1" applyBorder="1" applyAlignment="1" applyProtection="1">
      <protection hidden="1"/>
    </xf>
    <xf numFmtId="0" fontId="14" fillId="2" borderId="0" xfId="0" applyFont="1" applyFill="1" applyBorder="1" applyAlignment="1" applyProtection="1">
      <alignment horizontal="right"/>
      <protection hidden="1"/>
    </xf>
    <xf numFmtId="0" fontId="14" fillId="2" borderId="0" xfId="0" applyFont="1" applyFill="1" applyBorder="1" applyAlignment="1" applyProtection="1">
      <alignment horizontal="left"/>
      <protection hidden="1"/>
    </xf>
    <xf numFmtId="0" fontId="7" fillId="2" borderId="0" xfId="0" applyFont="1" applyFill="1" applyBorder="1" applyAlignment="1" applyProtection="1">
      <alignment horizontal="right"/>
      <protection hidden="1"/>
    </xf>
    <xf numFmtId="0" fontId="25" fillId="2" borderId="0" xfId="0" applyFont="1" applyFill="1" applyBorder="1" applyAlignment="1" applyProtection="1">
      <protection hidden="1"/>
    </xf>
    <xf numFmtId="0" fontId="7" fillId="2" borderId="0" xfId="0" applyNumberFormat="1" applyFont="1" applyFill="1" applyBorder="1" applyAlignment="1" applyProtection="1">
      <alignment horizontal="right"/>
      <protection hidden="1"/>
    </xf>
    <xf numFmtId="0" fontId="25" fillId="2" borderId="0" xfId="0" applyNumberFormat="1" applyFont="1" applyFill="1" applyBorder="1" applyAlignment="1" applyProtection="1">
      <protection hidden="1"/>
    </xf>
    <xf numFmtId="0" fontId="26" fillId="2" borderId="0" xfId="0" applyFont="1" applyFill="1" applyBorder="1" applyAlignment="1" applyProtection="1">
      <protection hidden="1"/>
    </xf>
    <xf numFmtId="0" fontId="39" fillId="2" borderId="0" xfId="0" applyNumberFormat="1" applyFont="1" applyFill="1" applyBorder="1" applyAlignment="1" applyProtection="1">
      <protection hidden="1"/>
    </xf>
    <xf numFmtId="164" fontId="25" fillId="2" borderId="0" xfId="0" applyNumberFormat="1" applyFont="1" applyFill="1" applyBorder="1" applyAlignment="1" applyProtection="1">
      <protection hidden="1"/>
    </xf>
    <xf numFmtId="164" fontId="6" fillId="2" borderId="0" xfId="0" applyNumberFormat="1" applyFont="1" applyFill="1" applyBorder="1" applyAlignment="1" applyProtection="1">
      <protection hidden="1"/>
    </xf>
    <xf numFmtId="0" fontId="37" fillId="2" borderId="7" xfId="0" applyNumberFormat="1" applyFont="1" applyFill="1" applyBorder="1" applyAlignment="1" applyProtection="1">
      <protection hidden="1"/>
    </xf>
    <xf numFmtId="167" fontId="6" fillId="3" borderId="18" xfId="0" applyNumberFormat="1" applyFont="1" applyFill="1" applyBorder="1" applyAlignment="1" applyProtection="1">
      <alignment horizontal="center"/>
      <protection locked="0"/>
    </xf>
    <xf numFmtId="0" fontId="6" fillId="3" borderId="18" xfId="0" applyFont="1" applyFill="1" applyBorder="1" applyAlignment="1" applyProtection="1">
      <alignment horizontal="center"/>
      <protection locked="0"/>
    </xf>
    <xf numFmtId="0" fontId="37" fillId="2" borderId="7" xfId="0" applyNumberFormat="1" applyFont="1" applyFill="1" applyBorder="1" applyAlignment="1" applyProtection="1">
      <alignment vertical="top"/>
      <protection hidden="1"/>
    </xf>
    <xf numFmtId="164" fontId="7" fillId="2" borderId="0" xfId="0" applyNumberFormat="1" applyFont="1" applyFill="1" applyBorder="1" applyAlignment="1" applyProtection="1">
      <protection hidden="1"/>
    </xf>
    <xf numFmtId="0" fontId="16" fillId="3" borderId="20" xfId="0" applyFont="1" applyFill="1" applyBorder="1" applyAlignment="1" applyProtection="1">
      <alignment horizontal="center"/>
      <protection locked="0"/>
    </xf>
    <xf numFmtId="0" fontId="39" fillId="2" borderId="0" xfId="0" applyNumberFormat="1" applyFont="1" applyFill="1" applyBorder="1" applyAlignment="1" applyProtection="1">
      <alignment horizontal="right"/>
      <protection hidden="1"/>
    </xf>
    <xf numFmtId="0" fontId="5" fillId="2" borderId="0" xfId="0" applyFont="1" applyFill="1" applyBorder="1" applyAlignment="1" applyProtection="1">
      <protection hidden="1"/>
    </xf>
    <xf numFmtId="0" fontId="18" fillId="2" borderId="7" xfId="0" applyFont="1" applyFill="1" applyBorder="1" applyAlignment="1" applyProtection="1">
      <protection hidden="1"/>
    </xf>
    <xf numFmtId="0" fontId="32" fillId="2" borderId="6" xfId="0" applyFont="1" applyFill="1" applyBorder="1" applyAlignment="1" applyProtection="1">
      <protection hidden="1"/>
    </xf>
    <xf numFmtId="0" fontId="18" fillId="2" borderId="0" xfId="0" applyFont="1" applyFill="1" applyBorder="1" applyAlignment="1" applyProtection="1">
      <protection hidden="1"/>
    </xf>
    <xf numFmtId="2" fontId="7" fillId="2" borderId="0" xfId="0" applyNumberFormat="1" applyFont="1" applyFill="1" applyBorder="1" applyAlignment="1" applyProtection="1">
      <protection hidden="1"/>
    </xf>
    <xf numFmtId="0" fontId="25" fillId="2" borderId="7" xfId="0" applyFont="1" applyFill="1" applyBorder="1" applyAlignment="1" applyProtection="1">
      <protection hidden="1"/>
    </xf>
    <xf numFmtId="164" fontId="6" fillId="2" borderId="18" xfId="0" applyNumberFormat="1" applyFont="1" applyFill="1" applyBorder="1" applyAlignment="1" applyProtection="1">
      <alignment horizontal="center"/>
      <protection hidden="1"/>
    </xf>
    <xf numFmtId="0" fontId="6" fillId="2" borderId="0" xfId="0" applyFont="1" applyFill="1" applyAlignment="1" applyProtection="1">
      <alignment horizontal="left"/>
      <protection hidden="1"/>
    </xf>
    <xf numFmtId="0" fontId="15" fillId="2" borderId="0" xfId="0" applyFont="1" applyFill="1" applyBorder="1" applyAlignment="1" applyProtection="1">
      <alignment horizontal="left"/>
      <protection hidden="1"/>
    </xf>
    <xf numFmtId="0" fontId="3" fillId="2" borderId="0" xfId="0" applyNumberFormat="1" applyFont="1" applyFill="1" applyBorder="1" applyAlignment="1" applyProtection="1">
      <protection hidden="1"/>
    </xf>
    <xf numFmtId="166" fontId="6" fillId="2" borderId="0" xfId="0" applyNumberFormat="1" applyFont="1" applyFill="1" applyBorder="1" applyAlignment="1" applyProtection="1">
      <alignment horizontal="right"/>
      <protection hidden="1"/>
    </xf>
    <xf numFmtId="172" fontId="6" fillId="2" borderId="0" xfId="0" applyNumberFormat="1" applyFont="1" applyFill="1" applyBorder="1" applyAlignment="1" applyProtection="1">
      <alignment horizontal="center"/>
      <protection hidden="1"/>
    </xf>
    <xf numFmtId="2" fontId="6" fillId="2" borderId="0" xfId="0" applyNumberFormat="1" applyFont="1" applyFill="1" applyAlignment="1" applyProtection="1">
      <alignment horizontal="center"/>
      <protection hidden="1"/>
    </xf>
    <xf numFmtId="0" fontId="24" fillId="2" borderId="0" xfId="0" applyFont="1" applyFill="1" applyBorder="1" applyAlignment="1" applyProtection="1">
      <protection hidden="1"/>
    </xf>
    <xf numFmtId="0" fontId="1" fillId="2" borderId="0" xfId="0" applyFont="1" applyFill="1" applyBorder="1" applyAlignment="1" applyProtection="1">
      <protection hidden="1"/>
    </xf>
    <xf numFmtId="2" fontId="6" fillId="2" borderId="0" xfId="0" applyNumberFormat="1" applyFont="1" applyFill="1" applyBorder="1" applyAlignment="1" applyProtection="1">
      <protection hidden="1"/>
    </xf>
    <xf numFmtId="0" fontId="7" fillId="2" borderId="7" xfId="0" applyFont="1" applyFill="1" applyBorder="1" applyAlignment="1" applyProtection="1">
      <protection hidden="1"/>
    </xf>
    <xf numFmtId="0" fontId="37" fillId="2" borderId="7" xfId="0" applyFont="1" applyFill="1" applyBorder="1" applyAlignment="1" applyProtection="1">
      <protection locked="0"/>
    </xf>
    <xf numFmtId="0" fontId="6" fillId="2" borderId="6" xfId="0" applyFont="1" applyFill="1" applyBorder="1" applyProtection="1">
      <protection locked="0"/>
    </xf>
    <xf numFmtId="2" fontId="38" fillId="2" borderId="14" xfId="0" applyNumberFormat="1" applyFont="1" applyFill="1" applyBorder="1" applyAlignment="1" applyProtection="1">
      <protection locked="0"/>
    </xf>
    <xf numFmtId="2" fontId="6" fillId="2" borderId="8" xfId="0" applyNumberFormat="1" applyFont="1" applyFill="1" applyBorder="1" applyAlignment="1" applyProtection="1">
      <alignment horizontal="center"/>
      <protection locked="0"/>
    </xf>
    <xf numFmtId="0" fontId="6" fillId="2" borderId="8" xfId="0" applyFont="1" applyFill="1" applyBorder="1" applyAlignment="1" applyProtection="1">
      <alignment horizontal="left"/>
      <protection locked="0"/>
    </xf>
    <xf numFmtId="0" fontId="6" fillId="2" borderId="8" xfId="0" applyFont="1" applyFill="1" applyBorder="1" applyProtection="1">
      <protection locked="0"/>
    </xf>
    <xf numFmtId="2" fontId="6" fillId="2" borderId="8" xfId="0" applyNumberFormat="1" applyFont="1" applyFill="1" applyBorder="1" applyAlignment="1" applyProtection="1">
      <alignment horizontal="left"/>
      <protection locked="0"/>
    </xf>
    <xf numFmtId="0" fontId="6" fillId="2" borderId="9" xfId="0" applyFont="1" applyFill="1" applyBorder="1" applyProtection="1">
      <protection locked="0"/>
    </xf>
    <xf numFmtId="0" fontId="41" fillId="2" borderId="0" xfId="0" applyFont="1" applyFill="1" applyProtection="1">
      <protection hidden="1"/>
    </xf>
    <xf numFmtId="0" fontId="41" fillId="2" borderId="0" xfId="0" applyFont="1" applyFill="1" applyAlignment="1" applyProtection="1">
      <protection hidden="1"/>
    </xf>
    <xf numFmtId="0" fontId="41" fillId="2" borderId="0" xfId="0" applyFont="1" applyFill="1" applyAlignment="1" applyProtection="1">
      <alignment horizontal="left"/>
      <protection hidden="1"/>
    </xf>
    <xf numFmtId="0" fontId="6" fillId="2" borderId="0" xfId="0" applyNumberFormat="1" applyFont="1" applyFill="1" applyBorder="1" applyAlignment="1" applyProtection="1">
      <protection locked="0"/>
    </xf>
    <xf numFmtId="2" fontId="6" fillId="2" borderId="16" xfId="0" applyNumberFormat="1" applyFont="1" applyFill="1" applyBorder="1" applyAlignment="1" applyProtection="1">
      <alignment horizontal="center"/>
    </xf>
    <xf numFmtId="2" fontId="6" fillId="2" borderId="20" xfId="0" applyNumberFormat="1" applyFont="1" applyFill="1" applyBorder="1" applyAlignment="1" applyProtection="1">
      <alignment horizontal="center"/>
    </xf>
    <xf numFmtId="0" fontId="27" fillId="2" borderId="0" xfId="0" applyFont="1" applyFill="1" applyBorder="1" applyAlignment="1" applyProtection="1">
      <protection hidden="1"/>
    </xf>
    <xf numFmtId="0" fontId="23" fillId="2" borderId="6" xfId="0" applyFont="1" applyFill="1" applyBorder="1" applyAlignment="1" applyProtection="1">
      <alignment horizontal="left"/>
      <protection hidden="1"/>
    </xf>
    <xf numFmtId="0" fontId="6" fillId="2" borderId="14" xfId="0" applyFont="1" applyFill="1" applyBorder="1" applyProtection="1">
      <protection locked="0"/>
    </xf>
    <xf numFmtId="49" fontId="6" fillId="2" borderId="9" xfId="0" applyNumberFormat="1" applyFont="1" applyFill="1" applyBorder="1" applyAlignment="1" applyProtection="1">
      <alignment horizontal="left"/>
      <protection locked="0"/>
    </xf>
    <xf numFmtId="49" fontId="6" fillId="2" borderId="9" xfId="0" applyNumberFormat="1" applyFont="1" applyFill="1" applyBorder="1" applyProtection="1">
      <protection locked="0"/>
    </xf>
    <xf numFmtId="0" fontId="6" fillId="2" borderId="15" xfId="0" applyFont="1" applyFill="1" applyBorder="1" applyProtection="1">
      <protection locked="0"/>
    </xf>
    <xf numFmtId="0" fontId="6" fillId="2" borderId="12" xfId="0" applyFont="1" applyFill="1" applyBorder="1" applyProtection="1">
      <protection locked="0"/>
    </xf>
    <xf numFmtId="0" fontId="0" fillId="2" borderId="8" xfId="0" applyFill="1" applyBorder="1" applyProtection="1">
      <protection locked="0"/>
    </xf>
    <xf numFmtId="164" fontId="6" fillId="2" borderId="0" xfId="0" applyNumberFormat="1" applyFont="1" applyFill="1" applyBorder="1" applyAlignment="1" applyProtection="1">
      <alignment horizontal="center"/>
    </xf>
    <xf numFmtId="2" fontId="6" fillId="2" borderId="0" xfId="0" applyNumberFormat="1" applyFont="1" applyFill="1" applyBorder="1" applyAlignment="1" applyProtection="1">
      <alignment horizontal="center"/>
    </xf>
    <xf numFmtId="0" fontId="16" fillId="3" borderId="28" xfId="0" applyFont="1" applyFill="1" applyBorder="1" applyAlignment="1" applyProtection="1">
      <alignment horizontal="center"/>
      <protection locked="0"/>
    </xf>
    <xf numFmtId="0" fontId="15" fillId="2" borderId="0" xfId="0" quotePrefix="1" applyNumberFormat="1" applyFont="1" applyFill="1" applyBorder="1" applyAlignment="1" applyProtection="1">
      <protection hidden="1"/>
    </xf>
    <xf numFmtId="0" fontId="18" fillId="2" borderId="0" xfId="0" applyFont="1" applyFill="1" applyBorder="1" applyAlignment="1" applyProtection="1">
      <alignment horizontal="right"/>
      <protection locked="0"/>
    </xf>
    <xf numFmtId="2" fontId="16" fillId="2" borderId="20" xfId="0" applyNumberFormat="1" applyFont="1" applyFill="1" applyBorder="1" applyAlignment="1" applyProtection="1">
      <alignment horizontal="center"/>
      <protection hidden="1"/>
    </xf>
    <xf numFmtId="0" fontId="14" fillId="2" borderId="0" xfId="0" applyFont="1" applyFill="1" applyProtection="1">
      <protection hidden="1"/>
    </xf>
    <xf numFmtId="0" fontId="15" fillId="2" borderId="0" xfId="0" applyFont="1" applyFill="1" applyBorder="1" applyProtection="1">
      <protection hidden="1"/>
    </xf>
  </cellXfs>
  <cellStyles count="8">
    <cellStyle name="Comma0" xfId="1"/>
    <cellStyle name="Currency0" xfId="2"/>
    <cellStyle name="Date" xfId="3"/>
    <cellStyle name="Fixed" xfId="4"/>
    <cellStyle name="Heading 1" xfId="5" builtinId="16" customBuiltin="1"/>
    <cellStyle name="Heading 2" xfId="6" builtinId="17" customBuiltin="1"/>
    <cellStyle name="Normal" xfId="0" builtinId="0"/>
    <cellStyle name="Total" xfId="7" builtinId="25" customBuiltin="1"/>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sharedStrings" Target="sharedString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theme" Target="theme/theme1.xml"/><Relationship Id="rId5" Type="http://purl.oclc.org/ooxml/officeDocument/relationships/worksheet" Target="worksheets/sheet5.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calcChain" Target="calcChain.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sng" strike="noStrike" baseline="0%">
                <a:solidFill>
                  <a:srgbClr val="000000"/>
                </a:solidFill>
                <a:latin typeface="Arial"/>
                <a:ea typeface="Arial"/>
                <a:cs typeface="Arial"/>
              </a:defRPr>
            </a:pPr>
            <a:r>
              <a:rPr lang="en-US"/>
              <a:t>PILE GROUP PLAN</a:t>
            </a:r>
          </a:p>
        </c:rich>
      </c:tx>
      <c:layout>
        <c:manualLayout>
          <c:xMode val="edge"/>
          <c:yMode val="edge"/>
          <c:x val="0.34832647766167646"/>
          <c:y val="1.601884713758912E-2"/>
        </c:manualLayout>
      </c:layout>
      <c:overlay val="0"/>
      <c:spPr>
        <a:noFill/>
        <a:ln w="25400">
          <a:noFill/>
        </a:ln>
      </c:spPr>
    </c:title>
    <c:autoTitleDeleted val="0"/>
    <c:plotArea>
      <c:layout>
        <c:manualLayout>
          <c:layoutTarget val="inner"/>
          <c:xMode val="edge"/>
          <c:yMode val="edge"/>
          <c:x val="0.21723586778900247"/>
          <c:y val="5.4921761614591252E-2"/>
          <c:w val="0.71912563130152551"/>
          <c:h val="0.83298005115463403"/>
        </c:manualLayout>
      </c:layout>
      <c:scatterChart>
        <c:scatterStyle val="lineMarker"/>
        <c:varyColors val="0"/>
        <c:ser>
          <c:idx val="1"/>
          <c:order val="0"/>
          <c:tx>
            <c:v>Pile Locations</c:v>
          </c:tx>
          <c:spPr>
            <a:ln w="19050">
              <a:noFill/>
            </a:ln>
          </c:spPr>
          <c:marker>
            <c:symbol val="circle"/>
            <c:size val="8"/>
            <c:spPr>
              <a:solidFill>
                <a:srgbClr val="FFFFFF"/>
              </a:solidFill>
              <a:ln>
                <a:solidFill>
                  <a:srgbClr val="000000"/>
                </a:solidFill>
                <a:prstDash val="solid"/>
              </a:ln>
            </c:spPr>
          </c:marker>
          <c:xVal>
            <c:numRef>
              <c:f>'Piles (&lt;=25)'!$B$12:$B$36</c:f>
              <c:numCache>
                <c:formatCode>0.000</c:formatCode>
                <c:ptCount val="25"/>
                <c:pt idx="0">
                  <c:v>0</c:v>
                </c:pt>
                <c:pt idx="1">
                  <c:v>6.0000001920000008</c:v>
                </c:pt>
                <c:pt idx="2">
                  <c:v>12.000000384000002</c:v>
                </c:pt>
                <c:pt idx="3">
                  <c:v>0</c:v>
                </c:pt>
                <c:pt idx="4">
                  <c:v>6.0000001920000008</c:v>
                </c:pt>
                <c:pt idx="5">
                  <c:v>12.000000384000002</c:v>
                </c:pt>
              </c:numCache>
            </c:numRef>
          </c:xVal>
          <c:yVal>
            <c:numRef>
              <c:f>'Piles (&lt;=25)'!$C$12:$C$36</c:f>
              <c:numCache>
                <c:formatCode>0.000</c:formatCode>
                <c:ptCount val="25"/>
                <c:pt idx="0">
                  <c:v>0</c:v>
                </c:pt>
                <c:pt idx="1">
                  <c:v>0</c:v>
                </c:pt>
                <c:pt idx="2">
                  <c:v>0</c:v>
                </c:pt>
                <c:pt idx="3">
                  <c:v>8.0000002559999999</c:v>
                </c:pt>
                <c:pt idx="4">
                  <c:v>8.0000002559999999</c:v>
                </c:pt>
                <c:pt idx="5">
                  <c:v>8.0000002559999999</c:v>
                </c:pt>
              </c:numCache>
            </c:numRef>
          </c:yVal>
          <c:smooth val="0"/>
          <c:extLst>
            <c:ext xmlns:c16="http://schemas.microsoft.com/office/drawing/2014/chart" uri="{C3380CC4-5D6E-409C-BE32-E72D297353CC}">
              <c16:uniqueId val="{00000000-FE5D-4669-B038-C42CDB39EB8E}"/>
            </c:ext>
          </c:extLst>
        </c:ser>
        <c:ser>
          <c:idx val="0"/>
          <c:order val="1"/>
          <c:tx>
            <c:v>Centroid of Pile Group</c:v>
          </c:tx>
          <c:spPr>
            <a:ln w="19050">
              <a:noFill/>
            </a:ln>
          </c:spPr>
          <c:marker>
            <c:symbol val="plus"/>
            <c:size val="8"/>
            <c:spPr>
              <a:noFill/>
              <a:ln>
                <a:solidFill>
                  <a:srgbClr val="0000FF"/>
                </a:solidFill>
                <a:prstDash val="solid"/>
              </a:ln>
            </c:spPr>
          </c:marker>
          <c:xVal>
            <c:numRef>
              <c:f>'Piles (&lt;=25)'!$H$30</c:f>
              <c:numCache>
                <c:formatCode>0.000</c:formatCode>
                <c:ptCount val="1"/>
                <c:pt idx="0">
                  <c:v>6.0000001920000008</c:v>
                </c:pt>
              </c:numCache>
            </c:numRef>
          </c:xVal>
          <c:yVal>
            <c:numRef>
              <c:f>'Piles (&lt;=25)'!$H$31</c:f>
              <c:numCache>
                <c:formatCode>0.000</c:formatCode>
                <c:ptCount val="1"/>
                <c:pt idx="0">
                  <c:v>4.0000001279999999</c:v>
                </c:pt>
              </c:numCache>
            </c:numRef>
          </c:yVal>
          <c:smooth val="0"/>
          <c:extLst>
            <c:ext xmlns:c16="http://schemas.microsoft.com/office/drawing/2014/chart" uri="{C3380CC4-5D6E-409C-BE32-E72D297353CC}">
              <c16:uniqueId val="{00000001-FE5D-4669-B038-C42CDB39EB8E}"/>
            </c:ext>
          </c:extLst>
        </c:ser>
        <c:ser>
          <c:idx val="2"/>
          <c:order val="2"/>
          <c:tx>
            <c:v>Plot Scale Factors</c:v>
          </c:tx>
          <c:spPr>
            <a:ln w="19050">
              <a:noFill/>
            </a:ln>
          </c:spPr>
          <c:marker>
            <c:symbol val="circle"/>
            <c:size val="5"/>
            <c:spPr>
              <a:solidFill>
                <a:srgbClr val="FFFFFF"/>
              </a:solidFill>
              <a:ln>
                <a:solidFill>
                  <a:srgbClr val="FFFFFF"/>
                </a:solidFill>
                <a:prstDash val="solid"/>
              </a:ln>
            </c:spPr>
          </c:marker>
          <c:xVal>
            <c:numRef>
              <c:f>'Piles (&lt;=25)'!$AB$4</c:f>
              <c:numCache>
                <c:formatCode>General</c:formatCode>
                <c:ptCount val="1"/>
                <c:pt idx="0">
                  <c:v>12</c:v>
                </c:pt>
              </c:numCache>
            </c:numRef>
          </c:xVal>
          <c:yVal>
            <c:numRef>
              <c:f>'Piles (&lt;=25)'!$AC$4</c:f>
              <c:numCache>
                <c:formatCode>General</c:formatCode>
                <c:ptCount val="1"/>
                <c:pt idx="0">
                  <c:v>20</c:v>
                </c:pt>
              </c:numCache>
            </c:numRef>
          </c:yVal>
          <c:smooth val="0"/>
          <c:extLst>
            <c:ext xmlns:c16="http://schemas.microsoft.com/office/drawing/2014/chart" uri="{C3380CC4-5D6E-409C-BE32-E72D297353CC}">
              <c16:uniqueId val="{00000002-FE5D-4669-B038-C42CDB39EB8E}"/>
            </c:ext>
          </c:extLst>
        </c:ser>
        <c:ser>
          <c:idx val="3"/>
          <c:order val="3"/>
          <c:tx>
            <c:v>Pier #1</c:v>
          </c:tx>
          <c:spPr>
            <a:ln w="19050">
              <a:noFill/>
            </a:ln>
          </c:spPr>
          <c:marker>
            <c:symbol val="square"/>
            <c:size val="14"/>
            <c:spPr>
              <a:noFill/>
              <a:ln>
                <a:solidFill>
                  <a:srgbClr val="000000"/>
                </a:solidFill>
                <a:prstDash val="solid"/>
              </a:ln>
            </c:spPr>
          </c:marker>
          <c:xVal>
            <c:numRef>
              <c:f>'Piles (&lt;=25)'!$C$41</c:f>
              <c:numCache>
                <c:formatCode>0.000</c:formatCode>
                <c:ptCount val="1"/>
                <c:pt idx="0">
                  <c:v>6</c:v>
                </c:pt>
              </c:numCache>
            </c:numRef>
          </c:xVal>
          <c:yVal>
            <c:numRef>
              <c:f>'Piles (&lt;=25)'!$C$42</c:f>
              <c:numCache>
                <c:formatCode>0.000</c:formatCode>
                <c:ptCount val="1"/>
                <c:pt idx="0">
                  <c:v>4</c:v>
                </c:pt>
              </c:numCache>
            </c:numRef>
          </c:yVal>
          <c:smooth val="0"/>
          <c:extLst>
            <c:ext xmlns:c16="http://schemas.microsoft.com/office/drawing/2014/chart" uri="{C3380CC4-5D6E-409C-BE32-E72D297353CC}">
              <c16:uniqueId val="{00000003-FE5D-4669-B038-C42CDB39EB8E}"/>
            </c:ext>
          </c:extLst>
        </c:ser>
        <c:ser>
          <c:idx val="4"/>
          <c:order val="4"/>
          <c:tx>
            <c:v>Pier #2</c:v>
          </c:tx>
          <c:spPr>
            <a:ln w="19050">
              <a:noFill/>
            </a:ln>
          </c:spPr>
          <c:marker>
            <c:symbol val="square"/>
            <c:size val="14"/>
            <c:spPr>
              <a:noFill/>
              <a:ln>
                <a:solidFill>
                  <a:srgbClr val="000000"/>
                </a:solidFill>
                <a:prstDash val="solid"/>
              </a:ln>
            </c:spPr>
          </c:marker>
          <c:xVal>
            <c:numRef>
              <c:f>'Piles (&lt;=25)'!$D$41</c:f>
              <c:numCache>
                <c:formatCode>0.000</c:formatCode>
                <c:ptCount val="1"/>
              </c:numCache>
            </c:numRef>
          </c:xVal>
          <c:yVal>
            <c:numRef>
              <c:f>'Piles (&lt;=25)'!$D$42</c:f>
              <c:numCache>
                <c:formatCode>0.000</c:formatCode>
                <c:ptCount val="1"/>
              </c:numCache>
            </c:numRef>
          </c:yVal>
          <c:smooth val="0"/>
          <c:extLst>
            <c:ext xmlns:c16="http://schemas.microsoft.com/office/drawing/2014/chart" uri="{C3380CC4-5D6E-409C-BE32-E72D297353CC}">
              <c16:uniqueId val="{00000004-FE5D-4669-B038-C42CDB39EB8E}"/>
            </c:ext>
          </c:extLst>
        </c:ser>
        <c:ser>
          <c:idx val="5"/>
          <c:order val="5"/>
          <c:tx>
            <c:v>Pier #3</c:v>
          </c:tx>
          <c:spPr>
            <a:ln w="19050">
              <a:noFill/>
            </a:ln>
          </c:spPr>
          <c:marker>
            <c:symbol val="square"/>
            <c:size val="14"/>
            <c:spPr>
              <a:noFill/>
              <a:ln>
                <a:solidFill>
                  <a:srgbClr val="000000"/>
                </a:solidFill>
                <a:prstDash val="solid"/>
              </a:ln>
            </c:spPr>
          </c:marker>
          <c:xVal>
            <c:numRef>
              <c:f>'Piles (&lt;=25)'!$E$41</c:f>
              <c:numCache>
                <c:formatCode>0.000</c:formatCode>
                <c:ptCount val="1"/>
              </c:numCache>
            </c:numRef>
          </c:xVal>
          <c:yVal>
            <c:numRef>
              <c:f>'Piles (&lt;=25)'!$E$42</c:f>
              <c:numCache>
                <c:formatCode>0.000</c:formatCode>
                <c:ptCount val="1"/>
              </c:numCache>
            </c:numRef>
          </c:yVal>
          <c:smooth val="0"/>
          <c:extLst>
            <c:ext xmlns:c16="http://schemas.microsoft.com/office/drawing/2014/chart" uri="{C3380CC4-5D6E-409C-BE32-E72D297353CC}">
              <c16:uniqueId val="{00000005-FE5D-4669-B038-C42CDB39EB8E}"/>
            </c:ext>
          </c:extLst>
        </c:ser>
        <c:ser>
          <c:idx val="6"/>
          <c:order val="6"/>
          <c:tx>
            <c:v>Pier #4</c:v>
          </c:tx>
          <c:spPr>
            <a:ln w="19050">
              <a:noFill/>
            </a:ln>
          </c:spPr>
          <c:marker>
            <c:symbol val="square"/>
            <c:size val="14"/>
            <c:spPr>
              <a:noFill/>
              <a:ln>
                <a:solidFill>
                  <a:srgbClr val="000000"/>
                </a:solidFill>
                <a:prstDash val="solid"/>
              </a:ln>
            </c:spPr>
          </c:marker>
          <c:xVal>
            <c:numRef>
              <c:f>'Piles (&lt;=25)'!$F$41</c:f>
              <c:numCache>
                <c:formatCode>0.000</c:formatCode>
                <c:ptCount val="1"/>
              </c:numCache>
            </c:numRef>
          </c:xVal>
          <c:yVal>
            <c:numRef>
              <c:f>'Piles (&lt;=25)'!$F$42</c:f>
              <c:numCache>
                <c:formatCode>0.000</c:formatCode>
                <c:ptCount val="1"/>
              </c:numCache>
            </c:numRef>
          </c:yVal>
          <c:smooth val="0"/>
          <c:extLst>
            <c:ext xmlns:c16="http://schemas.microsoft.com/office/drawing/2014/chart" uri="{C3380CC4-5D6E-409C-BE32-E72D297353CC}">
              <c16:uniqueId val="{00000006-FE5D-4669-B038-C42CDB39EB8E}"/>
            </c:ext>
          </c:extLst>
        </c:ser>
        <c:dLbls>
          <c:showLegendKey val="0"/>
          <c:showVal val="0"/>
          <c:showCatName val="0"/>
          <c:showSerName val="0"/>
          <c:showPercent val="0"/>
          <c:showBubbleSize val="0"/>
        </c:dLbls>
        <c:axId val="784439648"/>
        <c:axId val="1"/>
      </c:scatterChart>
      <c:valAx>
        <c:axId val="7844396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X - AXIS (ft.)</a:t>
                </a:r>
              </a:p>
            </c:rich>
          </c:tx>
          <c:layout>
            <c:manualLayout>
              <c:xMode val="edge"/>
              <c:yMode val="edge"/>
              <c:x val="0.42323539758891865"/>
              <c:y val="0.9336699474480514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Y - AXIS (ft.)</a:t>
                </a:r>
              </a:p>
            </c:rich>
          </c:tx>
          <c:layout>
            <c:manualLayout>
              <c:xMode val="edge"/>
              <c:yMode val="edge"/>
              <c:x val="2.6218121974534787E-2"/>
              <c:y val="0.3821639245681975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784439648"/>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FFFFFF"/>
    </a:solidFill>
    <a:ln w="6350">
      <a:noFill/>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0"/>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sng" strike="noStrike" baseline="0%">
                <a:solidFill>
                  <a:srgbClr val="000000"/>
                </a:solidFill>
                <a:latin typeface="Arial"/>
                <a:ea typeface="Arial"/>
                <a:cs typeface="Arial"/>
              </a:defRPr>
            </a:pPr>
            <a:r>
              <a:rPr lang="en-US"/>
              <a:t>PILE GROUP PLAN</a:t>
            </a:r>
          </a:p>
        </c:rich>
      </c:tx>
      <c:layout>
        <c:manualLayout>
          <c:xMode val="edge"/>
          <c:yMode val="edge"/>
          <c:x val="0.34832647766167646"/>
          <c:y val="1.601884713758912E-2"/>
        </c:manualLayout>
      </c:layout>
      <c:overlay val="0"/>
      <c:spPr>
        <a:noFill/>
        <a:ln w="25400">
          <a:noFill/>
        </a:ln>
      </c:spPr>
    </c:title>
    <c:autoTitleDeleted val="0"/>
    <c:plotArea>
      <c:layout>
        <c:manualLayout>
          <c:layoutTarget val="inner"/>
          <c:xMode val="edge"/>
          <c:yMode val="edge"/>
          <c:x val="0.19476319181082982"/>
          <c:y val="5.4921761614591252E-2"/>
          <c:w val="0.74908919927242235"/>
          <c:h val="0.83298005115463403"/>
        </c:manualLayout>
      </c:layout>
      <c:scatterChart>
        <c:scatterStyle val="lineMarker"/>
        <c:varyColors val="0"/>
        <c:ser>
          <c:idx val="1"/>
          <c:order val="0"/>
          <c:tx>
            <c:v>Pile Locations</c:v>
          </c:tx>
          <c:spPr>
            <a:ln w="19050">
              <a:noFill/>
            </a:ln>
          </c:spPr>
          <c:marker>
            <c:symbol val="circle"/>
            <c:size val="8"/>
            <c:spPr>
              <a:solidFill>
                <a:srgbClr val="FFFFFF"/>
              </a:solidFill>
              <a:ln>
                <a:solidFill>
                  <a:srgbClr val="000000"/>
                </a:solidFill>
                <a:prstDash val="solid"/>
              </a:ln>
            </c:spPr>
          </c:marker>
          <c:xVal>
            <c:numRef>
              <c:f>'Piles (&lt;=25)(metric)'!$B$12:$B$36</c:f>
              <c:numCache>
                <c:formatCode>0.000</c:formatCode>
                <c:ptCount val="25"/>
                <c:pt idx="0">
                  <c:v>0</c:v>
                </c:pt>
                <c:pt idx="1">
                  <c:v>1.8288000000000002</c:v>
                </c:pt>
                <c:pt idx="2">
                  <c:v>3.6576000000000004</c:v>
                </c:pt>
                <c:pt idx="3">
                  <c:v>0</c:v>
                </c:pt>
                <c:pt idx="4">
                  <c:v>1.8288000000000002</c:v>
                </c:pt>
                <c:pt idx="5">
                  <c:v>3.6576000000000004</c:v>
                </c:pt>
              </c:numCache>
            </c:numRef>
          </c:xVal>
          <c:yVal>
            <c:numRef>
              <c:f>'Piles (&lt;=25)(metric)'!$C$12:$C$36</c:f>
              <c:numCache>
                <c:formatCode>0.000</c:formatCode>
                <c:ptCount val="25"/>
                <c:pt idx="0">
                  <c:v>0</c:v>
                </c:pt>
                <c:pt idx="1">
                  <c:v>0</c:v>
                </c:pt>
                <c:pt idx="2">
                  <c:v>0</c:v>
                </c:pt>
                <c:pt idx="3">
                  <c:v>2.4384000000000001</c:v>
                </c:pt>
                <c:pt idx="4">
                  <c:v>2.4384000000000001</c:v>
                </c:pt>
                <c:pt idx="5">
                  <c:v>2.4384000000000001</c:v>
                </c:pt>
              </c:numCache>
            </c:numRef>
          </c:yVal>
          <c:smooth val="0"/>
          <c:extLst>
            <c:ext xmlns:c16="http://schemas.microsoft.com/office/drawing/2014/chart" uri="{C3380CC4-5D6E-409C-BE32-E72D297353CC}">
              <c16:uniqueId val="{00000000-0FAD-4932-9361-E2B9B8DCD142}"/>
            </c:ext>
          </c:extLst>
        </c:ser>
        <c:ser>
          <c:idx val="0"/>
          <c:order val="1"/>
          <c:tx>
            <c:v>Centroid of Pile Group</c:v>
          </c:tx>
          <c:spPr>
            <a:ln w="19050">
              <a:noFill/>
            </a:ln>
          </c:spPr>
          <c:marker>
            <c:symbol val="plus"/>
            <c:size val="8"/>
            <c:spPr>
              <a:noFill/>
              <a:ln>
                <a:solidFill>
                  <a:srgbClr val="0000FF"/>
                </a:solidFill>
                <a:prstDash val="solid"/>
              </a:ln>
            </c:spPr>
          </c:marker>
          <c:xVal>
            <c:numRef>
              <c:f>'Piles (&lt;=25)(metric)'!$H$30</c:f>
              <c:numCache>
                <c:formatCode>0.000</c:formatCode>
                <c:ptCount val="1"/>
                <c:pt idx="0">
                  <c:v>1.8288000000000002</c:v>
                </c:pt>
              </c:numCache>
            </c:numRef>
          </c:xVal>
          <c:yVal>
            <c:numRef>
              <c:f>'Piles (&lt;=25)(metric)'!$H$31</c:f>
              <c:numCache>
                <c:formatCode>0.000</c:formatCode>
                <c:ptCount val="1"/>
                <c:pt idx="0">
                  <c:v>1.2192000000000001</c:v>
                </c:pt>
              </c:numCache>
            </c:numRef>
          </c:yVal>
          <c:smooth val="0"/>
          <c:extLst>
            <c:ext xmlns:c16="http://schemas.microsoft.com/office/drawing/2014/chart" uri="{C3380CC4-5D6E-409C-BE32-E72D297353CC}">
              <c16:uniqueId val="{00000001-0FAD-4932-9361-E2B9B8DCD142}"/>
            </c:ext>
          </c:extLst>
        </c:ser>
        <c:ser>
          <c:idx val="2"/>
          <c:order val="2"/>
          <c:tx>
            <c:v>Plot Scale Factors</c:v>
          </c:tx>
          <c:spPr>
            <a:ln w="19050">
              <a:noFill/>
            </a:ln>
          </c:spPr>
          <c:marker>
            <c:symbol val="circle"/>
            <c:size val="5"/>
            <c:spPr>
              <a:solidFill>
                <a:srgbClr val="FFFFFF"/>
              </a:solidFill>
              <a:ln>
                <a:solidFill>
                  <a:srgbClr val="FFFFFF"/>
                </a:solidFill>
                <a:prstDash val="solid"/>
              </a:ln>
            </c:spPr>
          </c:marker>
          <c:xVal>
            <c:numRef>
              <c:f>'Piles (&lt;=25)(metric)'!$AB$4</c:f>
              <c:numCache>
                <c:formatCode>General</c:formatCode>
                <c:ptCount val="1"/>
                <c:pt idx="0">
                  <c:v>3</c:v>
                </c:pt>
              </c:numCache>
            </c:numRef>
          </c:xVal>
          <c:yVal>
            <c:numRef>
              <c:f>'Piles (&lt;=25)(metric)'!$AC$4</c:f>
              <c:numCache>
                <c:formatCode>General</c:formatCode>
                <c:ptCount val="1"/>
                <c:pt idx="0">
                  <c:v>7</c:v>
                </c:pt>
              </c:numCache>
            </c:numRef>
          </c:yVal>
          <c:smooth val="0"/>
          <c:extLst>
            <c:ext xmlns:c16="http://schemas.microsoft.com/office/drawing/2014/chart" uri="{C3380CC4-5D6E-409C-BE32-E72D297353CC}">
              <c16:uniqueId val="{00000002-0FAD-4932-9361-E2B9B8DCD142}"/>
            </c:ext>
          </c:extLst>
        </c:ser>
        <c:ser>
          <c:idx val="3"/>
          <c:order val="3"/>
          <c:tx>
            <c:v>Pier #1</c:v>
          </c:tx>
          <c:spPr>
            <a:ln w="19050">
              <a:noFill/>
            </a:ln>
          </c:spPr>
          <c:marker>
            <c:symbol val="square"/>
            <c:size val="14"/>
            <c:spPr>
              <a:noFill/>
              <a:ln>
                <a:solidFill>
                  <a:srgbClr val="000000"/>
                </a:solidFill>
                <a:prstDash val="solid"/>
              </a:ln>
            </c:spPr>
          </c:marker>
          <c:xVal>
            <c:numRef>
              <c:f>'Piles (&lt;=25)(metric)'!$C$41</c:f>
              <c:numCache>
                <c:formatCode>0.000</c:formatCode>
                <c:ptCount val="1"/>
                <c:pt idx="0">
                  <c:v>1.8288000000000002</c:v>
                </c:pt>
              </c:numCache>
            </c:numRef>
          </c:xVal>
          <c:yVal>
            <c:numRef>
              <c:f>'Piles (&lt;=25)(metric)'!$C$42</c:f>
              <c:numCache>
                <c:formatCode>0.000</c:formatCode>
                <c:ptCount val="1"/>
                <c:pt idx="0">
                  <c:v>1.2192000000000001</c:v>
                </c:pt>
              </c:numCache>
            </c:numRef>
          </c:yVal>
          <c:smooth val="0"/>
          <c:extLst>
            <c:ext xmlns:c16="http://schemas.microsoft.com/office/drawing/2014/chart" uri="{C3380CC4-5D6E-409C-BE32-E72D297353CC}">
              <c16:uniqueId val="{00000003-0FAD-4932-9361-E2B9B8DCD142}"/>
            </c:ext>
          </c:extLst>
        </c:ser>
        <c:ser>
          <c:idx val="4"/>
          <c:order val="4"/>
          <c:tx>
            <c:v>Pier #2</c:v>
          </c:tx>
          <c:spPr>
            <a:ln w="19050">
              <a:noFill/>
            </a:ln>
          </c:spPr>
          <c:marker>
            <c:symbol val="square"/>
            <c:size val="14"/>
            <c:spPr>
              <a:noFill/>
              <a:ln>
                <a:solidFill>
                  <a:srgbClr val="000000"/>
                </a:solidFill>
                <a:prstDash val="solid"/>
              </a:ln>
            </c:spPr>
          </c:marker>
          <c:xVal>
            <c:numRef>
              <c:f>'Piles (&lt;=25)(metric)'!$D$41</c:f>
              <c:numCache>
                <c:formatCode>0.000</c:formatCode>
                <c:ptCount val="1"/>
              </c:numCache>
            </c:numRef>
          </c:xVal>
          <c:yVal>
            <c:numRef>
              <c:f>'Piles (&lt;=25)(metric)'!$D$42</c:f>
              <c:numCache>
                <c:formatCode>0.000</c:formatCode>
                <c:ptCount val="1"/>
              </c:numCache>
            </c:numRef>
          </c:yVal>
          <c:smooth val="0"/>
          <c:extLst>
            <c:ext xmlns:c16="http://schemas.microsoft.com/office/drawing/2014/chart" uri="{C3380CC4-5D6E-409C-BE32-E72D297353CC}">
              <c16:uniqueId val="{00000004-0FAD-4932-9361-E2B9B8DCD142}"/>
            </c:ext>
          </c:extLst>
        </c:ser>
        <c:ser>
          <c:idx val="5"/>
          <c:order val="5"/>
          <c:tx>
            <c:v>Pier #3</c:v>
          </c:tx>
          <c:spPr>
            <a:ln w="19050">
              <a:noFill/>
            </a:ln>
          </c:spPr>
          <c:marker>
            <c:symbol val="square"/>
            <c:size val="14"/>
            <c:spPr>
              <a:noFill/>
              <a:ln>
                <a:solidFill>
                  <a:srgbClr val="000000"/>
                </a:solidFill>
                <a:prstDash val="solid"/>
              </a:ln>
            </c:spPr>
          </c:marker>
          <c:xVal>
            <c:numRef>
              <c:f>'Piles (&lt;=25)(metric)'!$E$41</c:f>
              <c:numCache>
                <c:formatCode>0.000</c:formatCode>
                <c:ptCount val="1"/>
              </c:numCache>
            </c:numRef>
          </c:xVal>
          <c:yVal>
            <c:numRef>
              <c:f>'Piles (&lt;=25)(metric)'!$E$42</c:f>
              <c:numCache>
                <c:formatCode>0.000</c:formatCode>
                <c:ptCount val="1"/>
              </c:numCache>
            </c:numRef>
          </c:yVal>
          <c:smooth val="0"/>
          <c:extLst>
            <c:ext xmlns:c16="http://schemas.microsoft.com/office/drawing/2014/chart" uri="{C3380CC4-5D6E-409C-BE32-E72D297353CC}">
              <c16:uniqueId val="{00000005-0FAD-4932-9361-E2B9B8DCD142}"/>
            </c:ext>
          </c:extLst>
        </c:ser>
        <c:ser>
          <c:idx val="6"/>
          <c:order val="6"/>
          <c:tx>
            <c:v>Pier #4</c:v>
          </c:tx>
          <c:spPr>
            <a:ln w="19050">
              <a:noFill/>
            </a:ln>
          </c:spPr>
          <c:marker>
            <c:symbol val="square"/>
            <c:size val="14"/>
            <c:spPr>
              <a:noFill/>
              <a:ln>
                <a:solidFill>
                  <a:srgbClr val="000000"/>
                </a:solidFill>
                <a:prstDash val="solid"/>
              </a:ln>
            </c:spPr>
          </c:marker>
          <c:xVal>
            <c:numRef>
              <c:f>'Piles (&lt;=25)(metric)'!$F$41</c:f>
              <c:numCache>
                <c:formatCode>0.000</c:formatCode>
                <c:ptCount val="1"/>
              </c:numCache>
            </c:numRef>
          </c:xVal>
          <c:yVal>
            <c:numRef>
              <c:f>'Piles (&lt;=25)(metric)'!$F$42</c:f>
              <c:numCache>
                <c:formatCode>0.000</c:formatCode>
                <c:ptCount val="1"/>
              </c:numCache>
            </c:numRef>
          </c:yVal>
          <c:smooth val="0"/>
          <c:extLst>
            <c:ext xmlns:c16="http://schemas.microsoft.com/office/drawing/2014/chart" uri="{C3380CC4-5D6E-409C-BE32-E72D297353CC}">
              <c16:uniqueId val="{00000006-0FAD-4932-9361-E2B9B8DCD142}"/>
            </c:ext>
          </c:extLst>
        </c:ser>
        <c:dLbls>
          <c:showLegendKey val="0"/>
          <c:showVal val="0"/>
          <c:showCatName val="0"/>
          <c:showSerName val="0"/>
          <c:showPercent val="0"/>
          <c:showBubbleSize val="0"/>
        </c:dLbls>
        <c:axId val="784443392"/>
        <c:axId val="1"/>
      </c:scatterChart>
      <c:valAx>
        <c:axId val="7844433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X - AXIS (m)</a:t>
                </a:r>
              </a:p>
            </c:rich>
          </c:tx>
          <c:layout>
            <c:manualLayout>
              <c:xMode val="edge"/>
              <c:yMode val="edge"/>
              <c:x val="0.41574450559619447"/>
              <c:y val="0.9336699474480514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Y - AXIS (m)</a:t>
                </a:r>
              </a:p>
            </c:rich>
          </c:tx>
          <c:layout>
            <c:manualLayout>
              <c:xMode val="edge"/>
              <c:yMode val="edge"/>
              <c:x val="2.6218121974534787E-2"/>
              <c:y val="0.3821639245681975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784443392"/>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FFFFFF"/>
    </a:solidFill>
    <a:ln w="6350">
      <a:noFill/>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0"/>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sng" strike="noStrike" baseline="0%">
                <a:solidFill>
                  <a:srgbClr val="000000"/>
                </a:solidFill>
                <a:latin typeface="Arial"/>
                <a:ea typeface="Arial"/>
                <a:cs typeface="Arial"/>
              </a:defRPr>
            </a:pPr>
            <a:r>
              <a:rPr lang="en-US"/>
              <a:t>PILE GROUP PLOT</a:t>
            </a:r>
          </a:p>
        </c:rich>
      </c:tx>
      <c:layout>
        <c:manualLayout>
          <c:xMode val="edge"/>
          <c:yMode val="edge"/>
          <c:x val="0.42743264012010851"/>
          <c:y val="1.7115457180875811E-2"/>
        </c:manualLayout>
      </c:layout>
      <c:overlay val="0"/>
      <c:spPr>
        <a:noFill/>
        <a:ln w="25400">
          <a:noFill/>
        </a:ln>
      </c:spPr>
    </c:title>
    <c:autoTitleDeleted val="0"/>
    <c:plotArea>
      <c:layout>
        <c:manualLayout>
          <c:layoutTarget val="inner"/>
          <c:xMode val="edge"/>
          <c:yMode val="edge"/>
          <c:x val="0.12500388531814494"/>
          <c:y val="6.1126632788842179E-2"/>
          <c:w val="0.83873574665077899"/>
          <c:h val="0.81909687937048525"/>
        </c:manualLayout>
      </c:layout>
      <c:scatterChart>
        <c:scatterStyle val="lineMarker"/>
        <c:varyColors val="0"/>
        <c:ser>
          <c:idx val="1"/>
          <c:order val="0"/>
          <c:tx>
            <c:v>Pile Locations</c:v>
          </c:tx>
          <c:spPr>
            <a:ln w="19050">
              <a:noFill/>
            </a:ln>
          </c:spPr>
          <c:marker>
            <c:symbol val="circle"/>
            <c:size val="6"/>
            <c:spPr>
              <a:solidFill>
                <a:srgbClr val="FFFFFF"/>
              </a:solidFill>
              <a:ln>
                <a:solidFill>
                  <a:srgbClr val="000000"/>
                </a:solidFill>
                <a:prstDash val="solid"/>
              </a:ln>
            </c:spPr>
          </c:marker>
          <c:xVal>
            <c:numRef>
              <c:f>('Piles (&lt;=75)'!$B$12:$B$36,'Piles (&lt;=75)'!$E$12:$E$36,'Piles (&lt;=75)'!$H$12:$H$36)</c:f>
              <c:numCache>
                <c:formatCode>0.000</c:formatCode>
                <c:ptCount val="75"/>
                <c:pt idx="0">
                  <c:v>0</c:v>
                </c:pt>
                <c:pt idx="1">
                  <c:v>0</c:v>
                </c:pt>
                <c:pt idx="2">
                  <c:v>0</c:v>
                </c:pt>
                <c:pt idx="3">
                  <c:v>0</c:v>
                </c:pt>
                <c:pt idx="4">
                  <c:v>0</c:v>
                </c:pt>
                <c:pt idx="5">
                  <c:v>0</c:v>
                </c:pt>
                <c:pt idx="6">
                  <c:v>0</c:v>
                </c:pt>
                <c:pt idx="7">
                  <c:v>0</c:v>
                </c:pt>
                <c:pt idx="8">
                  <c:v>0</c:v>
                </c:pt>
                <c:pt idx="9">
                  <c:v>0</c:v>
                </c:pt>
                <c:pt idx="10">
                  <c:v>3</c:v>
                </c:pt>
                <c:pt idx="11">
                  <c:v>3</c:v>
                </c:pt>
                <c:pt idx="12">
                  <c:v>3</c:v>
                </c:pt>
                <c:pt idx="13">
                  <c:v>3</c:v>
                </c:pt>
                <c:pt idx="14">
                  <c:v>3</c:v>
                </c:pt>
                <c:pt idx="15">
                  <c:v>3</c:v>
                </c:pt>
                <c:pt idx="16">
                  <c:v>3</c:v>
                </c:pt>
                <c:pt idx="17">
                  <c:v>3</c:v>
                </c:pt>
                <c:pt idx="18">
                  <c:v>3</c:v>
                </c:pt>
                <c:pt idx="19">
                  <c:v>3</c:v>
                </c:pt>
                <c:pt idx="20">
                  <c:v>6</c:v>
                </c:pt>
                <c:pt idx="21">
                  <c:v>6</c:v>
                </c:pt>
                <c:pt idx="22">
                  <c:v>6</c:v>
                </c:pt>
                <c:pt idx="23">
                  <c:v>6</c:v>
                </c:pt>
                <c:pt idx="24">
                  <c:v>6</c:v>
                </c:pt>
                <c:pt idx="25">
                  <c:v>6</c:v>
                </c:pt>
                <c:pt idx="26">
                  <c:v>6</c:v>
                </c:pt>
                <c:pt idx="27">
                  <c:v>6</c:v>
                </c:pt>
                <c:pt idx="28">
                  <c:v>6</c:v>
                </c:pt>
                <c:pt idx="29">
                  <c:v>6</c:v>
                </c:pt>
                <c:pt idx="30">
                  <c:v>9</c:v>
                </c:pt>
                <c:pt idx="31">
                  <c:v>9</c:v>
                </c:pt>
                <c:pt idx="32">
                  <c:v>9</c:v>
                </c:pt>
                <c:pt idx="33">
                  <c:v>9</c:v>
                </c:pt>
                <c:pt idx="34">
                  <c:v>9</c:v>
                </c:pt>
                <c:pt idx="35">
                  <c:v>9</c:v>
                </c:pt>
                <c:pt idx="36">
                  <c:v>9</c:v>
                </c:pt>
                <c:pt idx="37">
                  <c:v>9</c:v>
                </c:pt>
                <c:pt idx="38">
                  <c:v>9</c:v>
                </c:pt>
                <c:pt idx="39">
                  <c:v>9</c:v>
                </c:pt>
              </c:numCache>
            </c:numRef>
          </c:xVal>
          <c:yVal>
            <c:numRef>
              <c:f>('Piles (&lt;=75)'!$C$12:$C$36,'Piles (&lt;=75)'!$F$12:$F$36,'Piles (&lt;=75)'!$I$12:$I$36)</c:f>
              <c:numCache>
                <c:formatCode>0.000</c:formatCode>
                <c:ptCount val="75"/>
                <c:pt idx="0">
                  <c:v>0</c:v>
                </c:pt>
                <c:pt idx="1">
                  <c:v>3</c:v>
                </c:pt>
                <c:pt idx="2">
                  <c:v>6</c:v>
                </c:pt>
                <c:pt idx="3">
                  <c:v>9</c:v>
                </c:pt>
                <c:pt idx="4">
                  <c:v>12</c:v>
                </c:pt>
                <c:pt idx="5">
                  <c:v>15</c:v>
                </c:pt>
                <c:pt idx="6">
                  <c:v>18</c:v>
                </c:pt>
                <c:pt idx="7">
                  <c:v>21</c:v>
                </c:pt>
                <c:pt idx="8">
                  <c:v>24</c:v>
                </c:pt>
                <c:pt idx="9">
                  <c:v>27</c:v>
                </c:pt>
                <c:pt idx="10">
                  <c:v>0</c:v>
                </c:pt>
                <c:pt idx="11">
                  <c:v>3</c:v>
                </c:pt>
                <c:pt idx="12">
                  <c:v>6</c:v>
                </c:pt>
                <c:pt idx="13">
                  <c:v>9</c:v>
                </c:pt>
                <c:pt idx="14">
                  <c:v>12</c:v>
                </c:pt>
                <c:pt idx="15">
                  <c:v>15</c:v>
                </c:pt>
                <c:pt idx="16">
                  <c:v>18</c:v>
                </c:pt>
                <c:pt idx="17">
                  <c:v>21</c:v>
                </c:pt>
                <c:pt idx="18">
                  <c:v>24</c:v>
                </c:pt>
                <c:pt idx="19">
                  <c:v>27</c:v>
                </c:pt>
                <c:pt idx="20">
                  <c:v>0</c:v>
                </c:pt>
                <c:pt idx="21">
                  <c:v>3</c:v>
                </c:pt>
                <c:pt idx="22">
                  <c:v>6</c:v>
                </c:pt>
                <c:pt idx="23">
                  <c:v>9</c:v>
                </c:pt>
                <c:pt idx="24">
                  <c:v>12</c:v>
                </c:pt>
                <c:pt idx="25">
                  <c:v>15</c:v>
                </c:pt>
                <c:pt idx="26">
                  <c:v>18</c:v>
                </c:pt>
                <c:pt idx="27">
                  <c:v>21</c:v>
                </c:pt>
                <c:pt idx="28">
                  <c:v>24</c:v>
                </c:pt>
                <c:pt idx="29">
                  <c:v>27</c:v>
                </c:pt>
                <c:pt idx="30">
                  <c:v>0</c:v>
                </c:pt>
                <c:pt idx="31">
                  <c:v>3</c:v>
                </c:pt>
                <c:pt idx="32">
                  <c:v>6</c:v>
                </c:pt>
                <c:pt idx="33">
                  <c:v>9</c:v>
                </c:pt>
                <c:pt idx="34">
                  <c:v>12</c:v>
                </c:pt>
                <c:pt idx="35">
                  <c:v>15</c:v>
                </c:pt>
                <c:pt idx="36">
                  <c:v>18</c:v>
                </c:pt>
                <c:pt idx="37">
                  <c:v>21</c:v>
                </c:pt>
                <c:pt idx="38">
                  <c:v>24</c:v>
                </c:pt>
                <c:pt idx="39">
                  <c:v>27</c:v>
                </c:pt>
              </c:numCache>
            </c:numRef>
          </c:yVal>
          <c:smooth val="0"/>
          <c:extLst>
            <c:ext xmlns:c16="http://schemas.microsoft.com/office/drawing/2014/chart" uri="{C3380CC4-5D6E-409C-BE32-E72D297353CC}">
              <c16:uniqueId val="{00000000-1CA1-4F83-B6B8-824F924BBC84}"/>
            </c:ext>
          </c:extLst>
        </c:ser>
        <c:ser>
          <c:idx val="0"/>
          <c:order val="1"/>
          <c:tx>
            <c:v>Centroid of Pile Group</c:v>
          </c:tx>
          <c:spPr>
            <a:ln w="19050">
              <a:noFill/>
            </a:ln>
          </c:spPr>
          <c:marker>
            <c:symbol val="plus"/>
            <c:size val="8"/>
            <c:spPr>
              <a:noFill/>
              <a:ln>
                <a:solidFill>
                  <a:srgbClr val="0000FF"/>
                </a:solidFill>
                <a:prstDash val="solid"/>
              </a:ln>
            </c:spPr>
          </c:marker>
          <c:xVal>
            <c:numRef>
              <c:f>'Piles (&lt;=75)'!$B$56</c:f>
              <c:numCache>
                <c:formatCode>0.000</c:formatCode>
                <c:ptCount val="1"/>
                <c:pt idx="0">
                  <c:v>4.5</c:v>
                </c:pt>
              </c:numCache>
            </c:numRef>
          </c:xVal>
          <c:yVal>
            <c:numRef>
              <c:f>'Piles (&lt;=75)'!$B$57</c:f>
              <c:numCache>
                <c:formatCode>0.000</c:formatCode>
                <c:ptCount val="1"/>
                <c:pt idx="0">
                  <c:v>13.5</c:v>
                </c:pt>
              </c:numCache>
            </c:numRef>
          </c:yVal>
          <c:smooth val="0"/>
          <c:extLst>
            <c:ext xmlns:c16="http://schemas.microsoft.com/office/drawing/2014/chart" uri="{C3380CC4-5D6E-409C-BE32-E72D297353CC}">
              <c16:uniqueId val="{00000001-1CA1-4F83-B6B8-824F924BBC84}"/>
            </c:ext>
          </c:extLst>
        </c:ser>
        <c:ser>
          <c:idx val="2"/>
          <c:order val="2"/>
          <c:tx>
            <c:v>Plot Scale Factors</c:v>
          </c:tx>
          <c:spPr>
            <a:ln w="19050">
              <a:noFill/>
            </a:ln>
          </c:spPr>
          <c:marker>
            <c:symbol val="circle"/>
            <c:size val="5"/>
            <c:spPr>
              <a:solidFill>
                <a:srgbClr val="FFFFFF"/>
              </a:solidFill>
              <a:ln>
                <a:solidFill>
                  <a:srgbClr val="FFFFFF"/>
                </a:solidFill>
                <a:prstDash val="solid"/>
              </a:ln>
            </c:spPr>
          </c:marker>
          <c:xVal>
            <c:numRef>
              <c:f>'Piles (&lt;=75)'!$AB$4</c:f>
              <c:numCache>
                <c:formatCode>General</c:formatCode>
                <c:ptCount val="1"/>
                <c:pt idx="0">
                  <c:v>28</c:v>
                </c:pt>
              </c:numCache>
            </c:numRef>
          </c:xVal>
          <c:yVal>
            <c:numRef>
              <c:f>'Piles (&lt;=75)'!$AC$4</c:f>
              <c:numCache>
                <c:formatCode>General</c:formatCode>
                <c:ptCount val="1"/>
                <c:pt idx="0">
                  <c:v>28</c:v>
                </c:pt>
              </c:numCache>
            </c:numRef>
          </c:yVal>
          <c:smooth val="0"/>
          <c:extLst>
            <c:ext xmlns:c16="http://schemas.microsoft.com/office/drawing/2014/chart" uri="{C3380CC4-5D6E-409C-BE32-E72D297353CC}">
              <c16:uniqueId val="{00000002-1CA1-4F83-B6B8-824F924BBC84}"/>
            </c:ext>
          </c:extLst>
        </c:ser>
        <c:ser>
          <c:idx val="3"/>
          <c:order val="3"/>
          <c:tx>
            <c:v>Pier #1</c:v>
          </c:tx>
          <c:spPr>
            <a:ln w="19050">
              <a:noFill/>
            </a:ln>
          </c:spPr>
          <c:marker>
            <c:symbol val="square"/>
            <c:size val="14"/>
            <c:spPr>
              <a:noFill/>
              <a:ln>
                <a:solidFill>
                  <a:srgbClr val="000000"/>
                </a:solidFill>
                <a:prstDash val="solid"/>
              </a:ln>
            </c:spPr>
          </c:marker>
          <c:xVal>
            <c:numRef>
              <c:f>'Piles (&lt;=75)'!$B$41</c:f>
              <c:numCache>
                <c:formatCode>0.000</c:formatCode>
                <c:ptCount val="1"/>
                <c:pt idx="0">
                  <c:v>4.5</c:v>
                </c:pt>
              </c:numCache>
            </c:numRef>
          </c:xVal>
          <c:yVal>
            <c:numRef>
              <c:f>'Piles (&lt;=75)'!$B$42</c:f>
              <c:numCache>
                <c:formatCode>0.000</c:formatCode>
                <c:ptCount val="1"/>
                <c:pt idx="0">
                  <c:v>9</c:v>
                </c:pt>
              </c:numCache>
            </c:numRef>
          </c:yVal>
          <c:smooth val="0"/>
          <c:extLst>
            <c:ext xmlns:c16="http://schemas.microsoft.com/office/drawing/2014/chart" uri="{C3380CC4-5D6E-409C-BE32-E72D297353CC}">
              <c16:uniqueId val="{00000003-1CA1-4F83-B6B8-824F924BBC84}"/>
            </c:ext>
          </c:extLst>
        </c:ser>
        <c:ser>
          <c:idx val="4"/>
          <c:order val="4"/>
          <c:tx>
            <c:v>Pier #2</c:v>
          </c:tx>
          <c:spPr>
            <a:ln w="19050">
              <a:noFill/>
            </a:ln>
          </c:spPr>
          <c:marker>
            <c:symbol val="square"/>
            <c:size val="14"/>
            <c:spPr>
              <a:noFill/>
              <a:ln>
                <a:solidFill>
                  <a:srgbClr val="000000"/>
                </a:solidFill>
                <a:prstDash val="solid"/>
              </a:ln>
            </c:spPr>
          </c:marker>
          <c:xVal>
            <c:numRef>
              <c:f>'Piles (&lt;=75)'!$C$41</c:f>
              <c:numCache>
                <c:formatCode>0.000</c:formatCode>
                <c:ptCount val="1"/>
                <c:pt idx="0">
                  <c:v>4.5</c:v>
                </c:pt>
              </c:numCache>
            </c:numRef>
          </c:xVal>
          <c:yVal>
            <c:numRef>
              <c:f>'Piles (&lt;=75)'!$C$42</c:f>
              <c:numCache>
                <c:formatCode>0.000</c:formatCode>
                <c:ptCount val="1"/>
                <c:pt idx="0">
                  <c:v>18</c:v>
                </c:pt>
              </c:numCache>
            </c:numRef>
          </c:yVal>
          <c:smooth val="0"/>
          <c:extLst>
            <c:ext xmlns:c16="http://schemas.microsoft.com/office/drawing/2014/chart" uri="{C3380CC4-5D6E-409C-BE32-E72D297353CC}">
              <c16:uniqueId val="{00000004-1CA1-4F83-B6B8-824F924BBC84}"/>
            </c:ext>
          </c:extLst>
        </c:ser>
        <c:ser>
          <c:idx val="5"/>
          <c:order val="5"/>
          <c:tx>
            <c:v>Pier #3</c:v>
          </c:tx>
          <c:spPr>
            <a:ln w="19050">
              <a:noFill/>
            </a:ln>
          </c:spPr>
          <c:marker>
            <c:symbol val="square"/>
            <c:size val="14"/>
            <c:spPr>
              <a:noFill/>
              <a:ln>
                <a:solidFill>
                  <a:srgbClr val="000000"/>
                </a:solidFill>
                <a:prstDash val="solid"/>
              </a:ln>
            </c:spPr>
          </c:marker>
          <c:xVal>
            <c:numRef>
              <c:f>'Piles (&lt;=75)'!$D$41</c:f>
              <c:numCache>
                <c:formatCode>0.000</c:formatCode>
                <c:ptCount val="1"/>
              </c:numCache>
            </c:numRef>
          </c:xVal>
          <c:yVal>
            <c:numRef>
              <c:f>'Piles (&lt;=75)'!$D$42</c:f>
              <c:numCache>
                <c:formatCode>0.000</c:formatCode>
                <c:ptCount val="1"/>
              </c:numCache>
            </c:numRef>
          </c:yVal>
          <c:smooth val="0"/>
          <c:extLst>
            <c:ext xmlns:c16="http://schemas.microsoft.com/office/drawing/2014/chart" uri="{C3380CC4-5D6E-409C-BE32-E72D297353CC}">
              <c16:uniqueId val="{00000005-1CA1-4F83-B6B8-824F924BBC84}"/>
            </c:ext>
          </c:extLst>
        </c:ser>
        <c:ser>
          <c:idx val="6"/>
          <c:order val="6"/>
          <c:tx>
            <c:v>Pier #4</c:v>
          </c:tx>
          <c:spPr>
            <a:ln w="19050">
              <a:noFill/>
            </a:ln>
          </c:spPr>
          <c:marker>
            <c:symbol val="square"/>
            <c:size val="14"/>
            <c:spPr>
              <a:noFill/>
              <a:ln>
                <a:solidFill>
                  <a:srgbClr val="000000"/>
                </a:solidFill>
                <a:prstDash val="solid"/>
              </a:ln>
            </c:spPr>
          </c:marker>
          <c:xVal>
            <c:numRef>
              <c:f>'Piles (&lt;=75)'!$E$41</c:f>
              <c:numCache>
                <c:formatCode>0.000</c:formatCode>
                <c:ptCount val="1"/>
              </c:numCache>
            </c:numRef>
          </c:xVal>
          <c:yVal>
            <c:numRef>
              <c:f>'Piles (&lt;=75)'!$E$42</c:f>
              <c:numCache>
                <c:formatCode>0.000</c:formatCode>
                <c:ptCount val="1"/>
              </c:numCache>
            </c:numRef>
          </c:yVal>
          <c:smooth val="0"/>
          <c:extLst>
            <c:ext xmlns:c16="http://schemas.microsoft.com/office/drawing/2014/chart" uri="{C3380CC4-5D6E-409C-BE32-E72D297353CC}">
              <c16:uniqueId val="{00000006-1CA1-4F83-B6B8-824F924BBC84}"/>
            </c:ext>
          </c:extLst>
        </c:ser>
        <c:ser>
          <c:idx val="7"/>
          <c:order val="7"/>
          <c:tx>
            <c:v>Pier #5</c:v>
          </c:tx>
          <c:spPr>
            <a:ln w="19050">
              <a:noFill/>
            </a:ln>
          </c:spPr>
          <c:marker>
            <c:symbol val="square"/>
            <c:size val="14"/>
            <c:spPr>
              <a:noFill/>
              <a:ln>
                <a:solidFill>
                  <a:srgbClr val="000000"/>
                </a:solidFill>
                <a:prstDash val="solid"/>
              </a:ln>
            </c:spPr>
          </c:marker>
          <c:xVal>
            <c:numRef>
              <c:f>'Piles (&lt;=75)'!$F$41</c:f>
              <c:numCache>
                <c:formatCode>0.000</c:formatCode>
                <c:ptCount val="1"/>
              </c:numCache>
            </c:numRef>
          </c:xVal>
          <c:yVal>
            <c:numRef>
              <c:f>'Piles (&lt;=75)'!$F$42</c:f>
              <c:numCache>
                <c:formatCode>0.000</c:formatCode>
                <c:ptCount val="1"/>
              </c:numCache>
            </c:numRef>
          </c:yVal>
          <c:smooth val="0"/>
          <c:extLst>
            <c:ext xmlns:c16="http://schemas.microsoft.com/office/drawing/2014/chart" uri="{C3380CC4-5D6E-409C-BE32-E72D297353CC}">
              <c16:uniqueId val="{00000007-1CA1-4F83-B6B8-824F924BBC84}"/>
            </c:ext>
          </c:extLst>
        </c:ser>
        <c:ser>
          <c:idx val="8"/>
          <c:order val="8"/>
          <c:tx>
            <c:v>Pier #6</c:v>
          </c:tx>
          <c:spPr>
            <a:ln w="19050">
              <a:noFill/>
            </a:ln>
          </c:spPr>
          <c:marker>
            <c:symbol val="square"/>
            <c:size val="14"/>
            <c:spPr>
              <a:noFill/>
              <a:ln>
                <a:solidFill>
                  <a:srgbClr val="000000"/>
                </a:solidFill>
                <a:prstDash val="solid"/>
              </a:ln>
            </c:spPr>
          </c:marker>
          <c:xVal>
            <c:numRef>
              <c:f>'Piles (&lt;=75)'!$G$41</c:f>
              <c:numCache>
                <c:formatCode>0.000</c:formatCode>
                <c:ptCount val="1"/>
              </c:numCache>
            </c:numRef>
          </c:xVal>
          <c:yVal>
            <c:numRef>
              <c:f>'Piles (&lt;=75)'!$G$42</c:f>
              <c:numCache>
                <c:formatCode>0.000</c:formatCode>
                <c:ptCount val="1"/>
              </c:numCache>
            </c:numRef>
          </c:yVal>
          <c:smooth val="0"/>
          <c:extLst>
            <c:ext xmlns:c16="http://schemas.microsoft.com/office/drawing/2014/chart" uri="{C3380CC4-5D6E-409C-BE32-E72D297353CC}">
              <c16:uniqueId val="{00000008-1CA1-4F83-B6B8-824F924BBC84}"/>
            </c:ext>
          </c:extLst>
        </c:ser>
        <c:ser>
          <c:idx val="9"/>
          <c:order val="9"/>
          <c:tx>
            <c:v>Pier #7</c:v>
          </c:tx>
          <c:spPr>
            <a:ln w="19050">
              <a:noFill/>
            </a:ln>
          </c:spPr>
          <c:marker>
            <c:symbol val="square"/>
            <c:size val="14"/>
            <c:spPr>
              <a:noFill/>
              <a:ln>
                <a:solidFill>
                  <a:srgbClr val="000000"/>
                </a:solidFill>
                <a:prstDash val="solid"/>
              </a:ln>
            </c:spPr>
          </c:marker>
          <c:xVal>
            <c:numRef>
              <c:f>'Piles (&lt;=75)'!$H$41</c:f>
              <c:numCache>
                <c:formatCode>0.000</c:formatCode>
                <c:ptCount val="1"/>
              </c:numCache>
            </c:numRef>
          </c:xVal>
          <c:yVal>
            <c:numRef>
              <c:f>'Piles (&lt;=75)'!$H$42</c:f>
              <c:numCache>
                <c:formatCode>0.000</c:formatCode>
                <c:ptCount val="1"/>
              </c:numCache>
            </c:numRef>
          </c:yVal>
          <c:smooth val="0"/>
          <c:extLst>
            <c:ext xmlns:c16="http://schemas.microsoft.com/office/drawing/2014/chart" uri="{C3380CC4-5D6E-409C-BE32-E72D297353CC}">
              <c16:uniqueId val="{00000009-1CA1-4F83-B6B8-824F924BBC84}"/>
            </c:ext>
          </c:extLst>
        </c:ser>
        <c:ser>
          <c:idx val="10"/>
          <c:order val="10"/>
          <c:tx>
            <c:v>Pier #8</c:v>
          </c:tx>
          <c:spPr>
            <a:ln w="19050">
              <a:noFill/>
            </a:ln>
          </c:spPr>
          <c:marker>
            <c:symbol val="square"/>
            <c:size val="14"/>
            <c:spPr>
              <a:noFill/>
              <a:ln>
                <a:solidFill>
                  <a:srgbClr val="000000"/>
                </a:solidFill>
                <a:prstDash val="solid"/>
              </a:ln>
            </c:spPr>
          </c:marker>
          <c:xVal>
            <c:numRef>
              <c:f>'Piles (&lt;=75)'!$I$41</c:f>
              <c:numCache>
                <c:formatCode>0.000</c:formatCode>
                <c:ptCount val="1"/>
              </c:numCache>
            </c:numRef>
          </c:xVal>
          <c:yVal>
            <c:numRef>
              <c:f>'Piles (&lt;=75)'!$I$42</c:f>
              <c:numCache>
                <c:formatCode>0.000</c:formatCode>
                <c:ptCount val="1"/>
              </c:numCache>
            </c:numRef>
          </c:yVal>
          <c:smooth val="0"/>
          <c:extLst>
            <c:ext xmlns:c16="http://schemas.microsoft.com/office/drawing/2014/chart" uri="{C3380CC4-5D6E-409C-BE32-E72D297353CC}">
              <c16:uniqueId val="{0000000A-1CA1-4F83-B6B8-824F924BBC84}"/>
            </c:ext>
          </c:extLst>
        </c:ser>
        <c:dLbls>
          <c:showLegendKey val="0"/>
          <c:showVal val="0"/>
          <c:showCatName val="0"/>
          <c:showSerName val="0"/>
          <c:showPercent val="0"/>
          <c:showBubbleSize val="0"/>
        </c:dLbls>
        <c:axId val="784447968"/>
        <c:axId val="1"/>
      </c:scatterChart>
      <c:valAx>
        <c:axId val="7844479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X - AXIS (ft.)</a:t>
                </a:r>
              </a:p>
            </c:rich>
          </c:tx>
          <c:layout>
            <c:manualLayout>
              <c:xMode val="edge"/>
              <c:yMode val="edge"/>
              <c:x val="0.45969170729898456"/>
              <c:y val="0.9242346877672937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Y - AXIS (ft.)</a:t>
                </a:r>
              </a:p>
            </c:rich>
          </c:tx>
          <c:layout>
            <c:manualLayout>
              <c:xMode val="edge"/>
              <c:yMode val="edge"/>
              <c:x val="1.8145725288117816E-2"/>
              <c:y val="0.3716499273561604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en-US"/>
          </a:p>
        </c:txPr>
        <c:crossAx val="784447968"/>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sng" strike="noStrike" baseline="0%">
                <a:solidFill>
                  <a:srgbClr val="000000"/>
                </a:solidFill>
                <a:latin typeface="Arial"/>
                <a:ea typeface="Arial"/>
                <a:cs typeface="Arial"/>
              </a:defRPr>
            </a:pPr>
            <a:r>
              <a:rPr lang="en-US"/>
              <a:t>PILE GROUP PLAN</a:t>
            </a:r>
          </a:p>
        </c:rich>
      </c:tx>
      <c:layout>
        <c:manualLayout>
          <c:xMode val="edge"/>
          <c:yMode val="edge"/>
          <c:x val="0.42743264012010851"/>
          <c:y val="1.7115457180875811E-2"/>
        </c:manualLayout>
      </c:layout>
      <c:overlay val="0"/>
      <c:spPr>
        <a:noFill/>
        <a:ln w="25400">
          <a:noFill/>
        </a:ln>
      </c:spPr>
    </c:title>
    <c:autoTitleDeleted val="0"/>
    <c:plotArea>
      <c:layout>
        <c:manualLayout>
          <c:layoutTarget val="inner"/>
          <c:xMode val="edge"/>
          <c:yMode val="edge"/>
          <c:x val="0.12097150192078542"/>
          <c:y val="6.1126632788842179E-2"/>
          <c:w val="0.84881670514417773"/>
          <c:h val="0.81909687937048525"/>
        </c:manualLayout>
      </c:layout>
      <c:scatterChart>
        <c:scatterStyle val="lineMarker"/>
        <c:varyColors val="0"/>
        <c:ser>
          <c:idx val="1"/>
          <c:order val="0"/>
          <c:tx>
            <c:v>Pile Locations</c:v>
          </c:tx>
          <c:spPr>
            <a:ln w="19050">
              <a:noFill/>
            </a:ln>
          </c:spPr>
          <c:marker>
            <c:symbol val="circle"/>
            <c:size val="6"/>
            <c:spPr>
              <a:solidFill>
                <a:srgbClr val="FFFFFF"/>
              </a:solidFill>
              <a:ln>
                <a:solidFill>
                  <a:srgbClr val="000000"/>
                </a:solidFill>
                <a:prstDash val="solid"/>
              </a:ln>
            </c:spPr>
          </c:marker>
          <c:xVal>
            <c:numRef>
              <c:f>('Piles (&lt;=75)(metric)'!$B$12:$B$36,'Piles (&lt;=75)(metric)'!$E$12:$E$36,'Piles (&lt;=75)(metric)'!$H$12:$H$36)</c:f>
              <c:numCache>
                <c:formatCode>0.000</c:formatCode>
                <c:ptCount val="75"/>
                <c:pt idx="0">
                  <c:v>0</c:v>
                </c:pt>
                <c:pt idx="1">
                  <c:v>0</c:v>
                </c:pt>
                <c:pt idx="2">
                  <c:v>0</c:v>
                </c:pt>
                <c:pt idx="3">
                  <c:v>0</c:v>
                </c:pt>
                <c:pt idx="4">
                  <c:v>0</c:v>
                </c:pt>
                <c:pt idx="5">
                  <c:v>0</c:v>
                </c:pt>
                <c:pt idx="6">
                  <c:v>0</c:v>
                </c:pt>
                <c:pt idx="7">
                  <c:v>0</c:v>
                </c:pt>
                <c:pt idx="8">
                  <c:v>0</c:v>
                </c:pt>
                <c:pt idx="9">
                  <c:v>0</c:v>
                </c:pt>
                <c:pt idx="10">
                  <c:v>0.9144000000000001</c:v>
                </c:pt>
                <c:pt idx="11">
                  <c:v>0.9144000000000001</c:v>
                </c:pt>
                <c:pt idx="12">
                  <c:v>0.9144000000000001</c:v>
                </c:pt>
                <c:pt idx="13">
                  <c:v>0.9144000000000001</c:v>
                </c:pt>
                <c:pt idx="14">
                  <c:v>0.9144000000000001</c:v>
                </c:pt>
                <c:pt idx="15">
                  <c:v>0.9144000000000001</c:v>
                </c:pt>
                <c:pt idx="16">
                  <c:v>0.9144000000000001</c:v>
                </c:pt>
                <c:pt idx="17">
                  <c:v>0.9144000000000001</c:v>
                </c:pt>
                <c:pt idx="18">
                  <c:v>0.9144000000000001</c:v>
                </c:pt>
                <c:pt idx="19">
                  <c:v>0.9144000000000001</c:v>
                </c:pt>
                <c:pt idx="20">
                  <c:v>1.8288000000000002</c:v>
                </c:pt>
                <c:pt idx="21">
                  <c:v>1.8288000000000002</c:v>
                </c:pt>
                <c:pt idx="22">
                  <c:v>1.8288000000000002</c:v>
                </c:pt>
                <c:pt idx="23">
                  <c:v>1.8288000000000002</c:v>
                </c:pt>
                <c:pt idx="24">
                  <c:v>1.8288000000000002</c:v>
                </c:pt>
                <c:pt idx="25">
                  <c:v>1.8288000000000002</c:v>
                </c:pt>
                <c:pt idx="26">
                  <c:v>1.8288000000000002</c:v>
                </c:pt>
                <c:pt idx="27">
                  <c:v>1.8288000000000002</c:v>
                </c:pt>
                <c:pt idx="28">
                  <c:v>1.8288000000000002</c:v>
                </c:pt>
                <c:pt idx="29">
                  <c:v>1.8288000000000002</c:v>
                </c:pt>
                <c:pt idx="30">
                  <c:v>2.7432000000000003</c:v>
                </c:pt>
                <c:pt idx="31">
                  <c:v>2.7432000000000003</c:v>
                </c:pt>
                <c:pt idx="32">
                  <c:v>2.7432000000000003</c:v>
                </c:pt>
                <c:pt idx="33">
                  <c:v>2.7432000000000003</c:v>
                </c:pt>
                <c:pt idx="34">
                  <c:v>2.7432000000000003</c:v>
                </c:pt>
                <c:pt idx="35">
                  <c:v>2.7432000000000003</c:v>
                </c:pt>
                <c:pt idx="36">
                  <c:v>2.7432000000000003</c:v>
                </c:pt>
                <c:pt idx="37">
                  <c:v>2.7432000000000003</c:v>
                </c:pt>
                <c:pt idx="38">
                  <c:v>2.7432000000000003</c:v>
                </c:pt>
                <c:pt idx="39">
                  <c:v>2.7432000000000003</c:v>
                </c:pt>
              </c:numCache>
            </c:numRef>
          </c:xVal>
          <c:yVal>
            <c:numRef>
              <c:f>('Piles (&lt;=75)(metric)'!$C$12:$C$36,'Piles (&lt;=75)(metric)'!$F$12:$F$36,'Piles (&lt;=75)(metric)'!$I$12:$I$36)</c:f>
              <c:numCache>
                <c:formatCode>0.000</c:formatCode>
                <c:ptCount val="75"/>
                <c:pt idx="0">
                  <c:v>0</c:v>
                </c:pt>
                <c:pt idx="1">
                  <c:v>0.9144000000000001</c:v>
                </c:pt>
                <c:pt idx="2">
                  <c:v>1.8288000000000002</c:v>
                </c:pt>
                <c:pt idx="3">
                  <c:v>2.7432000000000003</c:v>
                </c:pt>
                <c:pt idx="4">
                  <c:v>3.6576000000000004</c:v>
                </c:pt>
                <c:pt idx="5">
                  <c:v>4.5720000000000001</c:v>
                </c:pt>
                <c:pt idx="6">
                  <c:v>5.4864000000000006</c:v>
                </c:pt>
                <c:pt idx="7">
                  <c:v>6.4008000000000003</c:v>
                </c:pt>
                <c:pt idx="8">
                  <c:v>7.3152000000000008</c:v>
                </c:pt>
                <c:pt idx="9">
                  <c:v>8.2295999999999996</c:v>
                </c:pt>
                <c:pt idx="10">
                  <c:v>0</c:v>
                </c:pt>
                <c:pt idx="11">
                  <c:v>0.9144000000000001</c:v>
                </c:pt>
                <c:pt idx="12">
                  <c:v>1.8288000000000002</c:v>
                </c:pt>
                <c:pt idx="13">
                  <c:v>2.7432000000000003</c:v>
                </c:pt>
                <c:pt idx="14">
                  <c:v>3.6576000000000004</c:v>
                </c:pt>
                <c:pt idx="15">
                  <c:v>4.5720000000000001</c:v>
                </c:pt>
                <c:pt idx="16">
                  <c:v>5.4864000000000006</c:v>
                </c:pt>
                <c:pt idx="17">
                  <c:v>6.4008000000000003</c:v>
                </c:pt>
                <c:pt idx="18">
                  <c:v>7.3152000000000008</c:v>
                </c:pt>
                <c:pt idx="19">
                  <c:v>8.2295999999999996</c:v>
                </c:pt>
                <c:pt idx="20">
                  <c:v>0</c:v>
                </c:pt>
                <c:pt idx="21">
                  <c:v>0.9144000000000001</c:v>
                </c:pt>
                <c:pt idx="22">
                  <c:v>1.8288000000000002</c:v>
                </c:pt>
                <c:pt idx="23">
                  <c:v>2.7432000000000003</c:v>
                </c:pt>
                <c:pt idx="24">
                  <c:v>3.6576000000000004</c:v>
                </c:pt>
                <c:pt idx="25">
                  <c:v>4.5720000000000001</c:v>
                </c:pt>
                <c:pt idx="26">
                  <c:v>5.4864000000000006</c:v>
                </c:pt>
                <c:pt idx="27">
                  <c:v>6.4008000000000003</c:v>
                </c:pt>
                <c:pt idx="28">
                  <c:v>7.3152000000000008</c:v>
                </c:pt>
                <c:pt idx="29">
                  <c:v>8.2295999999999996</c:v>
                </c:pt>
                <c:pt idx="30">
                  <c:v>0</c:v>
                </c:pt>
                <c:pt idx="31">
                  <c:v>0.9144000000000001</c:v>
                </c:pt>
                <c:pt idx="32">
                  <c:v>1.8288000000000002</c:v>
                </c:pt>
                <c:pt idx="33">
                  <c:v>2.7432000000000003</c:v>
                </c:pt>
                <c:pt idx="34">
                  <c:v>3.6576000000000004</c:v>
                </c:pt>
                <c:pt idx="35">
                  <c:v>4.5720000000000001</c:v>
                </c:pt>
                <c:pt idx="36">
                  <c:v>5.4864000000000006</c:v>
                </c:pt>
                <c:pt idx="37">
                  <c:v>6.4008000000000003</c:v>
                </c:pt>
                <c:pt idx="38">
                  <c:v>7.3152000000000008</c:v>
                </c:pt>
                <c:pt idx="39">
                  <c:v>8.2295999999999996</c:v>
                </c:pt>
              </c:numCache>
            </c:numRef>
          </c:yVal>
          <c:smooth val="0"/>
          <c:extLst>
            <c:ext xmlns:c16="http://schemas.microsoft.com/office/drawing/2014/chart" uri="{C3380CC4-5D6E-409C-BE32-E72D297353CC}">
              <c16:uniqueId val="{00000000-B40A-4716-B9A2-1B6A019562ED}"/>
            </c:ext>
          </c:extLst>
        </c:ser>
        <c:ser>
          <c:idx val="0"/>
          <c:order val="1"/>
          <c:tx>
            <c:v>Centroid of Pile Group</c:v>
          </c:tx>
          <c:spPr>
            <a:ln w="19050">
              <a:noFill/>
            </a:ln>
          </c:spPr>
          <c:marker>
            <c:symbol val="plus"/>
            <c:size val="8"/>
            <c:spPr>
              <a:noFill/>
              <a:ln>
                <a:solidFill>
                  <a:srgbClr val="0000FF"/>
                </a:solidFill>
                <a:prstDash val="solid"/>
              </a:ln>
            </c:spPr>
          </c:marker>
          <c:xVal>
            <c:numRef>
              <c:f>'Piles (&lt;=75)(metric)'!$B$56</c:f>
              <c:numCache>
                <c:formatCode>0.000</c:formatCode>
                <c:ptCount val="1"/>
                <c:pt idx="0">
                  <c:v>1.3716000000000004</c:v>
                </c:pt>
              </c:numCache>
            </c:numRef>
          </c:xVal>
          <c:yVal>
            <c:numRef>
              <c:f>'Piles (&lt;=75)(metric)'!$B$57</c:f>
              <c:numCache>
                <c:formatCode>0.000</c:formatCode>
                <c:ptCount val="1"/>
                <c:pt idx="0">
                  <c:v>4.1148000000000007</c:v>
                </c:pt>
              </c:numCache>
            </c:numRef>
          </c:yVal>
          <c:smooth val="0"/>
          <c:extLst>
            <c:ext xmlns:c16="http://schemas.microsoft.com/office/drawing/2014/chart" uri="{C3380CC4-5D6E-409C-BE32-E72D297353CC}">
              <c16:uniqueId val="{00000001-B40A-4716-B9A2-1B6A019562ED}"/>
            </c:ext>
          </c:extLst>
        </c:ser>
        <c:ser>
          <c:idx val="2"/>
          <c:order val="2"/>
          <c:tx>
            <c:v>Plot Scale Factors</c:v>
          </c:tx>
          <c:spPr>
            <a:ln w="19050">
              <a:noFill/>
            </a:ln>
          </c:spPr>
          <c:marker>
            <c:symbol val="circle"/>
            <c:size val="5"/>
            <c:spPr>
              <a:solidFill>
                <a:srgbClr val="FFFFFF"/>
              </a:solidFill>
              <a:ln>
                <a:solidFill>
                  <a:srgbClr val="FFFFFF"/>
                </a:solidFill>
                <a:prstDash val="solid"/>
              </a:ln>
            </c:spPr>
          </c:marker>
          <c:xVal>
            <c:numRef>
              <c:f>'Piles (&lt;=75)(metric)'!$AB$4</c:f>
              <c:numCache>
                <c:formatCode>General</c:formatCode>
                <c:ptCount val="1"/>
                <c:pt idx="0">
                  <c:v>5</c:v>
                </c:pt>
              </c:numCache>
            </c:numRef>
          </c:xVal>
          <c:yVal>
            <c:numRef>
              <c:f>'Piles (&lt;=75)(metric)'!$AC$4</c:f>
              <c:numCache>
                <c:formatCode>General</c:formatCode>
                <c:ptCount val="1"/>
                <c:pt idx="0">
                  <c:v>10</c:v>
                </c:pt>
              </c:numCache>
            </c:numRef>
          </c:yVal>
          <c:smooth val="0"/>
          <c:extLst>
            <c:ext xmlns:c16="http://schemas.microsoft.com/office/drawing/2014/chart" uri="{C3380CC4-5D6E-409C-BE32-E72D297353CC}">
              <c16:uniqueId val="{00000002-B40A-4716-B9A2-1B6A019562ED}"/>
            </c:ext>
          </c:extLst>
        </c:ser>
        <c:ser>
          <c:idx val="3"/>
          <c:order val="3"/>
          <c:tx>
            <c:v>Pier #1</c:v>
          </c:tx>
          <c:spPr>
            <a:ln w="19050">
              <a:noFill/>
            </a:ln>
          </c:spPr>
          <c:marker>
            <c:symbol val="square"/>
            <c:size val="14"/>
            <c:spPr>
              <a:noFill/>
              <a:ln>
                <a:solidFill>
                  <a:srgbClr val="000000"/>
                </a:solidFill>
                <a:prstDash val="solid"/>
              </a:ln>
            </c:spPr>
          </c:marker>
          <c:xVal>
            <c:numRef>
              <c:f>'Piles (&lt;=75)(metric)'!$B$41</c:f>
              <c:numCache>
                <c:formatCode>0.000</c:formatCode>
                <c:ptCount val="1"/>
                <c:pt idx="0">
                  <c:v>1.3716000000000002</c:v>
                </c:pt>
              </c:numCache>
            </c:numRef>
          </c:xVal>
          <c:yVal>
            <c:numRef>
              <c:f>'Piles (&lt;=75)(metric)'!$B$42</c:f>
              <c:numCache>
                <c:formatCode>0.000</c:formatCode>
                <c:ptCount val="1"/>
                <c:pt idx="0">
                  <c:v>2.7432000000000003</c:v>
                </c:pt>
              </c:numCache>
            </c:numRef>
          </c:yVal>
          <c:smooth val="0"/>
          <c:extLst>
            <c:ext xmlns:c16="http://schemas.microsoft.com/office/drawing/2014/chart" uri="{C3380CC4-5D6E-409C-BE32-E72D297353CC}">
              <c16:uniqueId val="{00000003-B40A-4716-B9A2-1B6A019562ED}"/>
            </c:ext>
          </c:extLst>
        </c:ser>
        <c:ser>
          <c:idx val="4"/>
          <c:order val="4"/>
          <c:tx>
            <c:v>Pier #2</c:v>
          </c:tx>
          <c:spPr>
            <a:ln w="19050">
              <a:noFill/>
            </a:ln>
          </c:spPr>
          <c:marker>
            <c:symbol val="square"/>
            <c:size val="14"/>
            <c:spPr>
              <a:noFill/>
              <a:ln>
                <a:solidFill>
                  <a:srgbClr val="000000"/>
                </a:solidFill>
                <a:prstDash val="solid"/>
              </a:ln>
            </c:spPr>
          </c:marker>
          <c:xVal>
            <c:numRef>
              <c:f>'Piles (&lt;=75)(metric)'!$C$41</c:f>
              <c:numCache>
                <c:formatCode>0.000</c:formatCode>
                <c:ptCount val="1"/>
                <c:pt idx="0">
                  <c:v>1.3716000000000002</c:v>
                </c:pt>
              </c:numCache>
            </c:numRef>
          </c:xVal>
          <c:yVal>
            <c:numRef>
              <c:f>'Piles (&lt;=75)(metric)'!$C$42</c:f>
              <c:numCache>
                <c:formatCode>0.000</c:formatCode>
                <c:ptCount val="1"/>
                <c:pt idx="0">
                  <c:v>5.4864000000000006</c:v>
                </c:pt>
              </c:numCache>
            </c:numRef>
          </c:yVal>
          <c:smooth val="0"/>
          <c:extLst>
            <c:ext xmlns:c16="http://schemas.microsoft.com/office/drawing/2014/chart" uri="{C3380CC4-5D6E-409C-BE32-E72D297353CC}">
              <c16:uniqueId val="{00000004-B40A-4716-B9A2-1B6A019562ED}"/>
            </c:ext>
          </c:extLst>
        </c:ser>
        <c:ser>
          <c:idx val="5"/>
          <c:order val="5"/>
          <c:tx>
            <c:v>Pier #3</c:v>
          </c:tx>
          <c:spPr>
            <a:ln w="19050">
              <a:noFill/>
            </a:ln>
          </c:spPr>
          <c:marker>
            <c:symbol val="square"/>
            <c:size val="14"/>
            <c:spPr>
              <a:noFill/>
              <a:ln>
                <a:solidFill>
                  <a:srgbClr val="000000"/>
                </a:solidFill>
                <a:prstDash val="solid"/>
              </a:ln>
            </c:spPr>
          </c:marker>
          <c:xVal>
            <c:numRef>
              <c:f>'Piles (&lt;=75)(metric)'!$D$41</c:f>
              <c:numCache>
                <c:formatCode>0.000</c:formatCode>
                <c:ptCount val="1"/>
              </c:numCache>
            </c:numRef>
          </c:xVal>
          <c:yVal>
            <c:numRef>
              <c:f>'Piles (&lt;=75)(metric)'!$D$42</c:f>
              <c:numCache>
                <c:formatCode>0.000</c:formatCode>
                <c:ptCount val="1"/>
              </c:numCache>
            </c:numRef>
          </c:yVal>
          <c:smooth val="0"/>
          <c:extLst>
            <c:ext xmlns:c16="http://schemas.microsoft.com/office/drawing/2014/chart" uri="{C3380CC4-5D6E-409C-BE32-E72D297353CC}">
              <c16:uniqueId val="{00000005-B40A-4716-B9A2-1B6A019562ED}"/>
            </c:ext>
          </c:extLst>
        </c:ser>
        <c:ser>
          <c:idx val="6"/>
          <c:order val="6"/>
          <c:tx>
            <c:v>Pier #4</c:v>
          </c:tx>
          <c:spPr>
            <a:ln w="19050">
              <a:noFill/>
            </a:ln>
          </c:spPr>
          <c:marker>
            <c:symbol val="square"/>
            <c:size val="14"/>
            <c:spPr>
              <a:noFill/>
              <a:ln>
                <a:solidFill>
                  <a:srgbClr val="000000"/>
                </a:solidFill>
                <a:prstDash val="solid"/>
              </a:ln>
            </c:spPr>
          </c:marker>
          <c:xVal>
            <c:numRef>
              <c:f>'Piles (&lt;=75)(metric)'!$E$41</c:f>
              <c:numCache>
                <c:formatCode>0.000</c:formatCode>
                <c:ptCount val="1"/>
              </c:numCache>
            </c:numRef>
          </c:xVal>
          <c:yVal>
            <c:numRef>
              <c:f>'Piles (&lt;=75)(metric)'!$E$42</c:f>
              <c:numCache>
                <c:formatCode>0.000</c:formatCode>
                <c:ptCount val="1"/>
              </c:numCache>
            </c:numRef>
          </c:yVal>
          <c:smooth val="0"/>
          <c:extLst>
            <c:ext xmlns:c16="http://schemas.microsoft.com/office/drawing/2014/chart" uri="{C3380CC4-5D6E-409C-BE32-E72D297353CC}">
              <c16:uniqueId val="{00000006-B40A-4716-B9A2-1B6A019562ED}"/>
            </c:ext>
          </c:extLst>
        </c:ser>
        <c:ser>
          <c:idx val="7"/>
          <c:order val="7"/>
          <c:tx>
            <c:v>Pier #5</c:v>
          </c:tx>
          <c:spPr>
            <a:ln w="19050">
              <a:noFill/>
            </a:ln>
          </c:spPr>
          <c:marker>
            <c:symbol val="square"/>
            <c:size val="14"/>
            <c:spPr>
              <a:noFill/>
              <a:ln>
                <a:solidFill>
                  <a:srgbClr val="000000"/>
                </a:solidFill>
                <a:prstDash val="solid"/>
              </a:ln>
            </c:spPr>
          </c:marker>
          <c:xVal>
            <c:numRef>
              <c:f>'Piles (&lt;=75)(metric)'!$F$41</c:f>
              <c:numCache>
                <c:formatCode>0.000</c:formatCode>
                <c:ptCount val="1"/>
              </c:numCache>
            </c:numRef>
          </c:xVal>
          <c:yVal>
            <c:numRef>
              <c:f>'Piles (&lt;=75)(metric)'!$F$42</c:f>
              <c:numCache>
                <c:formatCode>0.000</c:formatCode>
                <c:ptCount val="1"/>
              </c:numCache>
            </c:numRef>
          </c:yVal>
          <c:smooth val="0"/>
          <c:extLst>
            <c:ext xmlns:c16="http://schemas.microsoft.com/office/drawing/2014/chart" uri="{C3380CC4-5D6E-409C-BE32-E72D297353CC}">
              <c16:uniqueId val="{00000007-B40A-4716-B9A2-1B6A019562ED}"/>
            </c:ext>
          </c:extLst>
        </c:ser>
        <c:ser>
          <c:idx val="8"/>
          <c:order val="8"/>
          <c:tx>
            <c:v>Pier #6</c:v>
          </c:tx>
          <c:spPr>
            <a:ln w="19050">
              <a:noFill/>
            </a:ln>
          </c:spPr>
          <c:marker>
            <c:symbol val="square"/>
            <c:size val="14"/>
            <c:spPr>
              <a:noFill/>
              <a:ln>
                <a:solidFill>
                  <a:srgbClr val="000000"/>
                </a:solidFill>
                <a:prstDash val="solid"/>
              </a:ln>
            </c:spPr>
          </c:marker>
          <c:xVal>
            <c:numRef>
              <c:f>'Piles (&lt;=75)(metric)'!$G$41</c:f>
              <c:numCache>
                <c:formatCode>0.000</c:formatCode>
                <c:ptCount val="1"/>
              </c:numCache>
            </c:numRef>
          </c:xVal>
          <c:yVal>
            <c:numRef>
              <c:f>'Piles (&lt;=75)(metric)'!$G$42</c:f>
              <c:numCache>
                <c:formatCode>0.000</c:formatCode>
                <c:ptCount val="1"/>
              </c:numCache>
            </c:numRef>
          </c:yVal>
          <c:smooth val="0"/>
          <c:extLst>
            <c:ext xmlns:c16="http://schemas.microsoft.com/office/drawing/2014/chart" uri="{C3380CC4-5D6E-409C-BE32-E72D297353CC}">
              <c16:uniqueId val="{00000008-B40A-4716-B9A2-1B6A019562ED}"/>
            </c:ext>
          </c:extLst>
        </c:ser>
        <c:ser>
          <c:idx val="9"/>
          <c:order val="9"/>
          <c:tx>
            <c:v>Pier #7</c:v>
          </c:tx>
          <c:spPr>
            <a:ln w="19050">
              <a:noFill/>
            </a:ln>
          </c:spPr>
          <c:marker>
            <c:symbol val="square"/>
            <c:size val="14"/>
            <c:spPr>
              <a:noFill/>
              <a:ln>
                <a:solidFill>
                  <a:srgbClr val="000000"/>
                </a:solidFill>
                <a:prstDash val="solid"/>
              </a:ln>
            </c:spPr>
          </c:marker>
          <c:xVal>
            <c:numRef>
              <c:f>'Piles (&lt;=75)(metric)'!$H$41</c:f>
              <c:numCache>
                <c:formatCode>0.000</c:formatCode>
                <c:ptCount val="1"/>
              </c:numCache>
            </c:numRef>
          </c:xVal>
          <c:yVal>
            <c:numRef>
              <c:f>'Piles (&lt;=75)(metric)'!$H$42</c:f>
              <c:numCache>
                <c:formatCode>0.000</c:formatCode>
                <c:ptCount val="1"/>
              </c:numCache>
            </c:numRef>
          </c:yVal>
          <c:smooth val="0"/>
          <c:extLst>
            <c:ext xmlns:c16="http://schemas.microsoft.com/office/drawing/2014/chart" uri="{C3380CC4-5D6E-409C-BE32-E72D297353CC}">
              <c16:uniqueId val="{00000009-B40A-4716-B9A2-1B6A019562ED}"/>
            </c:ext>
          </c:extLst>
        </c:ser>
        <c:ser>
          <c:idx val="10"/>
          <c:order val="10"/>
          <c:tx>
            <c:v>Pier #8</c:v>
          </c:tx>
          <c:spPr>
            <a:ln w="19050">
              <a:noFill/>
            </a:ln>
          </c:spPr>
          <c:marker>
            <c:symbol val="square"/>
            <c:size val="14"/>
            <c:spPr>
              <a:noFill/>
              <a:ln>
                <a:solidFill>
                  <a:srgbClr val="000000"/>
                </a:solidFill>
                <a:prstDash val="solid"/>
              </a:ln>
            </c:spPr>
          </c:marker>
          <c:xVal>
            <c:numRef>
              <c:f>'Piles (&lt;=75)(metric)'!$I$41</c:f>
              <c:numCache>
                <c:formatCode>0.000</c:formatCode>
                <c:ptCount val="1"/>
              </c:numCache>
            </c:numRef>
          </c:xVal>
          <c:yVal>
            <c:numRef>
              <c:f>'Piles (&lt;=75)(metric)'!$I$42</c:f>
              <c:numCache>
                <c:formatCode>0.000</c:formatCode>
                <c:ptCount val="1"/>
              </c:numCache>
            </c:numRef>
          </c:yVal>
          <c:smooth val="0"/>
          <c:extLst>
            <c:ext xmlns:c16="http://schemas.microsoft.com/office/drawing/2014/chart" uri="{C3380CC4-5D6E-409C-BE32-E72D297353CC}">
              <c16:uniqueId val="{0000000A-B40A-4716-B9A2-1B6A019562ED}"/>
            </c:ext>
          </c:extLst>
        </c:ser>
        <c:dLbls>
          <c:showLegendKey val="0"/>
          <c:showVal val="0"/>
          <c:showCatName val="0"/>
          <c:showSerName val="0"/>
          <c:showPercent val="0"/>
          <c:showBubbleSize val="0"/>
        </c:dLbls>
        <c:axId val="784452128"/>
        <c:axId val="1"/>
      </c:scatterChart>
      <c:valAx>
        <c:axId val="7844521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X - AXIS (m)</a:t>
                </a:r>
              </a:p>
            </c:rich>
          </c:tx>
          <c:layout>
            <c:manualLayout>
              <c:xMode val="edge"/>
              <c:yMode val="edge"/>
              <c:x val="0.45969170729898456"/>
              <c:y val="0.9242346877672937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Y - AXIS (m)</a:t>
                </a:r>
              </a:p>
            </c:rich>
          </c:tx>
          <c:layout>
            <c:manualLayout>
              <c:xMode val="edge"/>
              <c:yMode val="edge"/>
              <c:x val="1.8145725288117816E-2"/>
              <c:y val="0.3716499273561604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Arial"/>
                <a:ea typeface="Arial"/>
                <a:cs typeface="Arial"/>
              </a:defRPr>
            </a:pPr>
            <a:endParaRPr lang="en-US"/>
          </a:p>
        </c:txPr>
        <c:crossAx val="784452128"/>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US"/>
              <a:t>PILE GROUP PLOT</a:t>
            </a:r>
          </a:p>
        </c:rich>
      </c:tx>
      <c:layout>
        <c:manualLayout>
          <c:xMode val="edge"/>
          <c:yMode val="edge"/>
          <c:x val="0.43148590083398147"/>
          <c:y val="9.4453890016271552E-3"/>
        </c:manualLayout>
      </c:layout>
      <c:overlay val="0"/>
      <c:spPr>
        <a:noFill/>
        <a:ln w="25400">
          <a:noFill/>
        </a:ln>
      </c:spPr>
    </c:title>
    <c:autoTitleDeleted val="0"/>
    <c:plotArea>
      <c:layout>
        <c:manualLayout>
          <c:layoutTarget val="inner"/>
          <c:xMode val="edge"/>
          <c:yMode val="edge"/>
          <c:x val="0.13198392260804143"/>
          <c:y val="4.2504250507322199E-2"/>
          <c:w val="0.83632120191057002"/>
          <c:h val="0.844181642020427"/>
        </c:manualLayout>
      </c:layout>
      <c:scatterChart>
        <c:scatterStyle val="lineMarker"/>
        <c:varyColors val="0"/>
        <c:ser>
          <c:idx val="1"/>
          <c:order val="0"/>
          <c:tx>
            <c:v>Pile Locations</c:v>
          </c:tx>
          <c:spPr>
            <a:ln w="19050">
              <a:noFill/>
            </a:ln>
          </c:spPr>
          <c:marker>
            <c:symbol val="circle"/>
            <c:size val="8"/>
            <c:spPr>
              <a:solidFill>
                <a:srgbClr val="FFFFFF"/>
              </a:solidFill>
              <a:ln>
                <a:solidFill>
                  <a:srgbClr val="000000"/>
                </a:solidFill>
                <a:prstDash val="solid"/>
              </a:ln>
            </c:spPr>
          </c:marker>
          <c:xVal>
            <c:numRef>
              <c:f>('Piles (&lt;=300)'!$B$13:$B$62,'Piles (&lt;=300)'!$E$13:$E$62,'Piles (&lt;=300)'!$H$13:$H$62,'Piles (&lt;=300)'!$K$13:$K$62,'Piles (&lt;=300)'!$N$13:$N$62,'Piles (&lt;=300)'!$Q$13:$Q$62)</c:f>
              <c:numCache>
                <c:formatCode>0.000</c:formatCode>
                <c:ptCount val="300"/>
                <c:pt idx="0">
                  <c:v>0</c:v>
                </c:pt>
                <c:pt idx="1">
                  <c:v>0</c:v>
                </c:pt>
                <c:pt idx="2">
                  <c:v>0</c:v>
                </c:pt>
                <c:pt idx="3">
                  <c:v>0</c:v>
                </c:pt>
                <c:pt idx="4">
                  <c:v>0</c:v>
                </c:pt>
                <c:pt idx="5">
                  <c:v>0</c:v>
                </c:pt>
                <c:pt idx="6">
                  <c:v>0</c:v>
                </c:pt>
                <c:pt idx="7">
                  <c:v>0</c:v>
                </c:pt>
                <c:pt idx="8">
                  <c:v>0</c:v>
                </c:pt>
                <c:pt idx="9">
                  <c:v>0</c:v>
                </c:pt>
                <c:pt idx="10">
                  <c:v>3</c:v>
                </c:pt>
                <c:pt idx="11">
                  <c:v>3</c:v>
                </c:pt>
                <c:pt idx="12">
                  <c:v>3</c:v>
                </c:pt>
                <c:pt idx="13">
                  <c:v>3</c:v>
                </c:pt>
                <c:pt idx="14">
                  <c:v>3</c:v>
                </c:pt>
                <c:pt idx="15">
                  <c:v>3</c:v>
                </c:pt>
                <c:pt idx="16">
                  <c:v>3</c:v>
                </c:pt>
                <c:pt idx="17">
                  <c:v>3</c:v>
                </c:pt>
                <c:pt idx="18">
                  <c:v>3</c:v>
                </c:pt>
                <c:pt idx="19">
                  <c:v>3</c:v>
                </c:pt>
                <c:pt idx="20">
                  <c:v>6</c:v>
                </c:pt>
                <c:pt idx="21">
                  <c:v>6</c:v>
                </c:pt>
                <c:pt idx="22">
                  <c:v>6</c:v>
                </c:pt>
                <c:pt idx="23">
                  <c:v>6</c:v>
                </c:pt>
                <c:pt idx="24">
                  <c:v>6</c:v>
                </c:pt>
                <c:pt idx="25">
                  <c:v>6</c:v>
                </c:pt>
                <c:pt idx="26">
                  <c:v>6</c:v>
                </c:pt>
                <c:pt idx="27">
                  <c:v>6</c:v>
                </c:pt>
                <c:pt idx="28">
                  <c:v>6</c:v>
                </c:pt>
                <c:pt idx="29">
                  <c:v>6</c:v>
                </c:pt>
                <c:pt idx="30">
                  <c:v>9</c:v>
                </c:pt>
                <c:pt idx="31">
                  <c:v>9</c:v>
                </c:pt>
                <c:pt idx="32">
                  <c:v>9</c:v>
                </c:pt>
                <c:pt idx="33">
                  <c:v>9</c:v>
                </c:pt>
                <c:pt idx="34">
                  <c:v>9</c:v>
                </c:pt>
                <c:pt idx="35">
                  <c:v>9</c:v>
                </c:pt>
                <c:pt idx="36">
                  <c:v>9</c:v>
                </c:pt>
                <c:pt idx="37">
                  <c:v>9</c:v>
                </c:pt>
                <c:pt idx="38">
                  <c:v>9</c:v>
                </c:pt>
                <c:pt idx="39">
                  <c:v>9</c:v>
                </c:pt>
              </c:numCache>
            </c:numRef>
          </c:xVal>
          <c:yVal>
            <c:numRef>
              <c:f>('Piles (&lt;=300)'!$C$13:$C$62,'Piles (&lt;=300)'!$F$13:$F$62,'Piles (&lt;=300)'!$I$13:$I$62,'Piles (&lt;=300)'!$L$13:$L$62,'Piles (&lt;=300)'!$O$13:$O$62,'Piles (&lt;=300)'!$R$13:$R$62)</c:f>
              <c:numCache>
                <c:formatCode>0.000</c:formatCode>
                <c:ptCount val="300"/>
                <c:pt idx="0">
                  <c:v>0</c:v>
                </c:pt>
                <c:pt idx="1">
                  <c:v>3</c:v>
                </c:pt>
                <c:pt idx="2">
                  <c:v>6</c:v>
                </c:pt>
                <c:pt idx="3">
                  <c:v>9</c:v>
                </c:pt>
                <c:pt idx="4">
                  <c:v>12</c:v>
                </c:pt>
                <c:pt idx="5">
                  <c:v>15</c:v>
                </c:pt>
                <c:pt idx="6">
                  <c:v>18</c:v>
                </c:pt>
                <c:pt idx="7">
                  <c:v>21</c:v>
                </c:pt>
                <c:pt idx="8">
                  <c:v>24</c:v>
                </c:pt>
                <c:pt idx="9">
                  <c:v>27</c:v>
                </c:pt>
                <c:pt idx="10">
                  <c:v>0</c:v>
                </c:pt>
                <c:pt idx="11">
                  <c:v>3</c:v>
                </c:pt>
                <c:pt idx="12">
                  <c:v>6</c:v>
                </c:pt>
                <c:pt idx="13">
                  <c:v>9</c:v>
                </c:pt>
                <c:pt idx="14">
                  <c:v>12</c:v>
                </c:pt>
                <c:pt idx="15">
                  <c:v>15</c:v>
                </c:pt>
                <c:pt idx="16">
                  <c:v>18</c:v>
                </c:pt>
                <c:pt idx="17">
                  <c:v>21</c:v>
                </c:pt>
                <c:pt idx="18">
                  <c:v>24</c:v>
                </c:pt>
                <c:pt idx="19">
                  <c:v>27</c:v>
                </c:pt>
                <c:pt idx="20">
                  <c:v>0</c:v>
                </c:pt>
                <c:pt idx="21">
                  <c:v>3</c:v>
                </c:pt>
                <c:pt idx="22">
                  <c:v>6</c:v>
                </c:pt>
                <c:pt idx="23">
                  <c:v>9</c:v>
                </c:pt>
                <c:pt idx="24">
                  <c:v>12</c:v>
                </c:pt>
                <c:pt idx="25">
                  <c:v>15</c:v>
                </c:pt>
                <c:pt idx="26">
                  <c:v>18</c:v>
                </c:pt>
                <c:pt idx="27">
                  <c:v>21</c:v>
                </c:pt>
                <c:pt idx="28">
                  <c:v>24</c:v>
                </c:pt>
                <c:pt idx="29">
                  <c:v>27</c:v>
                </c:pt>
                <c:pt idx="30">
                  <c:v>0</c:v>
                </c:pt>
                <c:pt idx="31">
                  <c:v>3</c:v>
                </c:pt>
                <c:pt idx="32">
                  <c:v>6</c:v>
                </c:pt>
                <c:pt idx="33">
                  <c:v>9</c:v>
                </c:pt>
                <c:pt idx="34">
                  <c:v>12</c:v>
                </c:pt>
                <c:pt idx="35">
                  <c:v>15</c:v>
                </c:pt>
                <c:pt idx="36">
                  <c:v>18</c:v>
                </c:pt>
                <c:pt idx="37">
                  <c:v>21</c:v>
                </c:pt>
                <c:pt idx="38">
                  <c:v>24</c:v>
                </c:pt>
                <c:pt idx="39">
                  <c:v>27</c:v>
                </c:pt>
              </c:numCache>
            </c:numRef>
          </c:yVal>
          <c:smooth val="0"/>
          <c:extLst>
            <c:ext xmlns:c16="http://schemas.microsoft.com/office/drawing/2014/chart" uri="{C3380CC4-5D6E-409C-BE32-E72D297353CC}">
              <c16:uniqueId val="{00000000-DD37-4F57-BAD8-AE4C5C56F33F}"/>
            </c:ext>
          </c:extLst>
        </c:ser>
        <c:ser>
          <c:idx val="0"/>
          <c:order val="1"/>
          <c:tx>
            <c:v>Centroid of Pile Group</c:v>
          </c:tx>
          <c:spPr>
            <a:ln w="19050">
              <a:noFill/>
            </a:ln>
          </c:spPr>
          <c:marker>
            <c:symbol val="plus"/>
            <c:size val="8"/>
            <c:spPr>
              <a:noFill/>
              <a:ln>
                <a:solidFill>
                  <a:srgbClr val="0000FF"/>
                </a:solidFill>
                <a:prstDash val="solid"/>
              </a:ln>
            </c:spPr>
          </c:marker>
          <c:xVal>
            <c:numRef>
              <c:f>'Piles (&lt;=300)'!$B$82</c:f>
              <c:numCache>
                <c:formatCode>0.000</c:formatCode>
                <c:ptCount val="1"/>
                <c:pt idx="0">
                  <c:v>4.5</c:v>
                </c:pt>
              </c:numCache>
            </c:numRef>
          </c:xVal>
          <c:yVal>
            <c:numRef>
              <c:f>'Piles (&lt;=300)'!$B$83</c:f>
              <c:numCache>
                <c:formatCode>0.000</c:formatCode>
                <c:ptCount val="1"/>
                <c:pt idx="0">
                  <c:v>13.5</c:v>
                </c:pt>
              </c:numCache>
            </c:numRef>
          </c:yVal>
          <c:smooth val="0"/>
          <c:extLst>
            <c:ext xmlns:c16="http://schemas.microsoft.com/office/drawing/2014/chart" uri="{C3380CC4-5D6E-409C-BE32-E72D297353CC}">
              <c16:uniqueId val="{00000001-DD37-4F57-BAD8-AE4C5C56F33F}"/>
            </c:ext>
          </c:extLst>
        </c:ser>
        <c:ser>
          <c:idx val="2"/>
          <c:order val="2"/>
          <c:tx>
            <c:v>Plot Scale Factors</c:v>
          </c:tx>
          <c:spPr>
            <a:ln w="19050">
              <a:noFill/>
            </a:ln>
          </c:spPr>
          <c:marker>
            <c:symbol val="circle"/>
            <c:size val="5"/>
            <c:spPr>
              <a:solidFill>
                <a:srgbClr val="FFFFFF"/>
              </a:solidFill>
              <a:ln>
                <a:solidFill>
                  <a:srgbClr val="FFFFFF"/>
                </a:solidFill>
                <a:prstDash val="solid"/>
              </a:ln>
            </c:spPr>
          </c:marker>
          <c:xVal>
            <c:numRef>
              <c:f>'Piles (&lt;=300)'!$AS$4</c:f>
              <c:numCache>
                <c:formatCode>General</c:formatCode>
                <c:ptCount val="1"/>
                <c:pt idx="0">
                  <c:v>10</c:v>
                </c:pt>
              </c:numCache>
            </c:numRef>
          </c:xVal>
          <c:yVal>
            <c:numRef>
              <c:f>'Piles (&lt;=300)'!$AT$4</c:f>
              <c:numCache>
                <c:formatCode>General</c:formatCode>
                <c:ptCount val="1"/>
                <c:pt idx="0">
                  <c:v>28</c:v>
                </c:pt>
              </c:numCache>
            </c:numRef>
          </c:yVal>
          <c:smooth val="0"/>
          <c:extLst>
            <c:ext xmlns:c16="http://schemas.microsoft.com/office/drawing/2014/chart" uri="{C3380CC4-5D6E-409C-BE32-E72D297353CC}">
              <c16:uniqueId val="{00000002-DD37-4F57-BAD8-AE4C5C56F33F}"/>
            </c:ext>
          </c:extLst>
        </c:ser>
        <c:ser>
          <c:idx val="3"/>
          <c:order val="3"/>
          <c:tx>
            <c:v>Pier #1</c:v>
          </c:tx>
          <c:spPr>
            <a:ln w="19050">
              <a:noFill/>
            </a:ln>
          </c:spPr>
          <c:marker>
            <c:symbol val="square"/>
            <c:size val="14"/>
            <c:spPr>
              <a:noFill/>
              <a:ln>
                <a:solidFill>
                  <a:srgbClr val="000000"/>
                </a:solidFill>
                <a:prstDash val="solid"/>
              </a:ln>
            </c:spPr>
          </c:marker>
          <c:xVal>
            <c:numRef>
              <c:f>'Piles (&lt;=300)'!$B$67</c:f>
              <c:numCache>
                <c:formatCode>0.000</c:formatCode>
                <c:ptCount val="1"/>
                <c:pt idx="0">
                  <c:v>4.5</c:v>
                </c:pt>
              </c:numCache>
            </c:numRef>
          </c:xVal>
          <c:yVal>
            <c:numRef>
              <c:f>'Piles (&lt;=300)'!$B$68</c:f>
              <c:numCache>
                <c:formatCode>0.000</c:formatCode>
                <c:ptCount val="1"/>
                <c:pt idx="0">
                  <c:v>9</c:v>
                </c:pt>
              </c:numCache>
            </c:numRef>
          </c:yVal>
          <c:smooth val="0"/>
          <c:extLst>
            <c:ext xmlns:c16="http://schemas.microsoft.com/office/drawing/2014/chart" uri="{C3380CC4-5D6E-409C-BE32-E72D297353CC}">
              <c16:uniqueId val="{00000003-DD37-4F57-BAD8-AE4C5C56F33F}"/>
            </c:ext>
          </c:extLst>
        </c:ser>
        <c:ser>
          <c:idx val="4"/>
          <c:order val="4"/>
          <c:tx>
            <c:v>Pier #2</c:v>
          </c:tx>
          <c:spPr>
            <a:ln w="19050">
              <a:noFill/>
            </a:ln>
          </c:spPr>
          <c:marker>
            <c:symbol val="square"/>
            <c:size val="14"/>
            <c:spPr>
              <a:noFill/>
              <a:ln>
                <a:solidFill>
                  <a:srgbClr val="000000"/>
                </a:solidFill>
                <a:prstDash val="solid"/>
              </a:ln>
            </c:spPr>
          </c:marker>
          <c:xVal>
            <c:numRef>
              <c:f>'Piles (&lt;=300)'!$C$67</c:f>
              <c:numCache>
                <c:formatCode>0.000</c:formatCode>
                <c:ptCount val="1"/>
                <c:pt idx="0">
                  <c:v>4.5</c:v>
                </c:pt>
              </c:numCache>
            </c:numRef>
          </c:xVal>
          <c:yVal>
            <c:numRef>
              <c:f>'Piles (&lt;=300)'!$C$68</c:f>
              <c:numCache>
                <c:formatCode>0.000</c:formatCode>
                <c:ptCount val="1"/>
                <c:pt idx="0">
                  <c:v>18</c:v>
                </c:pt>
              </c:numCache>
            </c:numRef>
          </c:yVal>
          <c:smooth val="0"/>
          <c:extLst>
            <c:ext xmlns:c16="http://schemas.microsoft.com/office/drawing/2014/chart" uri="{C3380CC4-5D6E-409C-BE32-E72D297353CC}">
              <c16:uniqueId val="{00000004-DD37-4F57-BAD8-AE4C5C56F33F}"/>
            </c:ext>
          </c:extLst>
        </c:ser>
        <c:ser>
          <c:idx val="5"/>
          <c:order val="5"/>
          <c:tx>
            <c:v>Pier #3</c:v>
          </c:tx>
          <c:spPr>
            <a:ln w="19050">
              <a:noFill/>
            </a:ln>
          </c:spPr>
          <c:marker>
            <c:symbol val="square"/>
            <c:size val="14"/>
            <c:spPr>
              <a:noFill/>
              <a:ln>
                <a:solidFill>
                  <a:srgbClr val="000000"/>
                </a:solidFill>
                <a:prstDash val="solid"/>
              </a:ln>
            </c:spPr>
          </c:marker>
          <c:xVal>
            <c:numRef>
              <c:f>'Piles (&lt;=300)'!$D$67</c:f>
              <c:numCache>
                <c:formatCode>0.000</c:formatCode>
                <c:ptCount val="1"/>
              </c:numCache>
            </c:numRef>
          </c:xVal>
          <c:yVal>
            <c:numRef>
              <c:f>'Piles (&lt;=300)'!$D$68</c:f>
              <c:numCache>
                <c:formatCode>0.000</c:formatCode>
                <c:ptCount val="1"/>
              </c:numCache>
            </c:numRef>
          </c:yVal>
          <c:smooth val="0"/>
          <c:extLst>
            <c:ext xmlns:c16="http://schemas.microsoft.com/office/drawing/2014/chart" uri="{C3380CC4-5D6E-409C-BE32-E72D297353CC}">
              <c16:uniqueId val="{00000005-DD37-4F57-BAD8-AE4C5C56F33F}"/>
            </c:ext>
          </c:extLst>
        </c:ser>
        <c:ser>
          <c:idx val="6"/>
          <c:order val="6"/>
          <c:tx>
            <c:v>Pier #4</c:v>
          </c:tx>
          <c:spPr>
            <a:ln w="19050">
              <a:noFill/>
            </a:ln>
          </c:spPr>
          <c:marker>
            <c:symbol val="square"/>
            <c:size val="14"/>
            <c:spPr>
              <a:noFill/>
              <a:ln>
                <a:solidFill>
                  <a:srgbClr val="000000"/>
                </a:solidFill>
                <a:prstDash val="solid"/>
              </a:ln>
            </c:spPr>
          </c:marker>
          <c:xVal>
            <c:numRef>
              <c:f>'Piles (&lt;=300)'!$E$67</c:f>
              <c:numCache>
                <c:formatCode>0.000</c:formatCode>
                <c:ptCount val="1"/>
              </c:numCache>
            </c:numRef>
          </c:xVal>
          <c:yVal>
            <c:numRef>
              <c:f>'Piles (&lt;=300)'!$E$68</c:f>
              <c:numCache>
                <c:formatCode>0.000</c:formatCode>
                <c:ptCount val="1"/>
              </c:numCache>
            </c:numRef>
          </c:yVal>
          <c:smooth val="0"/>
          <c:extLst>
            <c:ext xmlns:c16="http://schemas.microsoft.com/office/drawing/2014/chart" uri="{C3380CC4-5D6E-409C-BE32-E72D297353CC}">
              <c16:uniqueId val="{00000006-DD37-4F57-BAD8-AE4C5C56F33F}"/>
            </c:ext>
          </c:extLst>
        </c:ser>
        <c:ser>
          <c:idx val="7"/>
          <c:order val="7"/>
          <c:tx>
            <c:v>Pier #5</c:v>
          </c:tx>
          <c:spPr>
            <a:ln w="19050">
              <a:noFill/>
            </a:ln>
          </c:spPr>
          <c:marker>
            <c:symbol val="square"/>
            <c:size val="14"/>
            <c:spPr>
              <a:noFill/>
              <a:ln>
                <a:solidFill>
                  <a:srgbClr val="000000"/>
                </a:solidFill>
                <a:prstDash val="solid"/>
              </a:ln>
            </c:spPr>
          </c:marker>
          <c:xVal>
            <c:numRef>
              <c:f>'Piles (&lt;=300)'!$F$67</c:f>
              <c:numCache>
                <c:formatCode>0.000</c:formatCode>
                <c:ptCount val="1"/>
              </c:numCache>
            </c:numRef>
          </c:xVal>
          <c:yVal>
            <c:numRef>
              <c:f>'Piles (&lt;=300)'!$F$68</c:f>
              <c:numCache>
                <c:formatCode>0.000</c:formatCode>
                <c:ptCount val="1"/>
              </c:numCache>
            </c:numRef>
          </c:yVal>
          <c:smooth val="0"/>
          <c:extLst>
            <c:ext xmlns:c16="http://schemas.microsoft.com/office/drawing/2014/chart" uri="{C3380CC4-5D6E-409C-BE32-E72D297353CC}">
              <c16:uniqueId val="{00000007-DD37-4F57-BAD8-AE4C5C56F33F}"/>
            </c:ext>
          </c:extLst>
        </c:ser>
        <c:ser>
          <c:idx val="8"/>
          <c:order val="8"/>
          <c:tx>
            <c:v>Pier #6</c:v>
          </c:tx>
          <c:spPr>
            <a:ln w="19050">
              <a:noFill/>
            </a:ln>
          </c:spPr>
          <c:marker>
            <c:symbol val="square"/>
            <c:size val="14"/>
            <c:spPr>
              <a:noFill/>
              <a:ln>
                <a:solidFill>
                  <a:srgbClr val="000000"/>
                </a:solidFill>
                <a:prstDash val="solid"/>
              </a:ln>
            </c:spPr>
          </c:marker>
          <c:xVal>
            <c:numRef>
              <c:f>'Piles (&lt;=300)'!$G$67</c:f>
              <c:numCache>
                <c:formatCode>0.000</c:formatCode>
                <c:ptCount val="1"/>
              </c:numCache>
            </c:numRef>
          </c:xVal>
          <c:yVal>
            <c:numRef>
              <c:f>'Piles (&lt;=300)'!$G$68</c:f>
              <c:numCache>
                <c:formatCode>0.000</c:formatCode>
                <c:ptCount val="1"/>
              </c:numCache>
            </c:numRef>
          </c:yVal>
          <c:smooth val="0"/>
          <c:extLst>
            <c:ext xmlns:c16="http://schemas.microsoft.com/office/drawing/2014/chart" uri="{C3380CC4-5D6E-409C-BE32-E72D297353CC}">
              <c16:uniqueId val="{00000008-DD37-4F57-BAD8-AE4C5C56F33F}"/>
            </c:ext>
          </c:extLst>
        </c:ser>
        <c:ser>
          <c:idx val="9"/>
          <c:order val="9"/>
          <c:tx>
            <c:v>Pier #7</c:v>
          </c:tx>
          <c:spPr>
            <a:ln w="19050">
              <a:noFill/>
            </a:ln>
          </c:spPr>
          <c:marker>
            <c:symbol val="square"/>
            <c:size val="14"/>
            <c:spPr>
              <a:noFill/>
              <a:ln>
                <a:solidFill>
                  <a:srgbClr val="000000"/>
                </a:solidFill>
                <a:prstDash val="solid"/>
              </a:ln>
            </c:spPr>
          </c:marker>
          <c:xVal>
            <c:numRef>
              <c:f>'Piles (&lt;=300)'!$H$67</c:f>
              <c:numCache>
                <c:formatCode>0.000</c:formatCode>
                <c:ptCount val="1"/>
              </c:numCache>
            </c:numRef>
          </c:xVal>
          <c:yVal>
            <c:numRef>
              <c:f>'Piles (&lt;=300)'!$H$68</c:f>
              <c:numCache>
                <c:formatCode>0.000</c:formatCode>
                <c:ptCount val="1"/>
              </c:numCache>
            </c:numRef>
          </c:yVal>
          <c:smooth val="0"/>
          <c:extLst>
            <c:ext xmlns:c16="http://schemas.microsoft.com/office/drawing/2014/chart" uri="{C3380CC4-5D6E-409C-BE32-E72D297353CC}">
              <c16:uniqueId val="{00000009-DD37-4F57-BAD8-AE4C5C56F33F}"/>
            </c:ext>
          </c:extLst>
        </c:ser>
        <c:ser>
          <c:idx val="10"/>
          <c:order val="10"/>
          <c:tx>
            <c:v>Pier #8</c:v>
          </c:tx>
          <c:spPr>
            <a:ln w="19050">
              <a:noFill/>
            </a:ln>
          </c:spPr>
          <c:marker>
            <c:symbol val="square"/>
            <c:size val="14"/>
            <c:spPr>
              <a:noFill/>
              <a:ln>
                <a:solidFill>
                  <a:srgbClr val="000000"/>
                </a:solidFill>
                <a:prstDash val="solid"/>
              </a:ln>
            </c:spPr>
          </c:marker>
          <c:xVal>
            <c:numRef>
              <c:f>'Piles (&lt;=300)'!$I$67</c:f>
              <c:numCache>
                <c:formatCode>0.000</c:formatCode>
                <c:ptCount val="1"/>
              </c:numCache>
            </c:numRef>
          </c:xVal>
          <c:yVal>
            <c:numRef>
              <c:f>'Piles (&lt;=300)'!$I$68</c:f>
              <c:numCache>
                <c:formatCode>0.000</c:formatCode>
                <c:ptCount val="1"/>
              </c:numCache>
            </c:numRef>
          </c:yVal>
          <c:smooth val="0"/>
          <c:extLst>
            <c:ext xmlns:c16="http://schemas.microsoft.com/office/drawing/2014/chart" uri="{C3380CC4-5D6E-409C-BE32-E72D297353CC}">
              <c16:uniqueId val="{0000000A-DD37-4F57-BAD8-AE4C5C56F33F}"/>
            </c:ext>
          </c:extLst>
        </c:ser>
        <c:ser>
          <c:idx val="11"/>
          <c:order val="11"/>
          <c:tx>
            <c:v>Pier #9</c:v>
          </c:tx>
          <c:spPr>
            <a:ln w="19050">
              <a:noFill/>
            </a:ln>
          </c:spPr>
          <c:marker>
            <c:symbol val="square"/>
            <c:size val="14"/>
            <c:spPr>
              <a:noFill/>
              <a:ln>
                <a:solidFill>
                  <a:srgbClr val="000000"/>
                </a:solidFill>
                <a:prstDash val="solid"/>
              </a:ln>
            </c:spPr>
          </c:marker>
          <c:xVal>
            <c:numRef>
              <c:f>'Piles (&lt;=300)'!$J$67</c:f>
              <c:numCache>
                <c:formatCode>0.000</c:formatCode>
                <c:ptCount val="1"/>
              </c:numCache>
            </c:numRef>
          </c:xVal>
          <c:yVal>
            <c:numRef>
              <c:f>'Piles (&lt;=300)'!$J$68</c:f>
              <c:numCache>
                <c:formatCode>0.000</c:formatCode>
                <c:ptCount val="1"/>
              </c:numCache>
            </c:numRef>
          </c:yVal>
          <c:smooth val="0"/>
          <c:extLst>
            <c:ext xmlns:c16="http://schemas.microsoft.com/office/drawing/2014/chart" uri="{C3380CC4-5D6E-409C-BE32-E72D297353CC}">
              <c16:uniqueId val="{0000000B-DD37-4F57-BAD8-AE4C5C56F33F}"/>
            </c:ext>
          </c:extLst>
        </c:ser>
        <c:ser>
          <c:idx val="12"/>
          <c:order val="12"/>
          <c:tx>
            <c:v>Pier #10</c:v>
          </c:tx>
          <c:spPr>
            <a:ln w="19050">
              <a:noFill/>
            </a:ln>
          </c:spPr>
          <c:marker>
            <c:symbol val="square"/>
            <c:size val="14"/>
            <c:spPr>
              <a:noFill/>
              <a:ln>
                <a:solidFill>
                  <a:srgbClr val="000000"/>
                </a:solidFill>
                <a:prstDash val="solid"/>
              </a:ln>
            </c:spPr>
          </c:marker>
          <c:xVal>
            <c:numRef>
              <c:f>'Piles (&lt;=300)'!$K$67</c:f>
              <c:numCache>
                <c:formatCode>0.000</c:formatCode>
                <c:ptCount val="1"/>
              </c:numCache>
            </c:numRef>
          </c:xVal>
          <c:yVal>
            <c:numRef>
              <c:f>'Piles (&lt;=300)'!$K$68</c:f>
              <c:numCache>
                <c:formatCode>0.000</c:formatCode>
                <c:ptCount val="1"/>
              </c:numCache>
            </c:numRef>
          </c:yVal>
          <c:smooth val="0"/>
          <c:extLst>
            <c:ext xmlns:c16="http://schemas.microsoft.com/office/drawing/2014/chart" uri="{C3380CC4-5D6E-409C-BE32-E72D297353CC}">
              <c16:uniqueId val="{0000000C-DD37-4F57-BAD8-AE4C5C56F33F}"/>
            </c:ext>
          </c:extLst>
        </c:ser>
        <c:ser>
          <c:idx val="13"/>
          <c:order val="13"/>
          <c:tx>
            <c:v>Pier #11</c:v>
          </c:tx>
          <c:spPr>
            <a:ln w="19050">
              <a:noFill/>
            </a:ln>
          </c:spPr>
          <c:marker>
            <c:symbol val="square"/>
            <c:size val="14"/>
            <c:spPr>
              <a:noFill/>
              <a:ln>
                <a:solidFill>
                  <a:srgbClr val="000000"/>
                </a:solidFill>
                <a:prstDash val="solid"/>
              </a:ln>
            </c:spPr>
          </c:marker>
          <c:xVal>
            <c:numRef>
              <c:f>'Piles (&lt;=300)'!$L$67</c:f>
              <c:numCache>
                <c:formatCode>0.000</c:formatCode>
                <c:ptCount val="1"/>
              </c:numCache>
            </c:numRef>
          </c:xVal>
          <c:yVal>
            <c:numRef>
              <c:f>'Piles (&lt;=300)'!$L$68</c:f>
              <c:numCache>
                <c:formatCode>0.000</c:formatCode>
                <c:ptCount val="1"/>
              </c:numCache>
            </c:numRef>
          </c:yVal>
          <c:smooth val="0"/>
          <c:extLst>
            <c:ext xmlns:c16="http://schemas.microsoft.com/office/drawing/2014/chart" uri="{C3380CC4-5D6E-409C-BE32-E72D297353CC}">
              <c16:uniqueId val="{0000000D-DD37-4F57-BAD8-AE4C5C56F33F}"/>
            </c:ext>
          </c:extLst>
        </c:ser>
        <c:ser>
          <c:idx val="14"/>
          <c:order val="14"/>
          <c:tx>
            <c:v>Pier #12</c:v>
          </c:tx>
          <c:spPr>
            <a:ln w="19050">
              <a:noFill/>
            </a:ln>
          </c:spPr>
          <c:marker>
            <c:symbol val="square"/>
            <c:size val="14"/>
            <c:spPr>
              <a:noFill/>
              <a:ln>
                <a:solidFill>
                  <a:srgbClr val="000000"/>
                </a:solidFill>
                <a:prstDash val="solid"/>
              </a:ln>
            </c:spPr>
          </c:marker>
          <c:xVal>
            <c:numRef>
              <c:f>'Piles (&lt;=300)'!$M$67</c:f>
              <c:numCache>
                <c:formatCode>0.000</c:formatCode>
                <c:ptCount val="1"/>
              </c:numCache>
            </c:numRef>
          </c:xVal>
          <c:yVal>
            <c:numRef>
              <c:f>'Piles (&lt;=300)'!$M$68</c:f>
              <c:numCache>
                <c:formatCode>0.000</c:formatCode>
                <c:ptCount val="1"/>
              </c:numCache>
            </c:numRef>
          </c:yVal>
          <c:smooth val="0"/>
          <c:extLst>
            <c:ext xmlns:c16="http://schemas.microsoft.com/office/drawing/2014/chart" uri="{C3380CC4-5D6E-409C-BE32-E72D297353CC}">
              <c16:uniqueId val="{0000000E-DD37-4F57-BAD8-AE4C5C56F33F}"/>
            </c:ext>
          </c:extLst>
        </c:ser>
        <c:ser>
          <c:idx val="15"/>
          <c:order val="15"/>
          <c:tx>
            <c:v>Pier #13</c:v>
          </c:tx>
          <c:spPr>
            <a:ln w="19050">
              <a:noFill/>
            </a:ln>
          </c:spPr>
          <c:marker>
            <c:symbol val="square"/>
            <c:size val="14"/>
            <c:spPr>
              <a:noFill/>
              <a:ln>
                <a:solidFill>
                  <a:srgbClr val="000000"/>
                </a:solidFill>
                <a:prstDash val="solid"/>
              </a:ln>
            </c:spPr>
          </c:marker>
          <c:xVal>
            <c:numRef>
              <c:f>'Piles (&lt;=300)'!$N$67</c:f>
              <c:numCache>
                <c:formatCode>0.000</c:formatCode>
                <c:ptCount val="1"/>
              </c:numCache>
            </c:numRef>
          </c:xVal>
          <c:yVal>
            <c:numRef>
              <c:f>'Piles (&lt;=300)'!$N$68</c:f>
              <c:numCache>
                <c:formatCode>0.000</c:formatCode>
                <c:ptCount val="1"/>
              </c:numCache>
            </c:numRef>
          </c:yVal>
          <c:smooth val="0"/>
          <c:extLst>
            <c:ext xmlns:c16="http://schemas.microsoft.com/office/drawing/2014/chart" uri="{C3380CC4-5D6E-409C-BE32-E72D297353CC}">
              <c16:uniqueId val="{0000000F-DD37-4F57-BAD8-AE4C5C56F33F}"/>
            </c:ext>
          </c:extLst>
        </c:ser>
        <c:ser>
          <c:idx val="16"/>
          <c:order val="16"/>
          <c:tx>
            <c:v>Pier #14</c:v>
          </c:tx>
          <c:spPr>
            <a:ln w="19050">
              <a:noFill/>
            </a:ln>
          </c:spPr>
          <c:marker>
            <c:symbol val="square"/>
            <c:size val="14"/>
            <c:spPr>
              <a:noFill/>
              <a:ln>
                <a:solidFill>
                  <a:srgbClr val="000000"/>
                </a:solidFill>
                <a:prstDash val="solid"/>
              </a:ln>
            </c:spPr>
          </c:marker>
          <c:xVal>
            <c:numRef>
              <c:f>'Piles (&lt;=300)'!$O$67</c:f>
              <c:numCache>
                <c:formatCode>0.000</c:formatCode>
                <c:ptCount val="1"/>
              </c:numCache>
            </c:numRef>
          </c:xVal>
          <c:yVal>
            <c:numRef>
              <c:f>'Piles (&lt;=300)'!$O$68</c:f>
              <c:numCache>
                <c:formatCode>0.000</c:formatCode>
                <c:ptCount val="1"/>
              </c:numCache>
            </c:numRef>
          </c:yVal>
          <c:smooth val="0"/>
          <c:extLst>
            <c:ext xmlns:c16="http://schemas.microsoft.com/office/drawing/2014/chart" uri="{C3380CC4-5D6E-409C-BE32-E72D297353CC}">
              <c16:uniqueId val="{00000010-DD37-4F57-BAD8-AE4C5C56F33F}"/>
            </c:ext>
          </c:extLst>
        </c:ser>
        <c:ser>
          <c:idx val="17"/>
          <c:order val="17"/>
          <c:tx>
            <c:v>Pier #15</c:v>
          </c:tx>
          <c:spPr>
            <a:ln w="19050">
              <a:noFill/>
            </a:ln>
          </c:spPr>
          <c:marker>
            <c:symbol val="square"/>
            <c:size val="14"/>
            <c:spPr>
              <a:noFill/>
              <a:ln>
                <a:solidFill>
                  <a:srgbClr val="000000"/>
                </a:solidFill>
                <a:prstDash val="solid"/>
              </a:ln>
            </c:spPr>
          </c:marker>
          <c:xVal>
            <c:numRef>
              <c:f>'Piles (&lt;=300)'!$P$67</c:f>
              <c:numCache>
                <c:formatCode>0.000</c:formatCode>
                <c:ptCount val="1"/>
              </c:numCache>
            </c:numRef>
          </c:xVal>
          <c:yVal>
            <c:numRef>
              <c:f>'Piles (&lt;=300)'!$P$68</c:f>
              <c:numCache>
                <c:formatCode>0.000</c:formatCode>
                <c:ptCount val="1"/>
              </c:numCache>
            </c:numRef>
          </c:yVal>
          <c:smooth val="0"/>
          <c:extLst>
            <c:ext xmlns:c16="http://schemas.microsoft.com/office/drawing/2014/chart" uri="{C3380CC4-5D6E-409C-BE32-E72D297353CC}">
              <c16:uniqueId val="{00000011-DD37-4F57-BAD8-AE4C5C56F33F}"/>
            </c:ext>
          </c:extLst>
        </c:ser>
        <c:ser>
          <c:idx val="18"/>
          <c:order val="18"/>
          <c:tx>
            <c:v>Pier #16</c:v>
          </c:tx>
          <c:spPr>
            <a:ln w="3175">
              <a:solidFill>
                <a:srgbClr val="99CC00"/>
              </a:solidFill>
              <a:prstDash val="solid"/>
            </a:ln>
          </c:spPr>
          <c:marker>
            <c:symbol val="square"/>
            <c:size val="14"/>
            <c:spPr>
              <a:noFill/>
              <a:ln>
                <a:solidFill>
                  <a:srgbClr val="000000"/>
                </a:solidFill>
                <a:prstDash val="solid"/>
              </a:ln>
            </c:spPr>
          </c:marker>
          <c:xVal>
            <c:numRef>
              <c:f>'Piles (&lt;=300)'!$Q$67</c:f>
              <c:numCache>
                <c:formatCode>0.000</c:formatCode>
                <c:ptCount val="1"/>
              </c:numCache>
            </c:numRef>
          </c:xVal>
          <c:yVal>
            <c:numRef>
              <c:f>'Piles (&lt;=300)'!$Q$68</c:f>
              <c:numCache>
                <c:formatCode>0.000</c:formatCode>
                <c:ptCount val="1"/>
              </c:numCache>
            </c:numRef>
          </c:yVal>
          <c:smooth val="0"/>
          <c:extLst>
            <c:ext xmlns:c16="http://schemas.microsoft.com/office/drawing/2014/chart" uri="{C3380CC4-5D6E-409C-BE32-E72D297353CC}">
              <c16:uniqueId val="{00000012-DD37-4F57-BAD8-AE4C5C56F33F}"/>
            </c:ext>
          </c:extLst>
        </c:ser>
        <c:ser>
          <c:idx val="19"/>
          <c:order val="19"/>
          <c:tx>
            <c:v>Pier #17</c:v>
          </c:tx>
          <c:spPr>
            <a:ln w="19050">
              <a:noFill/>
            </a:ln>
          </c:spPr>
          <c:marker>
            <c:symbol val="square"/>
            <c:size val="14"/>
            <c:spPr>
              <a:noFill/>
              <a:ln>
                <a:solidFill>
                  <a:srgbClr val="000000"/>
                </a:solidFill>
                <a:prstDash val="solid"/>
              </a:ln>
            </c:spPr>
          </c:marker>
          <c:xVal>
            <c:numRef>
              <c:f>'Piles (&lt;=300)'!$R$67</c:f>
              <c:numCache>
                <c:formatCode>0.000</c:formatCode>
                <c:ptCount val="1"/>
              </c:numCache>
            </c:numRef>
          </c:xVal>
          <c:yVal>
            <c:numRef>
              <c:f>'Piles (&lt;=300)'!$R$68</c:f>
              <c:numCache>
                <c:formatCode>0.000</c:formatCode>
                <c:ptCount val="1"/>
              </c:numCache>
            </c:numRef>
          </c:yVal>
          <c:smooth val="0"/>
          <c:extLst>
            <c:ext xmlns:c16="http://schemas.microsoft.com/office/drawing/2014/chart" uri="{C3380CC4-5D6E-409C-BE32-E72D297353CC}">
              <c16:uniqueId val="{00000013-DD37-4F57-BAD8-AE4C5C56F33F}"/>
            </c:ext>
          </c:extLst>
        </c:ser>
        <c:dLbls>
          <c:showLegendKey val="0"/>
          <c:showVal val="0"/>
          <c:showCatName val="0"/>
          <c:showSerName val="0"/>
          <c:showPercent val="0"/>
          <c:showBubbleSize val="0"/>
        </c:dLbls>
        <c:axId val="784460448"/>
        <c:axId val="1"/>
      </c:scatterChart>
      <c:valAx>
        <c:axId val="78446044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X-AXIS (ft.)</a:t>
                </a:r>
              </a:p>
            </c:rich>
          </c:tx>
          <c:layout>
            <c:manualLayout>
              <c:xMode val="edge"/>
              <c:yMode val="edge"/>
              <c:x val="0.49113248124338482"/>
              <c:y val="0.9398162056619020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a:t>Y-AXIS (ft.)</a:t>
                </a:r>
              </a:p>
            </c:rich>
          </c:tx>
          <c:layout>
            <c:manualLayout>
              <c:xMode val="edge"/>
              <c:yMode val="edge"/>
              <c:x val="3.299598065201035E-2"/>
              <c:y val="0.40969374794557789"/>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84460448"/>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sng" strike="noStrike" baseline="0%">
                <a:solidFill>
                  <a:srgbClr val="000000"/>
                </a:solidFill>
                <a:latin typeface="Arial"/>
                <a:ea typeface="Arial"/>
                <a:cs typeface="Arial"/>
              </a:defRPr>
            </a:pPr>
            <a:r>
              <a:rPr lang="en-US"/>
              <a:t>PILE GROUP PLOT</a:t>
            </a:r>
          </a:p>
        </c:rich>
      </c:tx>
      <c:layout>
        <c:manualLayout>
          <c:xMode val="edge"/>
          <c:yMode val="edge"/>
          <c:x val="0.43148590083398147"/>
          <c:y val="9.4453890016271552E-3"/>
        </c:manualLayout>
      </c:layout>
      <c:overlay val="0"/>
      <c:spPr>
        <a:noFill/>
        <a:ln w="25400">
          <a:noFill/>
        </a:ln>
      </c:spPr>
    </c:title>
    <c:autoTitleDeleted val="0"/>
    <c:plotArea>
      <c:layout>
        <c:manualLayout>
          <c:layoutTarget val="inner"/>
          <c:xMode val="edge"/>
          <c:yMode val="edge"/>
          <c:x val="0.12056223699773012"/>
          <c:y val="4.2504250507322199E-2"/>
          <c:w val="0.85408826841549879"/>
          <c:h val="0.844181642020427"/>
        </c:manualLayout>
      </c:layout>
      <c:scatterChart>
        <c:scatterStyle val="lineMarker"/>
        <c:varyColors val="0"/>
        <c:ser>
          <c:idx val="1"/>
          <c:order val="0"/>
          <c:tx>
            <c:v>Pile Locations</c:v>
          </c:tx>
          <c:spPr>
            <a:ln w="19050">
              <a:noFill/>
            </a:ln>
          </c:spPr>
          <c:marker>
            <c:symbol val="circle"/>
            <c:size val="8"/>
            <c:spPr>
              <a:solidFill>
                <a:srgbClr val="FFFFFF"/>
              </a:solidFill>
              <a:ln>
                <a:solidFill>
                  <a:srgbClr val="000000"/>
                </a:solidFill>
                <a:prstDash val="solid"/>
              </a:ln>
            </c:spPr>
          </c:marker>
          <c:xVal>
            <c:numRef>
              <c:f>('Piles (&lt;=300)(metric)'!$B$13:$B$62,'Piles (&lt;=300)(metric)'!$E$13:$E$62,'Piles (&lt;=300)(metric)'!$H$13:$H$62,'Piles (&lt;=300)(metric)'!$K$13:$K$62,'Piles (&lt;=300)(metric)'!$N$13:$N$62,'Piles (&lt;=300)(metric)'!$Q$13:$Q$62)</c:f>
              <c:numCache>
                <c:formatCode>0.000</c:formatCode>
                <c:ptCount val="300"/>
                <c:pt idx="0">
                  <c:v>0</c:v>
                </c:pt>
                <c:pt idx="1">
                  <c:v>0</c:v>
                </c:pt>
                <c:pt idx="2">
                  <c:v>0</c:v>
                </c:pt>
                <c:pt idx="3">
                  <c:v>0</c:v>
                </c:pt>
                <c:pt idx="4">
                  <c:v>0</c:v>
                </c:pt>
                <c:pt idx="5">
                  <c:v>0</c:v>
                </c:pt>
                <c:pt idx="6">
                  <c:v>0</c:v>
                </c:pt>
                <c:pt idx="7">
                  <c:v>0</c:v>
                </c:pt>
                <c:pt idx="8">
                  <c:v>0</c:v>
                </c:pt>
                <c:pt idx="9">
                  <c:v>0</c:v>
                </c:pt>
                <c:pt idx="10">
                  <c:v>0.9144000000000001</c:v>
                </c:pt>
                <c:pt idx="11">
                  <c:v>0.9144000000000001</c:v>
                </c:pt>
                <c:pt idx="12">
                  <c:v>0.9144000000000001</c:v>
                </c:pt>
                <c:pt idx="13">
                  <c:v>0.9144000000000001</c:v>
                </c:pt>
                <c:pt idx="14">
                  <c:v>0.9144000000000001</c:v>
                </c:pt>
                <c:pt idx="15">
                  <c:v>0.9144000000000001</c:v>
                </c:pt>
                <c:pt idx="16">
                  <c:v>0.9144000000000001</c:v>
                </c:pt>
                <c:pt idx="17">
                  <c:v>0.9144000000000001</c:v>
                </c:pt>
                <c:pt idx="18">
                  <c:v>0.9144000000000001</c:v>
                </c:pt>
                <c:pt idx="19">
                  <c:v>0.9144000000000001</c:v>
                </c:pt>
                <c:pt idx="20">
                  <c:v>1.8288000000000002</c:v>
                </c:pt>
                <c:pt idx="21">
                  <c:v>1.8288000000000002</c:v>
                </c:pt>
                <c:pt idx="22">
                  <c:v>1.8288000000000002</c:v>
                </c:pt>
                <c:pt idx="23">
                  <c:v>1.8288000000000002</c:v>
                </c:pt>
                <c:pt idx="24">
                  <c:v>1.8288000000000002</c:v>
                </c:pt>
                <c:pt idx="25">
                  <c:v>1.8288000000000002</c:v>
                </c:pt>
                <c:pt idx="26">
                  <c:v>1.8288000000000002</c:v>
                </c:pt>
                <c:pt idx="27">
                  <c:v>1.8288000000000002</c:v>
                </c:pt>
                <c:pt idx="28">
                  <c:v>1.8288000000000002</c:v>
                </c:pt>
                <c:pt idx="29">
                  <c:v>1.8288000000000002</c:v>
                </c:pt>
                <c:pt idx="30">
                  <c:v>2.7432000000000003</c:v>
                </c:pt>
                <c:pt idx="31">
                  <c:v>2.7432000000000003</c:v>
                </c:pt>
                <c:pt idx="32">
                  <c:v>2.7432000000000003</c:v>
                </c:pt>
                <c:pt idx="33">
                  <c:v>2.7432000000000003</c:v>
                </c:pt>
                <c:pt idx="34">
                  <c:v>2.7432000000000003</c:v>
                </c:pt>
                <c:pt idx="35">
                  <c:v>2.7432000000000003</c:v>
                </c:pt>
                <c:pt idx="36">
                  <c:v>2.7432000000000003</c:v>
                </c:pt>
                <c:pt idx="37">
                  <c:v>2.7432000000000003</c:v>
                </c:pt>
                <c:pt idx="38">
                  <c:v>2.7432000000000003</c:v>
                </c:pt>
                <c:pt idx="39">
                  <c:v>2.7432000000000003</c:v>
                </c:pt>
              </c:numCache>
            </c:numRef>
          </c:xVal>
          <c:yVal>
            <c:numRef>
              <c:f>('Piles (&lt;=300)(metric)'!$C$13:$C$62,'Piles (&lt;=300)(metric)'!$F$13:$F$62,'Piles (&lt;=300)(metric)'!$I$13:$I$62,'Piles (&lt;=300)(metric)'!$L$13:$L$62,'Piles (&lt;=300)(metric)'!$O$13:$O$62,'Piles (&lt;=300)(metric)'!$R$13:$R$62)</c:f>
              <c:numCache>
                <c:formatCode>0.000</c:formatCode>
                <c:ptCount val="300"/>
                <c:pt idx="0">
                  <c:v>0</c:v>
                </c:pt>
                <c:pt idx="1">
                  <c:v>0.9144000000000001</c:v>
                </c:pt>
                <c:pt idx="2">
                  <c:v>1.8288000000000002</c:v>
                </c:pt>
                <c:pt idx="3">
                  <c:v>2.7432000000000003</c:v>
                </c:pt>
                <c:pt idx="4">
                  <c:v>3.6576000000000004</c:v>
                </c:pt>
                <c:pt idx="5">
                  <c:v>4.5720000000000001</c:v>
                </c:pt>
                <c:pt idx="6">
                  <c:v>5.4864000000000006</c:v>
                </c:pt>
                <c:pt idx="7">
                  <c:v>6.4008000000000003</c:v>
                </c:pt>
                <c:pt idx="8">
                  <c:v>7.3152000000000008</c:v>
                </c:pt>
                <c:pt idx="9">
                  <c:v>8.2295999999999996</c:v>
                </c:pt>
                <c:pt idx="10">
                  <c:v>0</c:v>
                </c:pt>
                <c:pt idx="11">
                  <c:v>0.9144000000000001</c:v>
                </c:pt>
                <c:pt idx="12">
                  <c:v>1.8288000000000002</c:v>
                </c:pt>
                <c:pt idx="13">
                  <c:v>2.7432000000000003</c:v>
                </c:pt>
                <c:pt idx="14">
                  <c:v>3.6576000000000004</c:v>
                </c:pt>
                <c:pt idx="15">
                  <c:v>4.5720000000000001</c:v>
                </c:pt>
                <c:pt idx="16">
                  <c:v>5.4864000000000006</c:v>
                </c:pt>
                <c:pt idx="17">
                  <c:v>6.4008000000000003</c:v>
                </c:pt>
                <c:pt idx="18">
                  <c:v>7.3152000000000008</c:v>
                </c:pt>
                <c:pt idx="19">
                  <c:v>8.2295999999999996</c:v>
                </c:pt>
                <c:pt idx="20">
                  <c:v>0</c:v>
                </c:pt>
                <c:pt idx="21">
                  <c:v>0.9144000000000001</c:v>
                </c:pt>
                <c:pt idx="22">
                  <c:v>1.8288000000000002</c:v>
                </c:pt>
                <c:pt idx="23">
                  <c:v>2.7432000000000003</c:v>
                </c:pt>
                <c:pt idx="24">
                  <c:v>3.6576000000000004</c:v>
                </c:pt>
                <c:pt idx="25">
                  <c:v>4.5720000000000001</c:v>
                </c:pt>
                <c:pt idx="26">
                  <c:v>5.4864000000000006</c:v>
                </c:pt>
                <c:pt idx="27">
                  <c:v>6.4008000000000003</c:v>
                </c:pt>
                <c:pt idx="28">
                  <c:v>7.3152000000000008</c:v>
                </c:pt>
                <c:pt idx="29">
                  <c:v>8.2295999999999996</c:v>
                </c:pt>
                <c:pt idx="30">
                  <c:v>0</c:v>
                </c:pt>
                <c:pt idx="31">
                  <c:v>0.9144000000000001</c:v>
                </c:pt>
                <c:pt idx="32">
                  <c:v>1.8288000000000002</c:v>
                </c:pt>
                <c:pt idx="33">
                  <c:v>2.7432000000000003</c:v>
                </c:pt>
                <c:pt idx="34">
                  <c:v>3.6576000000000004</c:v>
                </c:pt>
                <c:pt idx="35">
                  <c:v>4.5720000000000001</c:v>
                </c:pt>
                <c:pt idx="36">
                  <c:v>5.4864000000000006</c:v>
                </c:pt>
                <c:pt idx="37">
                  <c:v>6.4008000000000003</c:v>
                </c:pt>
                <c:pt idx="38">
                  <c:v>7.3152000000000008</c:v>
                </c:pt>
                <c:pt idx="39">
                  <c:v>8.2295999999999996</c:v>
                </c:pt>
              </c:numCache>
            </c:numRef>
          </c:yVal>
          <c:smooth val="0"/>
          <c:extLst>
            <c:ext xmlns:c16="http://schemas.microsoft.com/office/drawing/2014/chart" uri="{C3380CC4-5D6E-409C-BE32-E72D297353CC}">
              <c16:uniqueId val="{00000000-CBF0-43AB-A330-5FEF43734180}"/>
            </c:ext>
          </c:extLst>
        </c:ser>
        <c:ser>
          <c:idx val="0"/>
          <c:order val="1"/>
          <c:tx>
            <c:v>Centroid of Pile Group</c:v>
          </c:tx>
          <c:spPr>
            <a:ln w="19050">
              <a:noFill/>
            </a:ln>
          </c:spPr>
          <c:marker>
            <c:symbol val="plus"/>
            <c:size val="8"/>
            <c:spPr>
              <a:noFill/>
              <a:ln>
                <a:solidFill>
                  <a:srgbClr val="0000FF"/>
                </a:solidFill>
                <a:prstDash val="solid"/>
              </a:ln>
            </c:spPr>
          </c:marker>
          <c:xVal>
            <c:numRef>
              <c:f>'Piles (&lt;=300)(metric)'!$B$82</c:f>
              <c:numCache>
                <c:formatCode>0.000</c:formatCode>
                <c:ptCount val="1"/>
                <c:pt idx="0">
                  <c:v>1.3716000000000006</c:v>
                </c:pt>
              </c:numCache>
            </c:numRef>
          </c:xVal>
          <c:yVal>
            <c:numRef>
              <c:f>'Piles (&lt;=300)(metric)'!$B$83</c:f>
              <c:numCache>
                <c:formatCode>0.000</c:formatCode>
                <c:ptCount val="1"/>
                <c:pt idx="0">
                  <c:v>4.1148000000000016</c:v>
                </c:pt>
              </c:numCache>
            </c:numRef>
          </c:yVal>
          <c:smooth val="0"/>
          <c:extLst>
            <c:ext xmlns:c16="http://schemas.microsoft.com/office/drawing/2014/chart" uri="{C3380CC4-5D6E-409C-BE32-E72D297353CC}">
              <c16:uniqueId val="{00000001-CBF0-43AB-A330-5FEF43734180}"/>
            </c:ext>
          </c:extLst>
        </c:ser>
        <c:ser>
          <c:idx val="2"/>
          <c:order val="2"/>
          <c:tx>
            <c:v>Plot Scale Factors</c:v>
          </c:tx>
          <c:spPr>
            <a:ln w="19050">
              <a:noFill/>
            </a:ln>
          </c:spPr>
          <c:marker>
            <c:symbol val="circle"/>
            <c:size val="5"/>
            <c:spPr>
              <a:solidFill>
                <a:srgbClr val="FFFFFF"/>
              </a:solidFill>
              <a:ln>
                <a:solidFill>
                  <a:srgbClr val="FFFFFF"/>
                </a:solidFill>
                <a:prstDash val="solid"/>
              </a:ln>
            </c:spPr>
          </c:marker>
          <c:xVal>
            <c:numRef>
              <c:f>'Piles (&lt;=300)(metric)'!$AS$4</c:f>
              <c:numCache>
                <c:formatCode>General</c:formatCode>
                <c:ptCount val="1"/>
                <c:pt idx="0">
                  <c:v>3</c:v>
                </c:pt>
              </c:numCache>
            </c:numRef>
          </c:xVal>
          <c:yVal>
            <c:numRef>
              <c:f>'Piles (&lt;=300)(metric)'!$AT$4</c:f>
              <c:numCache>
                <c:formatCode>General</c:formatCode>
                <c:ptCount val="1"/>
                <c:pt idx="0">
                  <c:v>6</c:v>
                </c:pt>
              </c:numCache>
            </c:numRef>
          </c:yVal>
          <c:smooth val="0"/>
          <c:extLst>
            <c:ext xmlns:c16="http://schemas.microsoft.com/office/drawing/2014/chart" uri="{C3380CC4-5D6E-409C-BE32-E72D297353CC}">
              <c16:uniqueId val="{00000002-CBF0-43AB-A330-5FEF43734180}"/>
            </c:ext>
          </c:extLst>
        </c:ser>
        <c:ser>
          <c:idx val="3"/>
          <c:order val="3"/>
          <c:tx>
            <c:v>Pier #1</c:v>
          </c:tx>
          <c:spPr>
            <a:ln w="19050">
              <a:noFill/>
            </a:ln>
          </c:spPr>
          <c:marker>
            <c:symbol val="square"/>
            <c:size val="14"/>
            <c:spPr>
              <a:noFill/>
              <a:ln>
                <a:solidFill>
                  <a:srgbClr val="000000"/>
                </a:solidFill>
                <a:prstDash val="solid"/>
              </a:ln>
            </c:spPr>
          </c:marker>
          <c:xVal>
            <c:numRef>
              <c:f>'Piles (&lt;=300)(metric)'!$B$67</c:f>
              <c:numCache>
                <c:formatCode>0.000</c:formatCode>
                <c:ptCount val="1"/>
                <c:pt idx="0">
                  <c:v>1.3716000000000002</c:v>
                </c:pt>
              </c:numCache>
            </c:numRef>
          </c:xVal>
          <c:yVal>
            <c:numRef>
              <c:f>'Piles (&lt;=300)(metric)'!$B$68</c:f>
              <c:numCache>
                <c:formatCode>0.000</c:formatCode>
                <c:ptCount val="1"/>
                <c:pt idx="0">
                  <c:v>2.7432000000000003</c:v>
                </c:pt>
              </c:numCache>
            </c:numRef>
          </c:yVal>
          <c:smooth val="0"/>
          <c:extLst>
            <c:ext xmlns:c16="http://schemas.microsoft.com/office/drawing/2014/chart" uri="{C3380CC4-5D6E-409C-BE32-E72D297353CC}">
              <c16:uniqueId val="{00000003-CBF0-43AB-A330-5FEF43734180}"/>
            </c:ext>
          </c:extLst>
        </c:ser>
        <c:ser>
          <c:idx val="4"/>
          <c:order val="4"/>
          <c:tx>
            <c:v>Pier #2</c:v>
          </c:tx>
          <c:spPr>
            <a:ln w="19050">
              <a:noFill/>
            </a:ln>
          </c:spPr>
          <c:marker>
            <c:symbol val="square"/>
            <c:size val="14"/>
            <c:spPr>
              <a:noFill/>
              <a:ln>
                <a:solidFill>
                  <a:srgbClr val="000000"/>
                </a:solidFill>
                <a:prstDash val="solid"/>
              </a:ln>
            </c:spPr>
          </c:marker>
          <c:xVal>
            <c:numRef>
              <c:f>'Piles (&lt;=300)(metric)'!$C$67</c:f>
              <c:numCache>
                <c:formatCode>0.000</c:formatCode>
                <c:ptCount val="1"/>
                <c:pt idx="0">
                  <c:v>1.3716000000000002</c:v>
                </c:pt>
              </c:numCache>
            </c:numRef>
          </c:xVal>
          <c:yVal>
            <c:numRef>
              <c:f>'Piles (&lt;=300)(metric)'!$C$68</c:f>
              <c:numCache>
                <c:formatCode>0.000</c:formatCode>
                <c:ptCount val="1"/>
                <c:pt idx="0">
                  <c:v>5.4864000000000006</c:v>
                </c:pt>
              </c:numCache>
            </c:numRef>
          </c:yVal>
          <c:smooth val="0"/>
          <c:extLst>
            <c:ext xmlns:c16="http://schemas.microsoft.com/office/drawing/2014/chart" uri="{C3380CC4-5D6E-409C-BE32-E72D297353CC}">
              <c16:uniqueId val="{00000004-CBF0-43AB-A330-5FEF43734180}"/>
            </c:ext>
          </c:extLst>
        </c:ser>
        <c:ser>
          <c:idx val="5"/>
          <c:order val="5"/>
          <c:tx>
            <c:v>Pier #3</c:v>
          </c:tx>
          <c:spPr>
            <a:ln w="19050">
              <a:noFill/>
            </a:ln>
          </c:spPr>
          <c:marker>
            <c:symbol val="square"/>
            <c:size val="14"/>
            <c:spPr>
              <a:noFill/>
              <a:ln>
                <a:solidFill>
                  <a:srgbClr val="000000"/>
                </a:solidFill>
                <a:prstDash val="solid"/>
              </a:ln>
            </c:spPr>
          </c:marker>
          <c:xVal>
            <c:numRef>
              <c:f>'Piles (&lt;=300)(metric)'!$D$67</c:f>
              <c:numCache>
                <c:formatCode>0.000</c:formatCode>
                <c:ptCount val="1"/>
              </c:numCache>
            </c:numRef>
          </c:xVal>
          <c:yVal>
            <c:numRef>
              <c:f>'Piles (&lt;=300)(metric)'!$D$68</c:f>
              <c:numCache>
                <c:formatCode>0.000</c:formatCode>
                <c:ptCount val="1"/>
              </c:numCache>
            </c:numRef>
          </c:yVal>
          <c:smooth val="0"/>
          <c:extLst>
            <c:ext xmlns:c16="http://schemas.microsoft.com/office/drawing/2014/chart" uri="{C3380CC4-5D6E-409C-BE32-E72D297353CC}">
              <c16:uniqueId val="{00000005-CBF0-43AB-A330-5FEF43734180}"/>
            </c:ext>
          </c:extLst>
        </c:ser>
        <c:ser>
          <c:idx val="6"/>
          <c:order val="6"/>
          <c:tx>
            <c:v>Pier #4</c:v>
          </c:tx>
          <c:spPr>
            <a:ln w="19050">
              <a:noFill/>
            </a:ln>
          </c:spPr>
          <c:marker>
            <c:symbol val="square"/>
            <c:size val="14"/>
            <c:spPr>
              <a:noFill/>
              <a:ln>
                <a:solidFill>
                  <a:srgbClr val="000000"/>
                </a:solidFill>
                <a:prstDash val="solid"/>
              </a:ln>
            </c:spPr>
          </c:marker>
          <c:xVal>
            <c:numRef>
              <c:f>'Piles (&lt;=300)(metric)'!$E$67</c:f>
              <c:numCache>
                <c:formatCode>0.000</c:formatCode>
                <c:ptCount val="1"/>
              </c:numCache>
            </c:numRef>
          </c:xVal>
          <c:yVal>
            <c:numRef>
              <c:f>'Piles (&lt;=300)(metric)'!$E$68</c:f>
              <c:numCache>
                <c:formatCode>0.000</c:formatCode>
                <c:ptCount val="1"/>
              </c:numCache>
            </c:numRef>
          </c:yVal>
          <c:smooth val="0"/>
          <c:extLst>
            <c:ext xmlns:c16="http://schemas.microsoft.com/office/drawing/2014/chart" uri="{C3380CC4-5D6E-409C-BE32-E72D297353CC}">
              <c16:uniqueId val="{00000006-CBF0-43AB-A330-5FEF43734180}"/>
            </c:ext>
          </c:extLst>
        </c:ser>
        <c:ser>
          <c:idx val="7"/>
          <c:order val="7"/>
          <c:tx>
            <c:v>Pier #5</c:v>
          </c:tx>
          <c:spPr>
            <a:ln w="19050">
              <a:noFill/>
            </a:ln>
          </c:spPr>
          <c:marker>
            <c:symbol val="square"/>
            <c:size val="14"/>
            <c:spPr>
              <a:noFill/>
              <a:ln>
                <a:solidFill>
                  <a:srgbClr val="000000"/>
                </a:solidFill>
                <a:prstDash val="solid"/>
              </a:ln>
            </c:spPr>
          </c:marker>
          <c:xVal>
            <c:numRef>
              <c:f>'Piles (&lt;=300)(metric)'!$F$67</c:f>
              <c:numCache>
                <c:formatCode>0.000</c:formatCode>
                <c:ptCount val="1"/>
              </c:numCache>
            </c:numRef>
          </c:xVal>
          <c:yVal>
            <c:numRef>
              <c:f>'Piles (&lt;=300)(metric)'!$F$68</c:f>
              <c:numCache>
                <c:formatCode>0.000</c:formatCode>
                <c:ptCount val="1"/>
              </c:numCache>
            </c:numRef>
          </c:yVal>
          <c:smooth val="0"/>
          <c:extLst>
            <c:ext xmlns:c16="http://schemas.microsoft.com/office/drawing/2014/chart" uri="{C3380CC4-5D6E-409C-BE32-E72D297353CC}">
              <c16:uniqueId val="{00000007-CBF0-43AB-A330-5FEF43734180}"/>
            </c:ext>
          </c:extLst>
        </c:ser>
        <c:ser>
          <c:idx val="8"/>
          <c:order val="8"/>
          <c:tx>
            <c:v>Pier #6</c:v>
          </c:tx>
          <c:spPr>
            <a:ln w="19050">
              <a:noFill/>
            </a:ln>
          </c:spPr>
          <c:marker>
            <c:symbol val="square"/>
            <c:size val="14"/>
            <c:spPr>
              <a:noFill/>
              <a:ln>
                <a:solidFill>
                  <a:srgbClr val="000000"/>
                </a:solidFill>
                <a:prstDash val="solid"/>
              </a:ln>
            </c:spPr>
          </c:marker>
          <c:xVal>
            <c:numRef>
              <c:f>'Piles (&lt;=300)(metric)'!$G$67</c:f>
              <c:numCache>
                <c:formatCode>0.000</c:formatCode>
                <c:ptCount val="1"/>
              </c:numCache>
            </c:numRef>
          </c:xVal>
          <c:yVal>
            <c:numRef>
              <c:f>'Piles (&lt;=300)(metric)'!$G$68</c:f>
              <c:numCache>
                <c:formatCode>0.000</c:formatCode>
                <c:ptCount val="1"/>
              </c:numCache>
            </c:numRef>
          </c:yVal>
          <c:smooth val="0"/>
          <c:extLst>
            <c:ext xmlns:c16="http://schemas.microsoft.com/office/drawing/2014/chart" uri="{C3380CC4-5D6E-409C-BE32-E72D297353CC}">
              <c16:uniqueId val="{00000008-CBF0-43AB-A330-5FEF43734180}"/>
            </c:ext>
          </c:extLst>
        </c:ser>
        <c:ser>
          <c:idx val="9"/>
          <c:order val="9"/>
          <c:tx>
            <c:v>Pier #7</c:v>
          </c:tx>
          <c:spPr>
            <a:ln w="19050">
              <a:noFill/>
            </a:ln>
          </c:spPr>
          <c:marker>
            <c:symbol val="square"/>
            <c:size val="14"/>
            <c:spPr>
              <a:noFill/>
              <a:ln>
                <a:solidFill>
                  <a:srgbClr val="000000"/>
                </a:solidFill>
                <a:prstDash val="solid"/>
              </a:ln>
            </c:spPr>
          </c:marker>
          <c:xVal>
            <c:numRef>
              <c:f>'Piles (&lt;=300)(metric)'!$H$67</c:f>
              <c:numCache>
                <c:formatCode>0.000</c:formatCode>
                <c:ptCount val="1"/>
              </c:numCache>
            </c:numRef>
          </c:xVal>
          <c:yVal>
            <c:numRef>
              <c:f>'Piles (&lt;=300)(metric)'!$H$68</c:f>
              <c:numCache>
                <c:formatCode>0.000</c:formatCode>
                <c:ptCount val="1"/>
              </c:numCache>
            </c:numRef>
          </c:yVal>
          <c:smooth val="0"/>
          <c:extLst>
            <c:ext xmlns:c16="http://schemas.microsoft.com/office/drawing/2014/chart" uri="{C3380CC4-5D6E-409C-BE32-E72D297353CC}">
              <c16:uniqueId val="{00000009-CBF0-43AB-A330-5FEF43734180}"/>
            </c:ext>
          </c:extLst>
        </c:ser>
        <c:ser>
          <c:idx val="10"/>
          <c:order val="10"/>
          <c:tx>
            <c:v>Pier #8</c:v>
          </c:tx>
          <c:spPr>
            <a:ln w="19050">
              <a:noFill/>
            </a:ln>
          </c:spPr>
          <c:marker>
            <c:symbol val="square"/>
            <c:size val="14"/>
            <c:spPr>
              <a:noFill/>
              <a:ln>
                <a:solidFill>
                  <a:srgbClr val="000000"/>
                </a:solidFill>
                <a:prstDash val="solid"/>
              </a:ln>
            </c:spPr>
          </c:marker>
          <c:xVal>
            <c:numRef>
              <c:f>'Piles (&lt;=300)(metric)'!$I$67</c:f>
              <c:numCache>
                <c:formatCode>0.000</c:formatCode>
                <c:ptCount val="1"/>
              </c:numCache>
            </c:numRef>
          </c:xVal>
          <c:yVal>
            <c:numRef>
              <c:f>'Piles (&lt;=300)(metric)'!$I$68</c:f>
              <c:numCache>
                <c:formatCode>0.000</c:formatCode>
                <c:ptCount val="1"/>
              </c:numCache>
            </c:numRef>
          </c:yVal>
          <c:smooth val="0"/>
          <c:extLst>
            <c:ext xmlns:c16="http://schemas.microsoft.com/office/drawing/2014/chart" uri="{C3380CC4-5D6E-409C-BE32-E72D297353CC}">
              <c16:uniqueId val="{0000000A-CBF0-43AB-A330-5FEF43734180}"/>
            </c:ext>
          </c:extLst>
        </c:ser>
        <c:ser>
          <c:idx val="11"/>
          <c:order val="11"/>
          <c:tx>
            <c:v>Pier #9</c:v>
          </c:tx>
          <c:spPr>
            <a:ln w="19050">
              <a:noFill/>
            </a:ln>
          </c:spPr>
          <c:marker>
            <c:symbol val="square"/>
            <c:size val="14"/>
            <c:spPr>
              <a:noFill/>
              <a:ln>
                <a:solidFill>
                  <a:srgbClr val="000000"/>
                </a:solidFill>
                <a:prstDash val="solid"/>
              </a:ln>
            </c:spPr>
          </c:marker>
          <c:xVal>
            <c:numRef>
              <c:f>'Piles (&lt;=300)(metric)'!$J$67</c:f>
              <c:numCache>
                <c:formatCode>0.000</c:formatCode>
                <c:ptCount val="1"/>
              </c:numCache>
            </c:numRef>
          </c:xVal>
          <c:yVal>
            <c:numRef>
              <c:f>'Piles (&lt;=300)(metric)'!$J$68</c:f>
              <c:numCache>
                <c:formatCode>0.000</c:formatCode>
                <c:ptCount val="1"/>
              </c:numCache>
            </c:numRef>
          </c:yVal>
          <c:smooth val="0"/>
          <c:extLst>
            <c:ext xmlns:c16="http://schemas.microsoft.com/office/drawing/2014/chart" uri="{C3380CC4-5D6E-409C-BE32-E72D297353CC}">
              <c16:uniqueId val="{0000000B-CBF0-43AB-A330-5FEF43734180}"/>
            </c:ext>
          </c:extLst>
        </c:ser>
        <c:ser>
          <c:idx val="12"/>
          <c:order val="12"/>
          <c:tx>
            <c:v>Pier #10</c:v>
          </c:tx>
          <c:spPr>
            <a:ln w="19050">
              <a:noFill/>
            </a:ln>
          </c:spPr>
          <c:marker>
            <c:symbol val="square"/>
            <c:size val="14"/>
            <c:spPr>
              <a:noFill/>
              <a:ln>
                <a:solidFill>
                  <a:srgbClr val="000000"/>
                </a:solidFill>
                <a:prstDash val="solid"/>
              </a:ln>
            </c:spPr>
          </c:marker>
          <c:xVal>
            <c:numRef>
              <c:f>'Piles (&lt;=300)(metric)'!$K$67</c:f>
              <c:numCache>
                <c:formatCode>0.000</c:formatCode>
                <c:ptCount val="1"/>
              </c:numCache>
            </c:numRef>
          </c:xVal>
          <c:yVal>
            <c:numRef>
              <c:f>'Piles (&lt;=300)(metric)'!$K$68</c:f>
              <c:numCache>
                <c:formatCode>0.000</c:formatCode>
                <c:ptCount val="1"/>
              </c:numCache>
            </c:numRef>
          </c:yVal>
          <c:smooth val="0"/>
          <c:extLst>
            <c:ext xmlns:c16="http://schemas.microsoft.com/office/drawing/2014/chart" uri="{C3380CC4-5D6E-409C-BE32-E72D297353CC}">
              <c16:uniqueId val="{0000000C-CBF0-43AB-A330-5FEF43734180}"/>
            </c:ext>
          </c:extLst>
        </c:ser>
        <c:ser>
          <c:idx val="13"/>
          <c:order val="13"/>
          <c:tx>
            <c:v>Pier #11</c:v>
          </c:tx>
          <c:spPr>
            <a:ln w="19050">
              <a:noFill/>
            </a:ln>
          </c:spPr>
          <c:marker>
            <c:symbol val="square"/>
            <c:size val="14"/>
            <c:spPr>
              <a:noFill/>
              <a:ln>
                <a:solidFill>
                  <a:srgbClr val="000000"/>
                </a:solidFill>
                <a:prstDash val="solid"/>
              </a:ln>
            </c:spPr>
          </c:marker>
          <c:xVal>
            <c:numRef>
              <c:f>'Piles (&lt;=300)(metric)'!$L$67</c:f>
              <c:numCache>
                <c:formatCode>0.000</c:formatCode>
                <c:ptCount val="1"/>
              </c:numCache>
            </c:numRef>
          </c:xVal>
          <c:yVal>
            <c:numRef>
              <c:f>'Piles (&lt;=300)(metric)'!$L$68</c:f>
              <c:numCache>
                <c:formatCode>0.000</c:formatCode>
                <c:ptCount val="1"/>
              </c:numCache>
            </c:numRef>
          </c:yVal>
          <c:smooth val="0"/>
          <c:extLst>
            <c:ext xmlns:c16="http://schemas.microsoft.com/office/drawing/2014/chart" uri="{C3380CC4-5D6E-409C-BE32-E72D297353CC}">
              <c16:uniqueId val="{0000000D-CBF0-43AB-A330-5FEF43734180}"/>
            </c:ext>
          </c:extLst>
        </c:ser>
        <c:ser>
          <c:idx val="14"/>
          <c:order val="14"/>
          <c:tx>
            <c:v>Pier #12</c:v>
          </c:tx>
          <c:spPr>
            <a:ln w="19050">
              <a:noFill/>
            </a:ln>
          </c:spPr>
          <c:marker>
            <c:symbol val="square"/>
            <c:size val="14"/>
            <c:spPr>
              <a:noFill/>
              <a:ln>
                <a:solidFill>
                  <a:srgbClr val="000000"/>
                </a:solidFill>
                <a:prstDash val="solid"/>
              </a:ln>
            </c:spPr>
          </c:marker>
          <c:xVal>
            <c:numRef>
              <c:f>'Piles (&lt;=300)(metric)'!$M$67</c:f>
              <c:numCache>
                <c:formatCode>0.000</c:formatCode>
                <c:ptCount val="1"/>
              </c:numCache>
            </c:numRef>
          </c:xVal>
          <c:yVal>
            <c:numRef>
              <c:f>'Piles (&lt;=300)(metric)'!$M$68</c:f>
              <c:numCache>
                <c:formatCode>0.000</c:formatCode>
                <c:ptCount val="1"/>
              </c:numCache>
            </c:numRef>
          </c:yVal>
          <c:smooth val="0"/>
          <c:extLst>
            <c:ext xmlns:c16="http://schemas.microsoft.com/office/drawing/2014/chart" uri="{C3380CC4-5D6E-409C-BE32-E72D297353CC}">
              <c16:uniqueId val="{0000000E-CBF0-43AB-A330-5FEF43734180}"/>
            </c:ext>
          </c:extLst>
        </c:ser>
        <c:ser>
          <c:idx val="15"/>
          <c:order val="15"/>
          <c:tx>
            <c:v>Pier #13</c:v>
          </c:tx>
          <c:spPr>
            <a:ln w="19050">
              <a:noFill/>
            </a:ln>
          </c:spPr>
          <c:marker>
            <c:symbol val="square"/>
            <c:size val="14"/>
            <c:spPr>
              <a:noFill/>
              <a:ln>
                <a:solidFill>
                  <a:srgbClr val="000000"/>
                </a:solidFill>
                <a:prstDash val="solid"/>
              </a:ln>
            </c:spPr>
          </c:marker>
          <c:xVal>
            <c:numRef>
              <c:f>'Piles (&lt;=300)(metric)'!$N$67</c:f>
              <c:numCache>
                <c:formatCode>0.000</c:formatCode>
                <c:ptCount val="1"/>
              </c:numCache>
            </c:numRef>
          </c:xVal>
          <c:yVal>
            <c:numRef>
              <c:f>'Piles (&lt;=300)(metric)'!$N$68</c:f>
              <c:numCache>
                <c:formatCode>0.000</c:formatCode>
                <c:ptCount val="1"/>
              </c:numCache>
            </c:numRef>
          </c:yVal>
          <c:smooth val="0"/>
          <c:extLst>
            <c:ext xmlns:c16="http://schemas.microsoft.com/office/drawing/2014/chart" uri="{C3380CC4-5D6E-409C-BE32-E72D297353CC}">
              <c16:uniqueId val="{0000000F-CBF0-43AB-A330-5FEF43734180}"/>
            </c:ext>
          </c:extLst>
        </c:ser>
        <c:ser>
          <c:idx val="16"/>
          <c:order val="16"/>
          <c:tx>
            <c:v>Pier #14</c:v>
          </c:tx>
          <c:spPr>
            <a:ln w="19050">
              <a:noFill/>
            </a:ln>
          </c:spPr>
          <c:marker>
            <c:symbol val="square"/>
            <c:size val="14"/>
            <c:spPr>
              <a:noFill/>
              <a:ln>
                <a:solidFill>
                  <a:srgbClr val="000000"/>
                </a:solidFill>
                <a:prstDash val="solid"/>
              </a:ln>
            </c:spPr>
          </c:marker>
          <c:xVal>
            <c:numRef>
              <c:f>'Piles (&lt;=300)(metric)'!$O$67</c:f>
              <c:numCache>
                <c:formatCode>0.000</c:formatCode>
                <c:ptCount val="1"/>
              </c:numCache>
            </c:numRef>
          </c:xVal>
          <c:yVal>
            <c:numRef>
              <c:f>'Piles (&lt;=300)(metric)'!$O$68</c:f>
              <c:numCache>
                <c:formatCode>0.000</c:formatCode>
                <c:ptCount val="1"/>
              </c:numCache>
            </c:numRef>
          </c:yVal>
          <c:smooth val="0"/>
          <c:extLst>
            <c:ext xmlns:c16="http://schemas.microsoft.com/office/drawing/2014/chart" uri="{C3380CC4-5D6E-409C-BE32-E72D297353CC}">
              <c16:uniqueId val="{00000010-CBF0-43AB-A330-5FEF43734180}"/>
            </c:ext>
          </c:extLst>
        </c:ser>
        <c:ser>
          <c:idx val="17"/>
          <c:order val="17"/>
          <c:tx>
            <c:v>Pier #15</c:v>
          </c:tx>
          <c:spPr>
            <a:ln w="19050">
              <a:noFill/>
            </a:ln>
          </c:spPr>
          <c:marker>
            <c:symbol val="square"/>
            <c:size val="14"/>
            <c:spPr>
              <a:noFill/>
              <a:ln>
                <a:solidFill>
                  <a:srgbClr val="000000"/>
                </a:solidFill>
                <a:prstDash val="solid"/>
              </a:ln>
            </c:spPr>
          </c:marker>
          <c:xVal>
            <c:numRef>
              <c:f>'Piles (&lt;=300)(metric)'!$P$67</c:f>
              <c:numCache>
                <c:formatCode>0.000</c:formatCode>
                <c:ptCount val="1"/>
              </c:numCache>
            </c:numRef>
          </c:xVal>
          <c:yVal>
            <c:numRef>
              <c:f>'Piles (&lt;=300)(metric)'!$P$68</c:f>
              <c:numCache>
                <c:formatCode>0.000</c:formatCode>
                <c:ptCount val="1"/>
              </c:numCache>
            </c:numRef>
          </c:yVal>
          <c:smooth val="0"/>
          <c:extLst>
            <c:ext xmlns:c16="http://schemas.microsoft.com/office/drawing/2014/chart" uri="{C3380CC4-5D6E-409C-BE32-E72D297353CC}">
              <c16:uniqueId val="{00000011-CBF0-43AB-A330-5FEF43734180}"/>
            </c:ext>
          </c:extLst>
        </c:ser>
        <c:ser>
          <c:idx val="18"/>
          <c:order val="18"/>
          <c:tx>
            <c:v>Pier #16</c:v>
          </c:tx>
          <c:spPr>
            <a:ln w="3175">
              <a:solidFill>
                <a:srgbClr val="99CC00"/>
              </a:solidFill>
              <a:prstDash val="solid"/>
            </a:ln>
          </c:spPr>
          <c:marker>
            <c:symbol val="square"/>
            <c:size val="14"/>
            <c:spPr>
              <a:noFill/>
              <a:ln>
                <a:solidFill>
                  <a:srgbClr val="000000"/>
                </a:solidFill>
                <a:prstDash val="solid"/>
              </a:ln>
            </c:spPr>
          </c:marker>
          <c:xVal>
            <c:numRef>
              <c:f>'Piles (&lt;=300)(metric)'!$Q$67</c:f>
              <c:numCache>
                <c:formatCode>0.000</c:formatCode>
                <c:ptCount val="1"/>
              </c:numCache>
            </c:numRef>
          </c:xVal>
          <c:yVal>
            <c:numRef>
              <c:f>'Piles (&lt;=300)(metric)'!$Q$68</c:f>
              <c:numCache>
                <c:formatCode>0.000</c:formatCode>
                <c:ptCount val="1"/>
              </c:numCache>
            </c:numRef>
          </c:yVal>
          <c:smooth val="0"/>
          <c:extLst>
            <c:ext xmlns:c16="http://schemas.microsoft.com/office/drawing/2014/chart" uri="{C3380CC4-5D6E-409C-BE32-E72D297353CC}">
              <c16:uniqueId val="{00000012-CBF0-43AB-A330-5FEF43734180}"/>
            </c:ext>
          </c:extLst>
        </c:ser>
        <c:ser>
          <c:idx val="19"/>
          <c:order val="19"/>
          <c:tx>
            <c:v>Pier #17</c:v>
          </c:tx>
          <c:spPr>
            <a:ln w="19050">
              <a:noFill/>
            </a:ln>
          </c:spPr>
          <c:marker>
            <c:symbol val="square"/>
            <c:size val="14"/>
            <c:spPr>
              <a:noFill/>
              <a:ln>
                <a:solidFill>
                  <a:srgbClr val="000000"/>
                </a:solidFill>
                <a:prstDash val="solid"/>
              </a:ln>
            </c:spPr>
          </c:marker>
          <c:xVal>
            <c:numRef>
              <c:f>'Piles (&lt;=300)(metric)'!$R$67</c:f>
              <c:numCache>
                <c:formatCode>0.000</c:formatCode>
                <c:ptCount val="1"/>
              </c:numCache>
            </c:numRef>
          </c:xVal>
          <c:yVal>
            <c:numRef>
              <c:f>'Piles (&lt;=300)(metric)'!$R$68</c:f>
              <c:numCache>
                <c:formatCode>0.000</c:formatCode>
                <c:ptCount val="1"/>
              </c:numCache>
            </c:numRef>
          </c:yVal>
          <c:smooth val="0"/>
          <c:extLst>
            <c:ext xmlns:c16="http://schemas.microsoft.com/office/drawing/2014/chart" uri="{C3380CC4-5D6E-409C-BE32-E72D297353CC}">
              <c16:uniqueId val="{00000013-CBF0-43AB-A330-5FEF43734180}"/>
            </c:ext>
          </c:extLst>
        </c:ser>
        <c:dLbls>
          <c:showLegendKey val="0"/>
          <c:showVal val="0"/>
          <c:showCatName val="0"/>
          <c:showSerName val="0"/>
          <c:showPercent val="0"/>
          <c:showBubbleSize val="0"/>
        </c:dLbls>
        <c:axId val="784445056"/>
        <c:axId val="1"/>
      </c:scatterChart>
      <c:valAx>
        <c:axId val="7844450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X-AXIS (m)</a:t>
                </a:r>
              </a:p>
            </c:rich>
          </c:tx>
          <c:layout>
            <c:manualLayout>
              <c:xMode val="edge"/>
              <c:yMode val="edge"/>
              <c:x val="0.4898634050644613"/>
              <c:y val="0.9398162056619020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a:t>Y-AXIS (m)</a:t>
                </a:r>
              </a:p>
            </c:rich>
          </c:tx>
          <c:layout>
            <c:manualLayout>
              <c:xMode val="edge"/>
              <c:yMode val="edge"/>
              <c:x val="3.299598065201035E-2"/>
              <c:y val="0.410874421570781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84445056"/>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7.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375" b="1" i="0" u="sng" strike="noStrike" baseline="0%">
                <a:solidFill>
                  <a:srgbClr val="000000"/>
                </a:solidFill>
                <a:latin typeface="Arial"/>
                <a:ea typeface="Arial"/>
                <a:cs typeface="Arial"/>
              </a:defRPr>
            </a:pPr>
            <a:r>
              <a:rPr lang="en-US"/>
              <a:t>PILE GROUP PLOT</a:t>
            </a:r>
          </a:p>
        </c:rich>
      </c:tx>
      <c:layout>
        <c:manualLayout>
          <c:xMode val="edge"/>
          <c:yMode val="edge"/>
          <c:x val="0.45167814807548368"/>
          <c:y val="4.2374204781660228E-3"/>
        </c:manualLayout>
      </c:layout>
      <c:overlay val="0"/>
      <c:spPr>
        <a:noFill/>
        <a:ln w="25400">
          <a:noFill/>
        </a:ln>
      </c:spPr>
    </c:title>
    <c:autoTitleDeleted val="0"/>
    <c:plotArea>
      <c:layout>
        <c:manualLayout>
          <c:layoutTarget val="inner"/>
          <c:xMode val="edge"/>
          <c:yMode val="edge"/>
          <c:x val="9.9844643258791124E-2"/>
          <c:y val="3.6926092738303919E-2"/>
          <c:w val="0.87799892643444888"/>
          <c:h val="0.86080170285029778"/>
        </c:manualLayout>
      </c:layout>
      <c:scatterChart>
        <c:scatterStyle val="lineMarker"/>
        <c:varyColors val="0"/>
        <c:ser>
          <c:idx val="1"/>
          <c:order val="0"/>
          <c:tx>
            <c:v>Pile Locations</c:v>
          </c:tx>
          <c:spPr>
            <a:ln w="19050">
              <a:noFill/>
            </a:ln>
          </c:spPr>
          <c:marker>
            <c:symbol val="circle"/>
            <c:size val="8"/>
            <c:spPr>
              <a:solidFill>
                <a:srgbClr val="FFFFFF"/>
              </a:solidFill>
              <a:ln>
                <a:solidFill>
                  <a:srgbClr val="000000"/>
                </a:solidFill>
                <a:prstDash val="solid"/>
              </a:ln>
            </c:spPr>
          </c:marker>
          <c:xVal>
            <c:numRef>
              <c:f>('Piles (&lt;=400)'!$B$13:$B$62,'Piles (&lt;=400)'!$E$13:$E$62,'Piles (&lt;=400)'!$H$13:$H$62,'Piles (&lt;=400)'!$K$13:$K$62,'Piles (&lt;=400)'!$N$13:$N$62,'Piles (&lt;=400)'!$Q$13:$Q$62,'Piles (&lt;=400)'!$T$13:$T$62,'Piles (&lt;=400)'!$W$13:$W$62)</c:f>
              <c:numCache>
                <c:formatCode>0.000</c:formatCode>
                <c:ptCount val="400"/>
                <c:pt idx="0">
                  <c:v>0</c:v>
                </c:pt>
                <c:pt idx="1">
                  <c:v>0</c:v>
                </c:pt>
                <c:pt idx="2">
                  <c:v>0</c:v>
                </c:pt>
                <c:pt idx="3">
                  <c:v>0</c:v>
                </c:pt>
                <c:pt idx="4">
                  <c:v>0</c:v>
                </c:pt>
                <c:pt idx="5">
                  <c:v>0</c:v>
                </c:pt>
                <c:pt idx="6">
                  <c:v>0</c:v>
                </c:pt>
                <c:pt idx="7">
                  <c:v>0</c:v>
                </c:pt>
                <c:pt idx="8">
                  <c:v>0</c:v>
                </c:pt>
                <c:pt idx="9">
                  <c:v>0</c:v>
                </c:pt>
                <c:pt idx="10">
                  <c:v>3</c:v>
                </c:pt>
                <c:pt idx="11">
                  <c:v>3</c:v>
                </c:pt>
                <c:pt idx="12">
                  <c:v>3</c:v>
                </c:pt>
                <c:pt idx="13">
                  <c:v>3</c:v>
                </c:pt>
                <c:pt idx="14">
                  <c:v>3</c:v>
                </c:pt>
                <c:pt idx="15">
                  <c:v>3</c:v>
                </c:pt>
                <c:pt idx="16">
                  <c:v>3</c:v>
                </c:pt>
                <c:pt idx="17">
                  <c:v>3</c:v>
                </c:pt>
                <c:pt idx="18">
                  <c:v>3</c:v>
                </c:pt>
                <c:pt idx="19">
                  <c:v>3</c:v>
                </c:pt>
                <c:pt idx="20">
                  <c:v>6</c:v>
                </c:pt>
                <c:pt idx="21">
                  <c:v>6</c:v>
                </c:pt>
                <c:pt idx="22">
                  <c:v>6</c:v>
                </c:pt>
                <c:pt idx="23">
                  <c:v>6</c:v>
                </c:pt>
                <c:pt idx="24">
                  <c:v>6</c:v>
                </c:pt>
                <c:pt idx="25">
                  <c:v>6</c:v>
                </c:pt>
                <c:pt idx="26">
                  <c:v>6</c:v>
                </c:pt>
                <c:pt idx="27">
                  <c:v>6</c:v>
                </c:pt>
                <c:pt idx="28">
                  <c:v>6</c:v>
                </c:pt>
                <c:pt idx="29">
                  <c:v>6</c:v>
                </c:pt>
                <c:pt idx="30">
                  <c:v>9</c:v>
                </c:pt>
                <c:pt idx="31">
                  <c:v>9</c:v>
                </c:pt>
                <c:pt idx="32">
                  <c:v>9</c:v>
                </c:pt>
                <c:pt idx="33">
                  <c:v>9</c:v>
                </c:pt>
                <c:pt idx="34">
                  <c:v>9</c:v>
                </c:pt>
                <c:pt idx="35">
                  <c:v>9</c:v>
                </c:pt>
                <c:pt idx="36">
                  <c:v>9</c:v>
                </c:pt>
                <c:pt idx="37">
                  <c:v>9</c:v>
                </c:pt>
                <c:pt idx="38">
                  <c:v>9</c:v>
                </c:pt>
                <c:pt idx="39">
                  <c:v>9</c:v>
                </c:pt>
              </c:numCache>
            </c:numRef>
          </c:xVal>
          <c:yVal>
            <c:numRef>
              <c:f>('Piles (&lt;=400)'!$C$13:$C$62,'Piles (&lt;=400)'!$F$13:$F$62,'Piles (&lt;=400)'!$I$13:$I$62,'Piles (&lt;=400)'!$L$13:$L$62,'Piles (&lt;=400)'!$O$13:$O$62,'Piles (&lt;=400)'!$R$13:$R$62,'Piles (&lt;=400)'!$U$13:$U$62,'Piles (&lt;=400)'!$X$13:$X$62)</c:f>
              <c:numCache>
                <c:formatCode>0.000</c:formatCode>
                <c:ptCount val="400"/>
                <c:pt idx="0">
                  <c:v>0</c:v>
                </c:pt>
                <c:pt idx="1">
                  <c:v>3</c:v>
                </c:pt>
                <c:pt idx="2">
                  <c:v>6</c:v>
                </c:pt>
                <c:pt idx="3">
                  <c:v>9</c:v>
                </c:pt>
                <c:pt idx="4">
                  <c:v>12</c:v>
                </c:pt>
                <c:pt idx="5">
                  <c:v>15</c:v>
                </c:pt>
                <c:pt idx="6">
                  <c:v>18</c:v>
                </c:pt>
                <c:pt idx="7">
                  <c:v>21</c:v>
                </c:pt>
                <c:pt idx="8">
                  <c:v>24</c:v>
                </c:pt>
                <c:pt idx="9">
                  <c:v>27</c:v>
                </c:pt>
                <c:pt idx="10">
                  <c:v>0</c:v>
                </c:pt>
                <c:pt idx="11">
                  <c:v>3</c:v>
                </c:pt>
                <c:pt idx="12">
                  <c:v>6</c:v>
                </c:pt>
                <c:pt idx="13">
                  <c:v>9</c:v>
                </c:pt>
                <c:pt idx="14">
                  <c:v>12</c:v>
                </c:pt>
                <c:pt idx="15">
                  <c:v>15</c:v>
                </c:pt>
                <c:pt idx="16">
                  <c:v>18</c:v>
                </c:pt>
                <c:pt idx="17">
                  <c:v>21</c:v>
                </c:pt>
                <c:pt idx="18">
                  <c:v>24</c:v>
                </c:pt>
                <c:pt idx="19">
                  <c:v>27</c:v>
                </c:pt>
                <c:pt idx="20">
                  <c:v>0</c:v>
                </c:pt>
                <c:pt idx="21">
                  <c:v>3</c:v>
                </c:pt>
                <c:pt idx="22">
                  <c:v>6</c:v>
                </c:pt>
                <c:pt idx="23">
                  <c:v>9</c:v>
                </c:pt>
                <c:pt idx="24">
                  <c:v>12</c:v>
                </c:pt>
                <c:pt idx="25">
                  <c:v>15</c:v>
                </c:pt>
                <c:pt idx="26">
                  <c:v>18</c:v>
                </c:pt>
                <c:pt idx="27">
                  <c:v>21</c:v>
                </c:pt>
                <c:pt idx="28">
                  <c:v>24</c:v>
                </c:pt>
                <c:pt idx="29">
                  <c:v>27</c:v>
                </c:pt>
                <c:pt idx="30">
                  <c:v>0</c:v>
                </c:pt>
                <c:pt idx="31">
                  <c:v>3</c:v>
                </c:pt>
                <c:pt idx="32">
                  <c:v>6</c:v>
                </c:pt>
                <c:pt idx="33">
                  <c:v>9</c:v>
                </c:pt>
                <c:pt idx="34">
                  <c:v>12</c:v>
                </c:pt>
                <c:pt idx="35">
                  <c:v>15</c:v>
                </c:pt>
                <c:pt idx="36">
                  <c:v>18</c:v>
                </c:pt>
                <c:pt idx="37">
                  <c:v>21</c:v>
                </c:pt>
                <c:pt idx="38">
                  <c:v>24</c:v>
                </c:pt>
                <c:pt idx="39">
                  <c:v>27</c:v>
                </c:pt>
              </c:numCache>
            </c:numRef>
          </c:yVal>
          <c:smooth val="0"/>
          <c:extLst>
            <c:ext xmlns:c16="http://schemas.microsoft.com/office/drawing/2014/chart" uri="{C3380CC4-5D6E-409C-BE32-E72D297353CC}">
              <c16:uniqueId val="{00000000-E47B-4DD6-BDEC-B58630F5B46B}"/>
            </c:ext>
          </c:extLst>
        </c:ser>
        <c:ser>
          <c:idx val="0"/>
          <c:order val="1"/>
          <c:tx>
            <c:v>Centroid of Pile Group</c:v>
          </c:tx>
          <c:spPr>
            <a:ln w="19050">
              <a:noFill/>
            </a:ln>
          </c:spPr>
          <c:marker>
            <c:symbol val="plus"/>
            <c:size val="8"/>
            <c:spPr>
              <a:noFill/>
              <a:ln>
                <a:solidFill>
                  <a:srgbClr val="0000FF"/>
                </a:solidFill>
                <a:prstDash val="solid"/>
              </a:ln>
            </c:spPr>
          </c:marker>
          <c:xVal>
            <c:numRef>
              <c:f>'Piles (&lt;=400)'!$B$160</c:f>
              <c:numCache>
                <c:formatCode>0.000</c:formatCode>
                <c:ptCount val="1"/>
                <c:pt idx="0">
                  <c:v>4.5</c:v>
                </c:pt>
              </c:numCache>
            </c:numRef>
          </c:xVal>
          <c:yVal>
            <c:numRef>
              <c:f>'Piles (&lt;=400)'!$B$161</c:f>
              <c:numCache>
                <c:formatCode>0.000</c:formatCode>
                <c:ptCount val="1"/>
                <c:pt idx="0">
                  <c:v>13.5</c:v>
                </c:pt>
              </c:numCache>
            </c:numRef>
          </c:yVal>
          <c:smooth val="0"/>
          <c:extLst>
            <c:ext xmlns:c16="http://schemas.microsoft.com/office/drawing/2014/chart" uri="{C3380CC4-5D6E-409C-BE32-E72D297353CC}">
              <c16:uniqueId val="{00000001-E47B-4DD6-BDEC-B58630F5B46B}"/>
            </c:ext>
          </c:extLst>
        </c:ser>
        <c:ser>
          <c:idx val="2"/>
          <c:order val="2"/>
          <c:tx>
            <c:v>Plot Scale Factors</c:v>
          </c:tx>
          <c:spPr>
            <a:ln w="19050">
              <a:noFill/>
            </a:ln>
          </c:spPr>
          <c:marker>
            <c:symbol val="circle"/>
            <c:size val="5"/>
            <c:spPr>
              <a:solidFill>
                <a:srgbClr val="FFFFFF"/>
              </a:solidFill>
              <a:ln>
                <a:solidFill>
                  <a:srgbClr val="FFFFFF"/>
                </a:solidFill>
                <a:prstDash val="solid"/>
              </a:ln>
            </c:spPr>
          </c:marker>
          <c:xVal>
            <c:numRef>
              <c:f>'Piles (&lt;=400)'!$BE$4</c:f>
              <c:numCache>
                <c:formatCode>General</c:formatCode>
                <c:ptCount val="1"/>
                <c:pt idx="0">
                  <c:v>10</c:v>
                </c:pt>
              </c:numCache>
            </c:numRef>
          </c:xVal>
          <c:yVal>
            <c:numRef>
              <c:f>'Piles (&lt;=400)'!$BF$4</c:f>
              <c:numCache>
                <c:formatCode>General</c:formatCode>
                <c:ptCount val="1"/>
                <c:pt idx="0">
                  <c:v>28</c:v>
                </c:pt>
              </c:numCache>
            </c:numRef>
          </c:yVal>
          <c:smooth val="0"/>
          <c:extLst>
            <c:ext xmlns:c16="http://schemas.microsoft.com/office/drawing/2014/chart" uri="{C3380CC4-5D6E-409C-BE32-E72D297353CC}">
              <c16:uniqueId val="{00000002-E47B-4DD6-BDEC-B58630F5B46B}"/>
            </c:ext>
          </c:extLst>
        </c:ser>
        <c:ser>
          <c:idx val="3"/>
          <c:order val="3"/>
          <c:tx>
            <c:v>Pier #1</c:v>
          </c:tx>
          <c:spPr>
            <a:ln w="19050">
              <a:noFill/>
            </a:ln>
          </c:spPr>
          <c:marker>
            <c:symbol val="square"/>
            <c:size val="14"/>
            <c:spPr>
              <a:noFill/>
              <a:ln>
                <a:solidFill>
                  <a:srgbClr val="000000"/>
                </a:solidFill>
                <a:prstDash val="solid"/>
              </a:ln>
            </c:spPr>
          </c:marker>
          <c:xVal>
            <c:numRef>
              <c:f>'Piles (&lt;=400)'!$B$67</c:f>
              <c:numCache>
                <c:formatCode>0.000</c:formatCode>
                <c:ptCount val="1"/>
                <c:pt idx="0">
                  <c:v>4.5</c:v>
                </c:pt>
              </c:numCache>
            </c:numRef>
          </c:xVal>
          <c:yVal>
            <c:numRef>
              <c:f>'Piles (&lt;=400)'!$B$68</c:f>
              <c:numCache>
                <c:formatCode>0.000</c:formatCode>
                <c:ptCount val="1"/>
                <c:pt idx="0">
                  <c:v>9</c:v>
                </c:pt>
              </c:numCache>
            </c:numRef>
          </c:yVal>
          <c:smooth val="0"/>
          <c:extLst>
            <c:ext xmlns:c16="http://schemas.microsoft.com/office/drawing/2014/chart" uri="{C3380CC4-5D6E-409C-BE32-E72D297353CC}">
              <c16:uniqueId val="{00000003-E47B-4DD6-BDEC-B58630F5B46B}"/>
            </c:ext>
          </c:extLst>
        </c:ser>
        <c:ser>
          <c:idx val="4"/>
          <c:order val="4"/>
          <c:tx>
            <c:v>Pier #2</c:v>
          </c:tx>
          <c:spPr>
            <a:ln w="19050">
              <a:noFill/>
            </a:ln>
          </c:spPr>
          <c:marker>
            <c:symbol val="square"/>
            <c:size val="14"/>
            <c:spPr>
              <a:noFill/>
              <a:ln>
                <a:solidFill>
                  <a:srgbClr val="000000"/>
                </a:solidFill>
                <a:prstDash val="solid"/>
              </a:ln>
            </c:spPr>
          </c:marker>
          <c:xVal>
            <c:numRef>
              <c:f>'Piles (&lt;=400)'!$C$67</c:f>
              <c:numCache>
                <c:formatCode>0.000</c:formatCode>
                <c:ptCount val="1"/>
                <c:pt idx="0">
                  <c:v>4.5</c:v>
                </c:pt>
              </c:numCache>
            </c:numRef>
          </c:xVal>
          <c:yVal>
            <c:numRef>
              <c:f>'Piles (&lt;=400)'!$C$68</c:f>
              <c:numCache>
                <c:formatCode>0.000</c:formatCode>
                <c:ptCount val="1"/>
                <c:pt idx="0">
                  <c:v>18</c:v>
                </c:pt>
              </c:numCache>
            </c:numRef>
          </c:yVal>
          <c:smooth val="0"/>
          <c:extLst>
            <c:ext xmlns:c16="http://schemas.microsoft.com/office/drawing/2014/chart" uri="{C3380CC4-5D6E-409C-BE32-E72D297353CC}">
              <c16:uniqueId val="{00000004-E47B-4DD6-BDEC-B58630F5B46B}"/>
            </c:ext>
          </c:extLst>
        </c:ser>
        <c:ser>
          <c:idx val="5"/>
          <c:order val="5"/>
          <c:tx>
            <c:v>Pier #3</c:v>
          </c:tx>
          <c:spPr>
            <a:ln w="19050">
              <a:noFill/>
            </a:ln>
          </c:spPr>
          <c:marker>
            <c:symbol val="square"/>
            <c:size val="14"/>
            <c:spPr>
              <a:noFill/>
              <a:ln>
                <a:solidFill>
                  <a:srgbClr val="000000"/>
                </a:solidFill>
                <a:prstDash val="solid"/>
              </a:ln>
            </c:spPr>
          </c:marker>
          <c:xVal>
            <c:numRef>
              <c:f>'Piles (&lt;=400)'!$D$67</c:f>
              <c:numCache>
                <c:formatCode>0.000</c:formatCode>
                <c:ptCount val="1"/>
              </c:numCache>
            </c:numRef>
          </c:xVal>
          <c:yVal>
            <c:numRef>
              <c:f>'Piles (&lt;=400)'!$D$68</c:f>
              <c:numCache>
                <c:formatCode>0.000</c:formatCode>
                <c:ptCount val="1"/>
              </c:numCache>
            </c:numRef>
          </c:yVal>
          <c:smooth val="0"/>
          <c:extLst>
            <c:ext xmlns:c16="http://schemas.microsoft.com/office/drawing/2014/chart" uri="{C3380CC4-5D6E-409C-BE32-E72D297353CC}">
              <c16:uniqueId val="{00000005-E47B-4DD6-BDEC-B58630F5B46B}"/>
            </c:ext>
          </c:extLst>
        </c:ser>
        <c:ser>
          <c:idx val="6"/>
          <c:order val="6"/>
          <c:tx>
            <c:v>Pier #4</c:v>
          </c:tx>
          <c:spPr>
            <a:ln w="19050">
              <a:noFill/>
            </a:ln>
          </c:spPr>
          <c:marker>
            <c:symbol val="square"/>
            <c:size val="14"/>
            <c:spPr>
              <a:noFill/>
              <a:ln>
                <a:solidFill>
                  <a:srgbClr val="000000"/>
                </a:solidFill>
                <a:prstDash val="solid"/>
              </a:ln>
            </c:spPr>
          </c:marker>
          <c:xVal>
            <c:numRef>
              <c:f>'Piles (&lt;=400)'!$E$67</c:f>
              <c:numCache>
                <c:formatCode>0.000</c:formatCode>
                <c:ptCount val="1"/>
              </c:numCache>
            </c:numRef>
          </c:xVal>
          <c:yVal>
            <c:numRef>
              <c:f>'Piles (&lt;=400)'!$E$68</c:f>
              <c:numCache>
                <c:formatCode>0.000</c:formatCode>
                <c:ptCount val="1"/>
              </c:numCache>
            </c:numRef>
          </c:yVal>
          <c:smooth val="0"/>
          <c:extLst>
            <c:ext xmlns:c16="http://schemas.microsoft.com/office/drawing/2014/chart" uri="{C3380CC4-5D6E-409C-BE32-E72D297353CC}">
              <c16:uniqueId val="{00000006-E47B-4DD6-BDEC-B58630F5B46B}"/>
            </c:ext>
          </c:extLst>
        </c:ser>
        <c:ser>
          <c:idx val="7"/>
          <c:order val="7"/>
          <c:tx>
            <c:v>Pier #5</c:v>
          </c:tx>
          <c:spPr>
            <a:ln w="19050">
              <a:noFill/>
            </a:ln>
          </c:spPr>
          <c:marker>
            <c:symbol val="square"/>
            <c:size val="14"/>
            <c:spPr>
              <a:noFill/>
              <a:ln>
                <a:solidFill>
                  <a:srgbClr val="000000"/>
                </a:solidFill>
                <a:prstDash val="solid"/>
              </a:ln>
            </c:spPr>
          </c:marker>
          <c:xVal>
            <c:numRef>
              <c:f>'Piles (&lt;=400)'!$F$67</c:f>
              <c:numCache>
                <c:formatCode>0.000</c:formatCode>
                <c:ptCount val="1"/>
              </c:numCache>
            </c:numRef>
          </c:xVal>
          <c:yVal>
            <c:numRef>
              <c:f>'Piles (&lt;=400)'!$F$68</c:f>
              <c:numCache>
                <c:formatCode>0.000</c:formatCode>
                <c:ptCount val="1"/>
              </c:numCache>
            </c:numRef>
          </c:yVal>
          <c:smooth val="0"/>
          <c:extLst>
            <c:ext xmlns:c16="http://schemas.microsoft.com/office/drawing/2014/chart" uri="{C3380CC4-5D6E-409C-BE32-E72D297353CC}">
              <c16:uniqueId val="{00000007-E47B-4DD6-BDEC-B58630F5B46B}"/>
            </c:ext>
          </c:extLst>
        </c:ser>
        <c:ser>
          <c:idx val="8"/>
          <c:order val="8"/>
          <c:tx>
            <c:v>Pier #6</c:v>
          </c:tx>
          <c:spPr>
            <a:ln w="19050">
              <a:noFill/>
            </a:ln>
          </c:spPr>
          <c:marker>
            <c:symbol val="square"/>
            <c:size val="14"/>
            <c:spPr>
              <a:noFill/>
              <a:ln>
                <a:solidFill>
                  <a:srgbClr val="000000"/>
                </a:solidFill>
                <a:prstDash val="solid"/>
              </a:ln>
            </c:spPr>
          </c:marker>
          <c:xVal>
            <c:numRef>
              <c:f>'Piles (&lt;=400)'!$G$67</c:f>
              <c:numCache>
                <c:formatCode>0.000</c:formatCode>
                <c:ptCount val="1"/>
              </c:numCache>
            </c:numRef>
          </c:xVal>
          <c:yVal>
            <c:numRef>
              <c:f>'Piles (&lt;=400)'!$G$68</c:f>
              <c:numCache>
                <c:formatCode>0.000</c:formatCode>
                <c:ptCount val="1"/>
              </c:numCache>
            </c:numRef>
          </c:yVal>
          <c:smooth val="0"/>
          <c:extLst>
            <c:ext xmlns:c16="http://schemas.microsoft.com/office/drawing/2014/chart" uri="{C3380CC4-5D6E-409C-BE32-E72D297353CC}">
              <c16:uniqueId val="{00000008-E47B-4DD6-BDEC-B58630F5B46B}"/>
            </c:ext>
          </c:extLst>
        </c:ser>
        <c:ser>
          <c:idx val="9"/>
          <c:order val="9"/>
          <c:tx>
            <c:v>Pier #7</c:v>
          </c:tx>
          <c:spPr>
            <a:ln w="19050">
              <a:noFill/>
            </a:ln>
          </c:spPr>
          <c:marker>
            <c:symbol val="square"/>
            <c:size val="14"/>
            <c:spPr>
              <a:noFill/>
              <a:ln>
                <a:solidFill>
                  <a:srgbClr val="000000"/>
                </a:solidFill>
                <a:prstDash val="solid"/>
              </a:ln>
            </c:spPr>
          </c:marker>
          <c:xVal>
            <c:numRef>
              <c:f>'Piles (&lt;=400)'!$H$67</c:f>
              <c:numCache>
                <c:formatCode>0.000</c:formatCode>
                <c:ptCount val="1"/>
              </c:numCache>
            </c:numRef>
          </c:xVal>
          <c:yVal>
            <c:numRef>
              <c:f>'Piles (&lt;=400)'!$H$68</c:f>
              <c:numCache>
                <c:formatCode>0.000</c:formatCode>
                <c:ptCount val="1"/>
              </c:numCache>
            </c:numRef>
          </c:yVal>
          <c:smooth val="0"/>
          <c:extLst>
            <c:ext xmlns:c16="http://schemas.microsoft.com/office/drawing/2014/chart" uri="{C3380CC4-5D6E-409C-BE32-E72D297353CC}">
              <c16:uniqueId val="{00000009-E47B-4DD6-BDEC-B58630F5B46B}"/>
            </c:ext>
          </c:extLst>
        </c:ser>
        <c:ser>
          <c:idx val="10"/>
          <c:order val="10"/>
          <c:tx>
            <c:v>Pier #8</c:v>
          </c:tx>
          <c:spPr>
            <a:ln w="19050">
              <a:noFill/>
            </a:ln>
          </c:spPr>
          <c:marker>
            <c:symbol val="square"/>
            <c:size val="14"/>
            <c:spPr>
              <a:noFill/>
              <a:ln>
                <a:solidFill>
                  <a:srgbClr val="000000"/>
                </a:solidFill>
                <a:prstDash val="solid"/>
              </a:ln>
            </c:spPr>
          </c:marker>
          <c:xVal>
            <c:numRef>
              <c:f>'Piles (&lt;=400)'!$I$67</c:f>
              <c:numCache>
                <c:formatCode>0.000</c:formatCode>
                <c:ptCount val="1"/>
              </c:numCache>
            </c:numRef>
          </c:xVal>
          <c:yVal>
            <c:numRef>
              <c:f>'Piles (&lt;=400)'!$I$68</c:f>
              <c:numCache>
                <c:formatCode>0.000</c:formatCode>
                <c:ptCount val="1"/>
              </c:numCache>
            </c:numRef>
          </c:yVal>
          <c:smooth val="0"/>
          <c:extLst>
            <c:ext xmlns:c16="http://schemas.microsoft.com/office/drawing/2014/chart" uri="{C3380CC4-5D6E-409C-BE32-E72D297353CC}">
              <c16:uniqueId val="{0000000A-E47B-4DD6-BDEC-B58630F5B46B}"/>
            </c:ext>
          </c:extLst>
        </c:ser>
        <c:ser>
          <c:idx val="11"/>
          <c:order val="11"/>
          <c:tx>
            <c:v>Pier #9</c:v>
          </c:tx>
          <c:spPr>
            <a:ln w="19050">
              <a:noFill/>
            </a:ln>
          </c:spPr>
          <c:marker>
            <c:symbol val="square"/>
            <c:size val="14"/>
            <c:spPr>
              <a:noFill/>
              <a:ln>
                <a:solidFill>
                  <a:srgbClr val="000000"/>
                </a:solidFill>
                <a:prstDash val="solid"/>
              </a:ln>
            </c:spPr>
          </c:marker>
          <c:xVal>
            <c:numRef>
              <c:f>'Piles (&lt;=400)'!$J$67</c:f>
              <c:numCache>
                <c:formatCode>0.000</c:formatCode>
                <c:ptCount val="1"/>
              </c:numCache>
            </c:numRef>
          </c:xVal>
          <c:yVal>
            <c:numRef>
              <c:f>'Piles (&lt;=400)'!$J$68</c:f>
              <c:numCache>
                <c:formatCode>0.000</c:formatCode>
                <c:ptCount val="1"/>
              </c:numCache>
            </c:numRef>
          </c:yVal>
          <c:smooth val="0"/>
          <c:extLst>
            <c:ext xmlns:c16="http://schemas.microsoft.com/office/drawing/2014/chart" uri="{C3380CC4-5D6E-409C-BE32-E72D297353CC}">
              <c16:uniqueId val="{0000000B-E47B-4DD6-BDEC-B58630F5B46B}"/>
            </c:ext>
          </c:extLst>
        </c:ser>
        <c:ser>
          <c:idx val="12"/>
          <c:order val="12"/>
          <c:tx>
            <c:v>Pier #10</c:v>
          </c:tx>
          <c:spPr>
            <a:ln w="19050">
              <a:noFill/>
            </a:ln>
          </c:spPr>
          <c:marker>
            <c:symbol val="square"/>
            <c:size val="14"/>
            <c:spPr>
              <a:noFill/>
              <a:ln>
                <a:solidFill>
                  <a:srgbClr val="000000"/>
                </a:solidFill>
                <a:prstDash val="solid"/>
              </a:ln>
            </c:spPr>
          </c:marker>
          <c:xVal>
            <c:numRef>
              <c:f>'Piles (&lt;=400)'!$K$67</c:f>
              <c:numCache>
                <c:formatCode>0.000</c:formatCode>
                <c:ptCount val="1"/>
              </c:numCache>
            </c:numRef>
          </c:xVal>
          <c:yVal>
            <c:numRef>
              <c:f>'Piles (&lt;=400)'!$K$68</c:f>
              <c:numCache>
                <c:formatCode>0.000</c:formatCode>
                <c:ptCount val="1"/>
              </c:numCache>
            </c:numRef>
          </c:yVal>
          <c:smooth val="0"/>
          <c:extLst>
            <c:ext xmlns:c16="http://schemas.microsoft.com/office/drawing/2014/chart" uri="{C3380CC4-5D6E-409C-BE32-E72D297353CC}">
              <c16:uniqueId val="{0000000C-E47B-4DD6-BDEC-B58630F5B46B}"/>
            </c:ext>
          </c:extLst>
        </c:ser>
        <c:ser>
          <c:idx val="13"/>
          <c:order val="13"/>
          <c:tx>
            <c:v>Pier #11</c:v>
          </c:tx>
          <c:spPr>
            <a:ln w="19050">
              <a:noFill/>
            </a:ln>
          </c:spPr>
          <c:marker>
            <c:symbol val="square"/>
            <c:size val="14"/>
            <c:spPr>
              <a:noFill/>
              <a:ln>
                <a:solidFill>
                  <a:srgbClr val="000000"/>
                </a:solidFill>
                <a:prstDash val="solid"/>
              </a:ln>
            </c:spPr>
          </c:marker>
          <c:xVal>
            <c:numRef>
              <c:f>'Piles (&lt;=400)'!$L$67</c:f>
              <c:numCache>
                <c:formatCode>0.000</c:formatCode>
                <c:ptCount val="1"/>
              </c:numCache>
            </c:numRef>
          </c:xVal>
          <c:yVal>
            <c:numRef>
              <c:f>'Piles (&lt;=400)'!$L$68</c:f>
              <c:numCache>
                <c:formatCode>0.000</c:formatCode>
                <c:ptCount val="1"/>
              </c:numCache>
            </c:numRef>
          </c:yVal>
          <c:smooth val="0"/>
          <c:extLst>
            <c:ext xmlns:c16="http://schemas.microsoft.com/office/drawing/2014/chart" uri="{C3380CC4-5D6E-409C-BE32-E72D297353CC}">
              <c16:uniqueId val="{0000000D-E47B-4DD6-BDEC-B58630F5B46B}"/>
            </c:ext>
          </c:extLst>
        </c:ser>
        <c:ser>
          <c:idx val="14"/>
          <c:order val="14"/>
          <c:tx>
            <c:v>Pier #12</c:v>
          </c:tx>
          <c:spPr>
            <a:ln w="19050">
              <a:noFill/>
            </a:ln>
          </c:spPr>
          <c:marker>
            <c:symbol val="square"/>
            <c:size val="14"/>
            <c:spPr>
              <a:noFill/>
              <a:ln>
                <a:solidFill>
                  <a:srgbClr val="000000"/>
                </a:solidFill>
                <a:prstDash val="solid"/>
              </a:ln>
            </c:spPr>
          </c:marker>
          <c:xVal>
            <c:numRef>
              <c:f>'Piles (&lt;=400)'!$M$67</c:f>
              <c:numCache>
                <c:formatCode>0.000</c:formatCode>
                <c:ptCount val="1"/>
              </c:numCache>
            </c:numRef>
          </c:xVal>
          <c:yVal>
            <c:numRef>
              <c:f>'Piles (&lt;=400)'!$M$68</c:f>
              <c:numCache>
                <c:formatCode>0.000</c:formatCode>
                <c:ptCount val="1"/>
              </c:numCache>
            </c:numRef>
          </c:yVal>
          <c:smooth val="0"/>
          <c:extLst>
            <c:ext xmlns:c16="http://schemas.microsoft.com/office/drawing/2014/chart" uri="{C3380CC4-5D6E-409C-BE32-E72D297353CC}">
              <c16:uniqueId val="{0000000E-E47B-4DD6-BDEC-B58630F5B46B}"/>
            </c:ext>
          </c:extLst>
        </c:ser>
        <c:ser>
          <c:idx val="15"/>
          <c:order val="15"/>
          <c:tx>
            <c:v>Pier #13</c:v>
          </c:tx>
          <c:spPr>
            <a:ln w="19050">
              <a:noFill/>
            </a:ln>
          </c:spPr>
          <c:marker>
            <c:symbol val="square"/>
            <c:size val="14"/>
            <c:spPr>
              <a:noFill/>
              <a:ln>
                <a:solidFill>
                  <a:srgbClr val="000000"/>
                </a:solidFill>
                <a:prstDash val="solid"/>
              </a:ln>
            </c:spPr>
          </c:marker>
          <c:xVal>
            <c:numRef>
              <c:f>'Piles (&lt;=400)'!$N$67</c:f>
              <c:numCache>
                <c:formatCode>0.000</c:formatCode>
                <c:ptCount val="1"/>
              </c:numCache>
            </c:numRef>
          </c:xVal>
          <c:yVal>
            <c:numRef>
              <c:f>'Piles (&lt;=400)'!$N$68</c:f>
              <c:numCache>
                <c:formatCode>0.000</c:formatCode>
                <c:ptCount val="1"/>
              </c:numCache>
            </c:numRef>
          </c:yVal>
          <c:smooth val="0"/>
          <c:extLst>
            <c:ext xmlns:c16="http://schemas.microsoft.com/office/drawing/2014/chart" uri="{C3380CC4-5D6E-409C-BE32-E72D297353CC}">
              <c16:uniqueId val="{0000000F-E47B-4DD6-BDEC-B58630F5B46B}"/>
            </c:ext>
          </c:extLst>
        </c:ser>
        <c:ser>
          <c:idx val="16"/>
          <c:order val="16"/>
          <c:tx>
            <c:v>Pier #14</c:v>
          </c:tx>
          <c:spPr>
            <a:ln w="19050">
              <a:noFill/>
            </a:ln>
          </c:spPr>
          <c:marker>
            <c:symbol val="square"/>
            <c:size val="14"/>
            <c:spPr>
              <a:noFill/>
              <a:ln>
                <a:solidFill>
                  <a:srgbClr val="000000"/>
                </a:solidFill>
                <a:prstDash val="solid"/>
              </a:ln>
            </c:spPr>
          </c:marker>
          <c:xVal>
            <c:numRef>
              <c:f>'Piles (&lt;=400)'!$O$67</c:f>
              <c:numCache>
                <c:formatCode>0.000</c:formatCode>
                <c:ptCount val="1"/>
              </c:numCache>
            </c:numRef>
          </c:xVal>
          <c:yVal>
            <c:numRef>
              <c:f>'Piles (&lt;=400)'!$O$68</c:f>
              <c:numCache>
                <c:formatCode>0.000</c:formatCode>
                <c:ptCount val="1"/>
              </c:numCache>
            </c:numRef>
          </c:yVal>
          <c:smooth val="0"/>
          <c:extLst>
            <c:ext xmlns:c16="http://schemas.microsoft.com/office/drawing/2014/chart" uri="{C3380CC4-5D6E-409C-BE32-E72D297353CC}">
              <c16:uniqueId val="{00000010-E47B-4DD6-BDEC-B58630F5B46B}"/>
            </c:ext>
          </c:extLst>
        </c:ser>
        <c:ser>
          <c:idx val="17"/>
          <c:order val="17"/>
          <c:tx>
            <c:v>Pier #15</c:v>
          </c:tx>
          <c:spPr>
            <a:ln w="19050">
              <a:noFill/>
            </a:ln>
          </c:spPr>
          <c:marker>
            <c:symbol val="square"/>
            <c:size val="14"/>
            <c:spPr>
              <a:noFill/>
              <a:ln>
                <a:solidFill>
                  <a:srgbClr val="000000"/>
                </a:solidFill>
                <a:prstDash val="solid"/>
              </a:ln>
            </c:spPr>
          </c:marker>
          <c:xVal>
            <c:numRef>
              <c:f>'Piles (&lt;=400)'!$P$67</c:f>
              <c:numCache>
                <c:formatCode>0.000</c:formatCode>
                <c:ptCount val="1"/>
              </c:numCache>
            </c:numRef>
          </c:xVal>
          <c:yVal>
            <c:numRef>
              <c:f>'Piles (&lt;=400)'!$P$68</c:f>
              <c:numCache>
                <c:formatCode>0.000</c:formatCode>
                <c:ptCount val="1"/>
              </c:numCache>
            </c:numRef>
          </c:yVal>
          <c:smooth val="0"/>
          <c:extLst>
            <c:ext xmlns:c16="http://schemas.microsoft.com/office/drawing/2014/chart" uri="{C3380CC4-5D6E-409C-BE32-E72D297353CC}">
              <c16:uniqueId val="{00000011-E47B-4DD6-BDEC-B58630F5B46B}"/>
            </c:ext>
          </c:extLst>
        </c:ser>
        <c:ser>
          <c:idx val="18"/>
          <c:order val="18"/>
          <c:tx>
            <c:v>Pier #16</c:v>
          </c:tx>
          <c:spPr>
            <a:ln w="3175">
              <a:solidFill>
                <a:srgbClr val="99CC00"/>
              </a:solidFill>
              <a:prstDash val="solid"/>
            </a:ln>
          </c:spPr>
          <c:marker>
            <c:symbol val="square"/>
            <c:size val="14"/>
            <c:spPr>
              <a:noFill/>
              <a:ln>
                <a:solidFill>
                  <a:srgbClr val="000000"/>
                </a:solidFill>
                <a:prstDash val="solid"/>
              </a:ln>
            </c:spPr>
          </c:marker>
          <c:xVal>
            <c:numRef>
              <c:f>'Piles (&lt;=400)'!$Q$67</c:f>
              <c:numCache>
                <c:formatCode>0.000</c:formatCode>
                <c:ptCount val="1"/>
              </c:numCache>
            </c:numRef>
          </c:xVal>
          <c:yVal>
            <c:numRef>
              <c:f>'Piles (&lt;=400)'!$Q$68</c:f>
              <c:numCache>
                <c:formatCode>0.000</c:formatCode>
                <c:ptCount val="1"/>
              </c:numCache>
            </c:numRef>
          </c:yVal>
          <c:smooth val="0"/>
          <c:extLst>
            <c:ext xmlns:c16="http://schemas.microsoft.com/office/drawing/2014/chart" uri="{C3380CC4-5D6E-409C-BE32-E72D297353CC}">
              <c16:uniqueId val="{00000012-E47B-4DD6-BDEC-B58630F5B46B}"/>
            </c:ext>
          </c:extLst>
        </c:ser>
        <c:ser>
          <c:idx val="19"/>
          <c:order val="19"/>
          <c:tx>
            <c:v>Pier #17</c:v>
          </c:tx>
          <c:spPr>
            <a:ln w="19050">
              <a:noFill/>
            </a:ln>
          </c:spPr>
          <c:marker>
            <c:symbol val="square"/>
            <c:size val="14"/>
            <c:spPr>
              <a:noFill/>
              <a:ln>
                <a:solidFill>
                  <a:srgbClr val="000000"/>
                </a:solidFill>
                <a:prstDash val="solid"/>
              </a:ln>
            </c:spPr>
          </c:marker>
          <c:xVal>
            <c:numRef>
              <c:f>'Piles (&lt;=400)'!$R$67</c:f>
              <c:numCache>
                <c:formatCode>0.000</c:formatCode>
                <c:ptCount val="1"/>
              </c:numCache>
            </c:numRef>
          </c:xVal>
          <c:yVal>
            <c:numRef>
              <c:f>'Piles (&lt;=400)'!$R$68</c:f>
              <c:numCache>
                <c:formatCode>0.000</c:formatCode>
                <c:ptCount val="1"/>
              </c:numCache>
            </c:numRef>
          </c:yVal>
          <c:smooth val="0"/>
          <c:extLst>
            <c:ext xmlns:c16="http://schemas.microsoft.com/office/drawing/2014/chart" uri="{C3380CC4-5D6E-409C-BE32-E72D297353CC}">
              <c16:uniqueId val="{00000013-E47B-4DD6-BDEC-B58630F5B46B}"/>
            </c:ext>
          </c:extLst>
        </c:ser>
        <c:ser>
          <c:idx val="20"/>
          <c:order val="20"/>
          <c:tx>
            <c:v>Pier #18</c:v>
          </c:tx>
          <c:spPr>
            <a:ln w="19050">
              <a:noFill/>
            </a:ln>
          </c:spPr>
          <c:marker>
            <c:symbol val="square"/>
            <c:size val="14"/>
            <c:spPr>
              <a:noFill/>
              <a:ln>
                <a:solidFill>
                  <a:srgbClr val="000000"/>
                </a:solidFill>
                <a:prstDash val="solid"/>
              </a:ln>
            </c:spPr>
          </c:marker>
          <c:xVal>
            <c:numRef>
              <c:f>'Piles (&lt;=400)'!$S$67</c:f>
              <c:numCache>
                <c:formatCode>0.000</c:formatCode>
                <c:ptCount val="1"/>
              </c:numCache>
            </c:numRef>
          </c:xVal>
          <c:yVal>
            <c:numRef>
              <c:f>'Piles (&lt;=400)'!$S$68</c:f>
              <c:numCache>
                <c:formatCode>0.000</c:formatCode>
                <c:ptCount val="1"/>
              </c:numCache>
            </c:numRef>
          </c:yVal>
          <c:smooth val="0"/>
          <c:extLst>
            <c:ext xmlns:c16="http://schemas.microsoft.com/office/drawing/2014/chart" uri="{C3380CC4-5D6E-409C-BE32-E72D297353CC}">
              <c16:uniqueId val="{00000014-E47B-4DD6-BDEC-B58630F5B46B}"/>
            </c:ext>
          </c:extLst>
        </c:ser>
        <c:ser>
          <c:idx val="21"/>
          <c:order val="21"/>
          <c:tx>
            <c:v>Pier #19</c:v>
          </c:tx>
          <c:spPr>
            <a:ln w="19050">
              <a:noFill/>
            </a:ln>
          </c:spPr>
          <c:marker>
            <c:symbol val="square"/>
            <c:size val="14"/>
            <c:spPr>
              <a:noFill/>
              <a:ln>
                <a:solidFill>
                  <a:srgbClr val="000000"/>
                </a:solidFill>
                <a:prstDash val="solid"/>
              </a:ln>
            </c:spPr>
          </c:marker>
          <c:xVal>
            <c:numRef>
              <c:f>'Piles (&lt;=400)'!$T$67</c:f>
              <c:numCache>
                <c:formatCode>0.000</c:formatCode>
                <c:ptCount val="1"/>
              </c:numCache>
            </c:numRef>
          </c:xVal>
          <c:yVal>
            <c:numRef>
              <c:f>'Piles (&lt;=400)'!$T$68</c:f>
              <c:numCache>
                <c:formatCode>0.000</c:formatCode>
                <c:ptCount val="1"/>
              </c:numCache>
            </c:numRef>
          </c:yVal>
          <c:smooth val="0"/>
          <c:extLst>
            <c:ext xmlns:c16="http://schemas.microsoft.com/office/drawing/2014/chart" uri="{C3380CC4-5D6E-409C-BE32-E72D297353CC}">
              <c16:uniqueId val="{00000015-E47B-4DD6-BDEC-B58630F5B46B}"/>
            </c:ext>
          </c:extLst>
        </c:ser>
        <c:ser>
          <c:idx val="22"/>
          <c:order val="22"/>
          <c:tx>
            <c:v>Pier #20</c:v>
          </c:tx>
          <c:spPr>
            <a:ln w="19050">
              <a:noFill/>
            </a:ln>
          </c:spPr>
          <c:marker>
            <c:symbol val="square"/>
            <c:size val="14"/>
            <c:spPr>
              <a:noFill/>
              <a:ln>
                <a:solidFill>
                  <a:srgbClr val="000000"/>
                </a:solidFill>
                <a:prstDash val="solid"/>
              </a:ln>
            </c:spPr>
          </c:marker>
          <c:xVal>
            <c:numRef>
              <c:f>'Piles (&lt;=400)'!$U$67</c:f>
              <c:numCache>
                <c:formatCode>0.000</c:formatCode>
                <c:ptCount val="1"/>
              </c:numCache>
            </c:numRef>
          </c:xVal>
          <c:yVal>
            <c:numRef>
              <c:f>'Piles (&lt;=400)'!$U$68</c:f>
              <c:numCache>
                <c:formatCode>0.000</c:formatCode>
                <c:ptCount val="1"/>
              </c:numCache>
            </c:numRef>
          </c:yVal>
          <c:smooth val="0"/>
          <c:extLst>
            <c:ext xmlns:c16="http://schemas.microsoft.com/office/drawing/2014/chart" uri="{C3380CC4-5D6E-409C-BE32-E72D297353CC}">
              <c16:uniqueId val="{00000016-E47B-4DD6-BDEC-B58630F5B46B}"/>
            </c:ext>
          </c:extLst>
        </c:ser>
        <c:ser>
          <c:idx val="23"/>
          <c:order val="23"/>
          <c:tx>
            <c:v>Pier #21</c:v>
          </c:tx>
          <c:spPr>
            <a:ln w="19050">
              <a:noFill/>
            </a:ln>
          </c:spPr>
          <c:marker>
            <c:symbol val="square"/>
            <c:size val="14"/>
            <c:spPr>
              <a:noFill/>
              <a:ln>
                <a:solidFill>
                  <a:srgbClr val="000000"/>
                </a:solidFill>
                <a:prstDash val="solid"/>
              </a:ln>
            </c:spPr>
          </c:marker>
          <c:xVal>
            <c:numRef>
              <c:f>'Piles (&lt;=400)'!$V$67</c:f>
              <c:numCache>
                <c:formatCode>0.000</c:formatCode>
                <c:ptCount val="1"/>
              </c:numCache>
            </c:numRef>
          </c:xVal>
          <c:yVal>
            <c:numRef>
              <c:f>'Piles (&lt;=400)'!$V$68</c:f>
              <c:numCache>
                <c:formatCode>0.000</c:formatCode>
                <c:ptCount val="1"/>
              </c:numCache>
            </c:numRef>
          </c:yVal>
          <c:smooth val="0"/>
          <c:extLst>
            <c:ext xmlns:c16="http://schemas.microsoft.com/office/drawing/2014/chart" uri="{C3380CC4-5D6E-409C-BE32-E72D297353CC}">
              <c16:uniqueId val="{00000017-E47B-4DD6-BDEC-B58630F5B46B}"/>
            </c:ext>
          </c:extLst>
        </c:ser>
        <c:ser>
          <c:idx val="24"/>
          <c:order val="24"/>
          <c:tx>
            <c:v>Pier #22</c:v>
          </c:tx>
          <c:spPr>
            <a:ln w="19050">
              <a:noFill/>
            </a:ln>
          </c:spPr>
          <c:marker>
            <c:symbol val="square"/>
            <c:size val="14"/>
            <c:spPr>
              <a:noFill/>
              <a:ln>
                <a:solidFill>
                  <a:srgbClr val="000000"/>
                </a:solidFill>
                <a:prstDash val="solid"/>
              </a:ln>
            </c:spPr>
          </c:marker>
          <c:xVal>
            <c:numRef>
              <c:f>'Piles (&lt;=400)'!$W$67</c:f>
              <c:numCache>
                <c:formatCode>0.000</c:formatCode>
                <c:ptCount val="1"/>
              </c:numCache>
            </c:numRef>
          </c:xVal>
          <c:yVal>
            <c:numRef>
              <c:f>'Piles (&lt;=400)'!$W$68</c:f>
              <c:numCache>
                <c:formatCode>0.000</c:formatCode>
                <c:ptCount val="1"/>
              </c:numCache>
            </c:numRef>
          </c:yVal>
          <c:smooth val="0"/>
          <c:extLst>
            <c:ext xmlns:c16="http://schemas.microsoft.com/office/drawing/2014/chart" uri="{C3380CC4-5D6E-409C-BE32-E72D297353CC}">
              <c16:uniqueId val="{00000018-E47B-4DD6-BDEC-B58630F5B46B}"/>
            </c:ext>
          </c:extLst>
        </c:ser>
        <c:ser>
          <c:idx val="25"/>
          <c:order val="25"/>
          <c:tx>
            <c:v>Pier #23</c:v>
          </c:tx>
          <c:spPr>
            <a:ln w="19050">
              <a:noFill/>
            </a:ln>
          </c:spPr>
          <c:marker>
            <c:symbol val="square"/>
            <c:size val="14"/>
            <c:spPr>
              <a:noFill/>
              <a:ln>
                <a:solidFill>
                  <a:srgbClr val="000000"/>
                </a:solidFill>
                <a:prstDash val="solid"/>
              </a:ln>
            </c:spPr>
          </c:marker>
          <c:xVal>
            <c:numRef>
              <c:f>'Piles (&lt;=400)'!$X$67</c:f>
              <c:numCache>
                <c:formatCode>0.000</c:formatCode>
                <c:ptCount val="1"/>
              </c:numCache>
            </c:numRef>
          </c:xVal>
          <c:yVal>
            <c:numRef>
              <c:f>'Piles (&lt;=400)'!$X$68</c:f>
              <c:numCache>
                <c:formatCode>0.000</c:formatCode>
                <c:ptCount val="1"/>
              </c:numCache>
            </c:numRef>
          </c:yVal>
          <c:smooth val="0"/>
          <c:extLst>
            <c:ext xmlns:c16="http://schemas.microsoft.com/office/drawing/2014/chart" uri="{C3380CC4-5D6E-409C-BE32-E72D297353CC}">
              <c16:uniqueId val="{00000019-E47B-4DD6-BDEC-B58630F5B46B}"/>
            </c:ext>
          </c:extLst>
        </c:ser>
        <c:dLbls>
          <c:showLegendKey val="0"/>
          <c:showVal val="0"/>
          <c:showCatName val="0"/>
          <c:showSerName val="0"/>
          <c:showPercent val="0"/>
          <c:showBubbleSize val="0"/>
        </c:dLbls>
        <c:axId val="784444640"/>
        <c:axId val="1"/>
      </c:scatterChart>
      <c:valAx>
        <c:axId val="784444640"/>
        <c:scaling>
          <c:orientation val="minMax"/>
        </c:scaling>
        <c:delete val="0"/>
        <c:axPos val="b"/>
        <c:title>
          <c:tx>
            <c:rich>
              <a:bodyPr/>
              <a:lstStyle/>
              <a:p>
                <a:pPr>
                  <a:defRPr sz="1975" b="1" i="0" u="none" strike="noStrike" baseline="0%">
                    <a:solidFill>
                      <a:srgbClr val="000000"/>
                    </a:solidFill>
                    <a:latin typeface="Arial"/>
                    <a:ea typeface="Arial"/>
                    <a:cs typeface="Arial"/>
                  </a:defRPr>
                </a:pPr>
                <a:r>
                  <a:rPr lang="en-US"/>
                  <a:t>X-AXIS (ft.)</a:t>
                </a:r>
              </a:p>
            </c:rich>
          </c:tx>
          <c:layout>
            <c:manualLayout>
              <c:xMode val="edge"/>
              <c:yMode val="edge"/>
              <c:x val="0.49024248118602209"/>
              <c:y val="0.963105140108877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975"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title>
          <c:tx>
            <c:rich>
              <a:bodyPr/>
              <a:lstStyle/>
              <a:p>
                <a:pPr>
                  <a:defRPr sz="1975" b="1" i="0" u="none" strike="noStrike" baseline="0%">
                    <a:solidFill>
                      <a:srgbClr val="000000"/>
                    </a:solidFill>
                    <a:latin typeface="Arial"/>
                    <a:ea typeface="Arial"/>
                    <a:cs typeface="Arial"/>
                  </a:defRPr>
                </a:pPr>
                <a:r>
                  <a:rPr lang="en-US"/>
                  <a:t>Y-AXIS (ft.)</a:t>
                </a:r>
              </a:p>
            </c:rich>
          </c:tx>
          <c:layout>
            <c:manualLayout>
              <c:xMode val="edge"/>
              <c:yMode val="edge"/>
              <c:x val="2.0602862894671184E-2"/>
              <c:y val="0.4122404779472945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975" b="0" i="0" u="none" strike="noStrike" baseline="0%">
                <a:solidFill>
                  <a:srgbClr val="000000"/>
                </a:solidFill>
                <a:latin typeface="Arial"/>
                <a:ea typeface="Arial"/>
                <a:cs typeface="Arial"/>
              </a:defRPr>
            </a:pPr>
            <a:endParaRPr lang="en-US"/>
          </a:p>
        </c:txPr>
        <c:crossAx val="784444640"/>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FFFFFF"/>
    </a:solidFill>
    <a:ln w="6350">
      <a:noFill/>
    </a:ln>
  </c:spPr>
  <c:txPr>
    <a:bodyPr/>
    <a:lstStyle/>
    <a:p>
      <a:pPr>
        <a:defRPr sz="3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375" b="1" i="0" u="sng" strike="noStrike" baseline="0%">
                <a:solidFill>
                  <a:srgbClr val="000000"/>
                </a:solidFill>
                <a:latin typeface="Arial"/>
                <a:ea typeface="Arial"/>
                <a:cs typeface="Arial"/>
              </a:defRPr>
            </a:pPr>
            <a:r>
              <a:rPr lang="en-US"/>
              <a:t>PILE GROUP PLOT</a:t>
            </a:r>
          </a:p>
        </c:rich>
      </c:tx>
      <c:layout>
        <c:manualLayout>
          <c:xMode val="edge"/>
          <c:yMode val="edge"/>
          <c:x val="0.45143972038511454"/>
          <c:y val="4.2374204781660228E-3"/>
        </c:manualLayout>
      </c:layout>
      <c:overlay val="0"/>
      <c:spPr>
        <a:noFill/>
        <a:ln w="25400">
          <a:noFill/>
        </a:ln>
      </c:spPr>
    </c:title>
    <c:autoTitleDeleted val="0"/>
    <c:plotArea>
      <c:layout>
        <c:manualLayout>
          <c:layoutTarget val="inner"/>
          <c:xMode val="edge"/>
          <c:yMode val="edge"/>
          <c:x val="9.0287944077022925E-2"/>
          <c:y val="3.4504709607923331E-2"/>
          <c:w val="0.89231944731092816"/>
          <c:h val="0.86322308598067832"/>
        </c:manualLayout>
      </c:layout>
      <c:scatterChart>
        <c:scatterStyle val="lineMarker"/>
        <c:varyColors val="0"/>
        <c:ser>
          <c:idx val="1"/>
          <c:order val="0"/>
          <c:tx>
            <c:v>Pile Locations</c:v>
          </c:tx>
          <c:spPr>
            <a:ln w="19050">
              <a:noFill/>
            </a:ln>
          </c:spPr>
          <c:marker>
            <c:symbol val="circle"/>
            <c:size val="8"/>
            <c:spPr>
              <a:solidFill>
                <a:srgbClr val="FFFFFF"/>
              </a:solidFill>
              <a:ln>
                <a:solidFill>
                  <a:srgbClr val="000000"/>
                </a:solidFill>
                <a:prstDash val="solid"/>
              </a:ln>
            </c:spPr>
          </c:marker>
          <c:xVal>
            <c:numRef>
              <c:f>('Piles (&lt;=400)(metric)'!$B$13:$B$62,'Piles (&lt;=400)(metric)'!$E$13:$E$62,'Piles (&lt;=400)(metric)'!$H$13:$H$62,'Piles (&lt;=400)(metric)'!$K$13:$K$62,'Piles (&lt;=400)(metric)'!$N$13:$N$62,'Piles (&lt;=400)(metric)'!$Q$13:$Q$62,'Piles (&lt;=400)(metric)'!$T$13:$T$62,'Piles (&lt;=400)(metric)'!$W$13:$W$62)</c:f>
              <c:numCache>
                <c:formatCode>0.000</c:formatCode>
                <c:ptCount val="400"/>
                <c:pt idx="0">
                  <c:v>0</c:v>
                </c:pt>
                <c:pt idx="1">
                  <c:v>0</c:v>
                </c:pt>
                <c:pt idx="2">
                  <c:v>0</c:v>
                </c:pt>
                <c:pt idx="3">
                  <c:v>0</c:v>
                </c:pt>
                <c:pt idx="4">
                  <c:v>0</c:v>
                </c:pt>
                <c:pt idx="5">
                  <c:v>0</c:v>
                </c:pt>
                <c:pt idx="6">
                  <c:v>0</c:v>
                </c:pt>
                <c:pt idx="7">
                  <c:v>0</c:v>
                </c:pt>
                <c:pt idx="8">
                  <c:v>0</c:v>
                </c:pt>
                <c:pt idx="9">
                  <c:v>0</c:v>
                </c:pt>
                <c:pt idx="10">
                  <c:v>0.9144000000000001</c:v>
                </c:pt>
                <c:pt idx="11">
                  <c:v>0.9144000000000001</c:v>
                </c:pt>
                <c:pt idx="12">
                  <c:v>0.9144000000000001</c:v>
                </c:pt>
                <c:pt idx="13">
                  <c:v>0.9144000000000001</c:v>
                </c:pt>
                <c:pt idx="14">
                  <c:v>0.9144000000000001</c:v>
                </c:pt>
                <c:pt idx="15">
                  <c:v>0.9144000000000001</c:v>
                </c:pt>
                <c:pt idx="16">
                  <c:v>0.9144000000000001</c:v>
                </c:pt>
                <c:pt idx="17">
                  <c:v>0.9144000000000001</c:v>
                </c:pt>
                <c:pt idx="18">
                  <c:v>0.9144000000000001</c:v>
                </c:pt>
                <c:pt idx="19">
                  <c:v>0.9144000000000001</c:v>
                </c:pt>
                <c:pt idx="20">
                  <c:v>1.8288000000000002</c:v>
                </c:pt>
                <c:pt idx="21">
                  <c:v>1.8288000000000002</c:v>
                </c:pt>
                <c:pt idx="22">
                  <c:v>1.8288000000000002</c:v>
                </c:pt>
                <c:pt idx="23">
                  <c:v>1.8288000000000002</c:v>
                </c:pt>
                <c:pt idx="24">
                  <c:v>1.8288000000000002</c:v>
                </c:pt>
                <c:pt idx="25">
                  <c:v>1.8288000000000002</c:v>
                </c:pt>
                <c:pt idx="26">
                  <c:v>1.8288000000000002</c:v>
                </c:pt>
                <c:pt idx="27">
                  <c:v>1.8288000000000002</c:v>
                </c:pt>
                <c:pt idx="28">
                  <c:v>1.8288000000000002</c:v>
                </c:pt>
                <c:pt idx="29">
                  <c:v>1.8288000000000002</c:v>
                </c:pt>
                <c:pt idx="30">
                  <c:v>2.7432000000000003</c:v>
                </c:pt>
                <c:pt idx="31">
                  <c:v>2.7432000000000003</c:v>
                </c:pt>
                <c:pt idx="32">
                  <c:v>2.7432000000000003</c:v>
                </c:pt>
                <c:pt idx="33">
                  <c:v>2.7432000000000003</c:v>
                </c:pt>
                <c:pt idx="34">
                  <c:v>2.7432000000000003</c:v>
                </c:pt>
                <c:pt idx="35">
                  <c:v>2.7432000000000003</c:v>
                </c:pt>
                <c:pt idx="36">
                  <c:v>2.7432000000000003</c:v>
                </c:pt>
                <c:pt idx="37">
                  <c:v>2.7432000000000003</c:v>
                </c:pt>
                <c:pt idx="38">
                  <c:v>2.7432000000000003</c:v>
                </c:pt>
                <c:pt idx="39">
                  <c:v>2.7432000000000003</c:v>
                </c:pt>
              </c:numCache>
            </c:numRef>
          </c:xVal>
          <c:yVal>
            <c:numRef>
              <c:f>('Piles (&lt;=400)(metric)'!$C$13:$C$62,'Piles (&lt;=400)(metric)'!$F$13:$F$62,'Piles (&lt;=400)(metric)'!$I$13:$I$62,'Piles (&lt;=400)(metric)'!$L$13:$L$62,'Piles (&lt;=400)(metric)'!$O$13:$O$62,'Piles (&lt;=400)(metric)'!$R$13:$R$62,'Piles (&lt;=400)(metric)'!$U$13:$U$62,'Piles (&lt;=400)(metric)'!$X$13:$X$62)</c:f>
              <c:numCache>
                <c:formatCode>0.000</c:formatCode>
                <c:ptCount val="400"/>
                <c:pt idx="0">
                  <c:v>0</c:v>
                </c:pt>
                <c:pt idx="1">
                  <c:v>0.9144000000000001</c:v>
                </c:pt>
                <c:pt idx="2">
                  <c:v>1.8288000000000002</c:v>
                </c:pt>
                <c:pt idx="3">
                  <c:v>2.7432000000000003</c:v>
                </c:pt>
                <c:pt idx="4">
                  <c:v>3.6576000000000004</c:v>
                </c:pt>
                <c:pt idx="5">
                  <c:v>4.5720000000000001</c:v>
                </c:pt>
                <c:pt idx="6">
                  <c:v>5.4864000000000006</c:v>
                </c:pt>
                <c:pt idx="7">
                  <c:v>6.4008000000000003</c:v>
                </c:pt>
                <c:pt idx="8">
                  <c:v>7.3152000000000008</c:v>
                </c:pt>
                <c:pt idx="9">
                  <c:v>8.2295999999999996</c:v>
                </c:pt>
                <c:pt idx="10">
                  <c:v>0</c:v>
                </c:pt>
                <c:pt idx="11">
                  <c:v>0.9144000000000001</c:v>
                </c:pt>
                <c:pt idx="12">
                  <c:v>1.8288000000000002</c:v>
                </c:pt>
                <c:pt idx="13">
                  <c:v>2.7432000000000003</c:v>
                </c:pt>
                <c:pt idx="14">
                  <c:v>3.6576000000000004</c:v>
                </c:pt>
                <c:pt idx="15">
                  <c:v>4.5720000000000001</c:v>
                </c:pt>
                <c:pt idx="16">
                  <c:v>5.4864000000000006</c:v>
                </c:pt>
                <c:pt idx="17">
                  <c:v>6.4008000000000003</c:v>
                </c:pt>
                <c:pt idx="18">
                  <c:v>7.3152000000000008</c:v>
                </c:pt>
                <c:pt idx="19">
                  <c:v>8.2295999999999996</c:v>
                </c:pt>
                <c:pt idx="20">
                  <c:v>0</c:v>
                </c:pt>
                <c:pt idx="21">
                  <c:v>0.9144000000000001</c:v>
                </c:pt>
                <c:pt idx="22">
                  <c:v>1.8288000000000002</c:v>
                </c:pt>
                <c:pt idx="23">
                  <c:v>2.7432000000000003</c:v>
                </c:pt>
                <c:pt idx="24">
                  <c:v>3.6576000000000004</c:v>
                </c:pt>
                <c:pt idx="25">
                  <c:v>4.5720000000000001</c:v>
                </c:pt>
                <c:pt idx="26">
                  <c:v>5.4864000000000006</c:v>
                </c:pt>
                <c:pt idx="27">
                  <c:v>6.4008000000000003</c:v>
                </c:pt>
                <c:pt idx="28">
                  <c:v>7.3152000000000008</c:v>
                </c:pt>
                <c:pt idx="29">
                  <c:v>8.2295999999999996</c:v>
                </c:pt>
                <c:pt idx="30">
                  <c:v>0</c:v>
                </c:pt>
                <c:pt idx="31">
                  <c:v>0.9144000000000001</c:v>
                </c:pt>
                <c:pt idx="32">
                  <c:v>1.8288000000000002</c:v>
                </c:pt>
                <c:pt idx="33">
                  <c:v>2.7432000000000003</c:v>
                </c:pt>
                <c:pt idx="34">
                  <c:v>3.6576000000000004</c:v>
                </c:pt>
                <c:pt idx="35">
                  <c:v>4.5720000000000001</c:v>
                </c:pt>
                <c:pt idx="36">
                  <c:v>5.4864000000000006</c:v>
                </c:pt>
                <c:pt idx="37">
                  <c:v>6.4008000000000003</c:v>
                </c:pt>
                <c:pt idx="38">
                  <c:v>7.3152000000000008</c:v>
                </c:pt>
                <c:pt idx="39">
                  <c:v>8.2295999999999996</c:v>
                </c:pt>
              </c:numCache>
            </c:numRef>
          </c:yVal>
          <c:smooth val="0"/>
          <c:extLst>
            <c:ext xmlns:c16="http://schemas.microsoft.com/office/drawing/2014/chart" uri="{C3380CC4-5D6E-409C-BE32-E72D297353CC}">
              <c16:uniqueId val="{00000000-744C-48DB-B677-6E63853A834C}"/>
            </c:ext>
          </c:extLst>
        </c:ser>
        <c:ser>
          <c:idx val="0"/>
          <c:order val="1"/>
          <c:tx>
            <c:v>Centroid of Pile Group</c:v>
          </c:tx>
          <c:spPr>
            <a:ln w="19050">
              <a:noFill/>
            </a:ln>
          </c:spPr>
          <c:marker>
            <c:symbol val="plus"/>
            <c:size val="8"/>
            <c:spPr>
              <a:noFill/>
              <a:ln>
                <a:solidFill>
                  <a:srgbClr val="0000FF"/>
                </a:solidFill>
                <a:prstDash val="solid"/>
              </a:ln>
            </c:spPr>
          </c:marker>
          <c:xVal>
            <c:numRef>
              <c:f>'Piles (&lt;=400)(metric)'!$B$160</c:f>
              <c:numCache>
                <c:formatCode>0.000</c:formatCode>
                <c:ptCount val="1"/>
                <c:pt idx="0">
                  <c:v>1.3716000000000006</c:v>
                </c:pt>
              </c:numCache>
            </c:numRef>
          </c:xVal>
          <c:yVal>
            <c:numRef>
              <c:f>'Piles (&lt;=400)(metric)'!$B$161</c:f>
              <c:numCache>
                <c:formatCode>0.000</c:formatCode>
                <c:ptCount val="1"/>
                <c:pt idx="0">
                  <c:v>4.1148000000000016</c:v>
                </c:pt>
              </c:numCache>
            </c:numRef>
          </c:yVal>
          <c:smooth val="0"/>
          <c:extLst>
            <c:ext xmlns:c16="http://schemas.microsoft.com/office/drawing/2014/chart" uri="{C3380CC4-5D6E-409C-BE32-E72D297353CC}">
              <c16:uniqueId val="{00000001-744C-48DB-B677-6E63853A834C}"/>
            </c:ext>
          </c:extLst>
        </c:ser>
        <c:ser>
          <c:idx val="2"/>
          <c:order val="2"/>
          <c:tx>
            <c:v>Plot Scale Factors</c:v>
          </c:tx>
          <c:spPr>
            <a:ln w="19050">
              <a:noFill/>
            </a:ln>
          </c:spPr>
          <c:marker>
            <c:symbol val="circle"/>
            <c:size val="5"/>
            <c:spPr>
              <a:solidFill>
                <a:srgbClr val="FFFFFF"/>
              </a:solidFill>
              <a:ln>
                <a:solidFill>
                  <a:srgbClr val="FFFFFF"/>
                </a:solidFill>
                <a:prstDash val="solid"/>
              </a:ln>
            </c:spPr>
          </c:marker>
          <c:xVal>
            <c:numRef>
              <c:f>'Piles (&lt;=400)(metric)'!$BE$4</c:f>
              <c:numCache>
                <c:formatCode>General</c:formatCode>
                <c:ptCount val="1"/>
                <c:pt idx="0">
                  <c:v>3</c:v>
                </c:pt>
              </c:numCache>
            </c:numRef>
          </c:xVal>
          <c:yVal>
            <c:numRef>
              <c:f>'Piles (&lt;=400)(metric)'!$BF$4</c:f>
              <c:numCache>
                <c:formatCode>General</c:formatCode>
                <c:ptCount val="1"/>
                <c:pt idx="0">
                  <c:v>8</c:v>
                </c:pt>
              </c:numCache>
            </c:numRef>
          </c:yVal>
          <c:smooth val="0"/>
          <c:extLst>
            <c:ext xmlns:c16="http://schemas.microsoft.com/office/drawing/2014/chart" uri="{C3380CC4-5D6E-409C-BE32-E72D297353CC}">
              <c16:uniqueId val="{00000002-744C-48DB-B677-6E63853A834C}"/>
            </c:ext>
          </c:extLst>
        </c:ser>
        <c:ser>
          <c:idx val="3"/>
          <c:order val="3"/>
          <c:tx>
            <c:v>Pier #1</c:v>
          </c:tx>
          <c:spPr>
            <a:ln w="19050">
              <a:noFill/>
            </a:ln>
          </c:spPr>
          <c:marker>
            <c:symbol val="square"/>
            <c:size val="14"/>
            <c:spPr>
              <a:noFill/>
              <a:ln>
                <a:solidFill>
                  <a:srgbClr val="000000"/>
                </a:solidFill>
                <a:prstDash val="solid"/>
              </a:ln>
            </c:spPr>
          </c:marker>
          <c:xVal>
            <c:numRef>
              <c:f>'Piles (&lt;=400)(metric)'!$B$67</c:f>
              <c:numCache>
                <c:formatCode>0.000</c:formatCode>
                <c:ptCount val="1"/>
                <c:pt idx="0">
                  <c:v>1.3716000000000002</c:v>
                </c:pt>
              </c:numCache>
            </c:numRef>
          </c:xVal>
          <c:yVal>
            <c:numRef>
              <c:f>'Piles (&lt;=400)(metric)'!$B$68</c:f>
              <c:numCache>
                <c:formatCode>0.000</c:formatCode>
                <c:ptCount val="1"/>
                <c:pt idx="0">
                  <c:v>2.7432000000000003</c:v>
                </c:pt>
              </c:numCache>
            </c:numRef>
          </c:yVal>
          <c:smooth val="0"/>
          <c:extLst>
            <c:ext xmlns:c16="http://schemas.microsoft.com/office/drawing/2014/chart" uri="{C3380CC4-5D6E-409C-BE32-E72D297353CC}">
              <c16:uniqueId val="{00000003-744C-48DB-B677-6E63853A834C}"/>
            </c:ext>
          </c:extLst>
        </c:ser>
        <c:ser>
          <c:idx val="4"/>
          <c:order val="4"/>
          <c:tx>
            <c:v>Pier #2</c:v>
          </c:tx>
          <c:spPr>
            <a:ln w="19050">
              <a:noFill/>
            </a:ln>
          </c:spPr>
          <c:marker>
            <c:symbol val="square"/>
            <c:size val="14"/>
            <c:spPr>
              <a:noFill/>
              <a:ln>
                <a:solidFill>
                  <a:srgbClr val="000000"/>
                </a:solidFill>
                <a:prstDash val="solid"/>
              </a:ln>
            </c:spPr>
          </c:marker>
          <c:xVal>
            <c:numRef>
              <c:f>'Piles (&lt;=400)(metric)'!$C$67</c:f>
              <c:numCache>
                <c:formatCode>0.000</c:formatCode>
                <c:ptCount val="1"/>
                <c:pt idx="0">
                  <c:v>1.3716000000000002</c:v>
                </c:pt>
              </c:numCache>
            </c:numRef>
          </c:xVal>
          <c:yVal>
            <c:numRef>
              <c:f>'Piles (&lt;=400)(metric)'!$C$68</c:f>
              <c:numCache>
                <c:formatCode>0.000</c:formatCode>
                <c:ptCount val="1"/>
                <c:pt idx="0">
                  <c:v>5.4864000000000006</c:v>
                </c:pt>
              </c:numCache>
            </c:numRef>
          </c:yVal>
          <c:smooth val="0"/>
          <c:extLst>
            <c:ext xmlns:c16="http://schemas.microsoft.com/office/drawing/2014/chart" uri="{C3380CC4-5D6E-409C-BE32-E72D297353CC}">
              <c16:uniqueId val="{00000004-744C-48DB-B677-6E63853A834C}"/>
            </c:ext>
          </c:extLst>
        </c:ser>
        <c:ser>
          <c:idx val="5"/>
          <c:order val="5"/>
          <c:tx>
            <c:v>Pier #3</c:v>
          </c:tx>
          <c:spPr>
            <a:ln w="19050">
              <a:noFill/>
            </a:ln>
          </c:spPr>
          <c:marker>
            <c:symbol val="square"/>
            <c:size val="14"/>
            <c:spPr>
              <a:noFill/>
              <a:ln>
                <a:solidFill>
                  <a:srgbClr val="000000"/>
                </a:solidFill>
                <a:prstDash val="solid"/>
              </a:ln>
            </c:spPr>
          </c:marker>
          <c:xVal>
            <c:numRef>
              <c:f>'Piles (&lt;=400)(metric)'!$D$67</c:f>
              <c:numCache>
                <c:formatCode>0.000</c:formatCode>
                <c:ptCount val="1"/>
              </c:numCache>
            </c:numRef>
          </c:xVal>
          <c:yVal>
            <c:numRef>
              <c:f>'Piles (&lt;=400)(metric)'!$D$68</c:f>
              <c:numCache>
                <c:formatCode>0.000</c:formatCode>
                <c:ptCount val="1"/>
              </c:numCache>
            </c:numRef>
          </c:yVal>
          <c:smooth val="0"/>
          <c:extLst>
            <c:ext xmlns:c16="http://schemas.microsoft.com/office/drawing/2014/chart" uri="{C3380CC4-5D6E-409C-BE32-E72D297353CC}">
              <c16:uniqueId val="{00000005-744C-48DB-B677-6E63853A834C}"/>
            </c:ext>
          </c:extLst>
        </c:ser>
        <c:ser>
          <c:idx val="6"/>
          <c:order val="6"/>
          <c:tx>
            <c:v>Pier #4</c:v>
          </c:tx>
          <c:spPr>
            <a:ln w="19050">
              <a:noFill/>
            </a:ln>
          </c:spPr>
          <c:marker>
            <c:symbol val="square"/>
            <c:size val="14"/>
            <c:spPr>
              <a:noFill/>
              <a:ln>
                <a:solidFill>
                  <a:srgbClr val="000000"/>
                </a:solidFill>
                <a:prstDash val="solid"/>
              </a:ln>
            </c:spPr>
          </c:marker>
          <c:xVal>
            <c:numRef>
              <c:f>'Piles (&lt;=400)(metric)'!$E$67</c:f>
              <c:numCache>
                <c:formatCode>0.000</c:formatCode>
                <c:ptCount val="1"/>
              </c:numCache>
            </c:numRef>
          </c:xVal>
          <c:yVal>
            <c:numRef>
              <c:f>'Piles (&lt;=400)(metric)'!$E$68</c:f>
              <c:numCache>
                <c:formatCode>0.000</c:formatCode>
                <c:ptCount val="1"/>
              </c:numCache>
            </c:numRef>
          </c:yVal>
          <c:smooth val="0"/>
          <c:extLst>
            <c:ext xmlns:c16="http://schemas.microsoft.com/office/drawing/2014/chart" uri="{C3380CC4-5D6E-409C-BE32-E72D297353CC}">
              <c16:uniqueId val="{00000006-744C-48DB-B677-6E63853A834C}"/>
            </c:ext>
          </c:extLst>
        </c:ser>
        <c:ser>
          <c:idx val="7"/>
          <c:order val="7"/>
          <c:tx>
            <c:v>Pier #5</c:v>
          </c:tx>
          <c:spPr>
            <a:ln w="19050">
              <a:noFill/>
            </a:ln>
          </c:spPr>
          <c:marker>
            <c:symbol val="square"/>
            <c:size val="14"/>
            <c:spPr>
              <a:noFill/>
              <a:ln>
                <a:solidFill>
                  <a:srgbClr val="000000"/>
                </a:solidFill>
                <a:prstDash val="solid"/>
              </a:ln>
            </c:spPr>
          </c:marker>
          <c:xVal>
            <c:numRef>
              <c:f>'Piles (&lt;=400)(metric)'!$F$67</c:f>
              <c:numCache>
                <c:formatCode>0.000</c:formatCode>
                <c:ptCount val="1"/>
              </c:numCache>
            </c:numRef>
          </c:xVal>
          <c:yVal>
            <c:numRef>
              <c:f>'Piles (&lt;=400)(metric)'!$F$68</c:f>
              <c:numCache>
                <c:formatCode>0.000</c:formatCode>
                <c:ptCount val="1"/>
              </c:numCache>
            </c:numRef>
          </c:yVal>
          <c:smooth val="0"/>
          <c:extLst>
            <c:ext xmlns:c16="http://schemas.microsoft.com/office/drawing/2014/chart" uri="{C3380CC4-5D6E-409C-BE32-E72D297353CC}">
              <c16:uniqueId val="{00000007-744C-48DB-B677-6E63853A834C}"/>
            </c:ext>
          </c:extLst>
        </c:ser>
        <c:ser>
          <c:idx val="8"/>
          <c:order val="8"/>
          <c:tx>
            <c:v>Pier #6</c:v>
          </c:tx>
          <c:spPr>
            <a:ln w="19050">
              <a:noFill/>
            </a:ln>
          </c:spPr>
          <c:marker>
            <c:symbol val="square"/>
            <c:size val="14"/>
            <c:spPr>
              <a:noFill/>
              <a:ln>
                <a:solidFill>
                  <a:srgbClr val="000000"/>
                </a:solidFill>
                <a:prstDash val="solid"/>
              </a:ln>
            </c:spPr>
          </c:marker>
          <c:xVal>
            <c:numRef>
              <c:f>'Piles (&lt;=400)(metric)'!$G$67</c:f>
              <c:numCache>
                <c:formatCode>0.000</c:formatCode>
                <c:ptCount val="1"/>
              </c:numCache>
            </c:numRef>
          </c:xVal>
          <c:yVal>
            <c:numRef>
              <c:f>'Piles (&lt;=400)(metric)'!$G$68</c:f>
              <c:numCache>
                <c:formatCode>0.000</c:formatCode>
                <c:ptCount val="1"/>
              </c:numCache>
            </c:numRef>
          </c:yVal>
          <c:smooth val="0"/>
          <c:extLst>
            <c:ext xmlns:c16="http://schemas.microsoft.com/office/drawing/2014/chart" uri="{C3380CC4-5D6E-409C-BE32-E72D297353CC}">
              <c16:uniqueId val="{00000008-744C-48DB-B677-6E63853A834C}"/>
            </c:ext>
          </c:extLst>
        </c:ser>
        <c:ser>
          <c:idx val="9"/>
          <c:order val="9"/>
          <c:tx>
            <c:v>Pier #7</c:v>
          </c:tx>
          <c:spPr>
            <a:ln w="19050">
              <a:noFill/>
            </a:ln>
          </c:spPr>
          <c:marker>
            <c:symbol val="square"/>
            <c:size val="14"/>
            <c:spPr>
              <a:noFill/>
              <a:ln>
                <a:solidFill>
                  <a:srgbClr val="000000"/>
                </a:solidFill>
                <a:prstDash val="solid"/>
              </a:ln>
            </c:spPr>
          </c:marker>
          <c:xVal>
            <c:numRef>
              <c:f>'Piles (&lt;=400)(metric)'!$H$67</c:f>
              <c:numCache>
                <c:formatCode>0.000</c:formatCode>
                <c:ptCount val="1"/>
              </c:numCache>
            </c:numRef>
          </c:xVal>
          <c:yVal>
            <c:numRef>
              <c:f>'Piles (&lt;=400)(metric)'!$H$68</c:f>
              <c:numCache>
                <c:formatCode>0.000</c:formatCode>
                <c:ptCount val="1"/>
              </c:numCache>
            </c:numRef>
          </c:yVal>
          <c:smooth val="0"/>
          <c:extLst>
            <c:ext xmlns:c16="http://schemas.microsoft.com/office/drawing/2014/chart" uri="{C3380CC4-5D6E-409C-BE32-E72D297353CC}">
              <c16:uniqueId val="{00000009-744C-48DB-B677-6E63853A834C}"/>
            </c:ext>
          </c:extLst>
        </c:ser>
        <c:ser>
          <c:idx val="10"/>
          <c:order val="10"/>
          <c:tx>
            <c:v>Pier #8</c:v>
          </c:tx>
          <c:spPr>
            <a:ln w="19050">
              <a:noFill/>
            </a:ln>
          </c:spPr>
          <c:marker>
            <c:symbol val="square"/>
            <c:size val="14"/>
            <c:spPr>
              <a:noFill/>
              <a:ln>
                <a:solidFill>
                  <a:srgbClr val="000000"/>
                </a:solidFill>
                <a:prstDash val="solid"/>
              </a:ln>
            </c:spPr>
          </c:marker>
          <c:xVal>
            <c:numRef>
              <c:f>'Piles (&lt;=400)(metric)'!$I$67</c:f>
              <c:numCache>
                <c:formatCode>0.000</c:formatCode>
                <c:ptCount val="1"/>
              </c:numCache>
            </c:numRef>
          </c:xVal>
          <c:yVal>
            <c:numRef>
              <c:f>'Piles (&lt;=400)(metric)'!$I$68</c:f>
              <c:numCache>
                <c:formatCode>0.000</c:formatCode>
                <c:ptCount val="1"/>
              </c:numCache>
            </c:numRef>
          </c:yVal>
          <c:smooth val="0"/>
          <c:extLst>
            <c:ext xmlns:c16="http://schemas.microsoft.com/office/drawing/2014/chart" uri="{C3380CC4-5D6E-409C-BE32-E72D297353CC}">
              <c16:uniqueId val="{0000000A-744C-48DB-B677-6E63853A834C}"/>
            </c:ext>
          </c:extLst>
        </c:ser>
        <c:ser>
          <c:idx val="11"/>
          <c:order val="11"/>
          <c:tx>
            <c:v>Pier #9</c:v>
          </c:tx>
          <c:spPr>
            <a:ln w="19050">
              <a:noFill/>
            </a:ln>
          </c:spPr>
          <c:marker>
            <c:symbol val="square"/>
            <c:size val="14"/>
            <c:spPr>
              <a:noFill/>
              <a:ln>
                <a:solidFill>
                  <a:srgbClr val="000000"/>
                </a:solidFill>
                <a:prstDash val="solid"/>
              </a:ln>
            </c:spPr>
          </c:marker>
          <c:xVal>
            <c:numRef>
              <c:f>'Piles (&lt;=400)(metric)'!$J$67</c:f>
              <c:numCache>
                <c:formatCode>0.000</c:formatCode>
                <c:ptCount val="1"/>
              </c:numCache>
            </c:numRef>
          </c:xVal>
          <c:yVal>
            <c:numRef>
              <c:f>'Piles (&lt;=400)(metric)'!$J$68</c:f>
              <c:numCache>
                <c:formatCode>0.000</c:formatCode>
                <c:ptCount val="1"/>
              </c:numCache>
            </c:numRef>
          </c:yVal>
          <c:smooth val="0"/>
          <c:extLst>
            <c:ext xmlns:c16="http://schemas.microsoft.com/office/drawing/2014/chart" uri="{C3380CC4-5D6E-409C-BE32-E72D297353CC}">
              <c16:uniqueId val="{0000000B-744C-48DB-B677-6E63853A834C}"/>
            </c:ext>
          </c:extLst>
        </c:ser>
        <c:ser>
          <c:idx val="12"/>
          <c:order val="12"/>
          <c:tx>
            <c:v>Pier #10</c:v>
          </c:tx>
          <c:spPr>
            <a:ln w="19050">
              <a:noFill/>
            </a:ln>
          </c:spPr>
          <c:marker>
            <c:symbol val="square"/>
            <c:size val="14"/>
            <c:spPr>
              <a:noFill/>
              <a:ln>
                <a:solidFill>
                  <a:srgbClr val="000000"/>
                </a:solidFill>
                <a:prstDash val="solid"/>
              </a:ln>
            </c:spPr>
          </c:marker>
          <c:xVal>
            <c:numRef>
              <c:f>'Piles (&lt;=400)(metric)'!$K$67</c:f>
              <c:numCache>
                <c:formatCode>0.000</c:formatCode>
                <c:ptCount val="1"/>
              </c:numCache>
            </c:numRef>
          </c:xVal>
          <c:yVal>
            <c:numRef>
              <c:f>'Piles (&lt;=400)(metric)'!$K$68</c:f>
              <c:numCache>
                <c:formatCode>0.000</c:formatCode>
                <c:ptCount val="1"/>
              </c:numCache>
            </c:numRef>
          </c:yVal>
          <c:smooth val="0"/>
          <c:extLst>
            <c:ext xmlns:c16="http://schemas.microsoft.com/office/drawing/2014/chart" uri="{C3380CC4-5D6E-409C-BE32-E72D297353CC}">
              <c16:uniqueId val="{0000000C-744C-48DB-B677-6E63853A834C}"/>
            </c:ext>
          </c:extLst>
        </c:ser>
        <c:ser>
          <c:idx val="13"/>
          <c:order val="13"/>
          <c:tx>
            <c:v>Pier #11</c:v>
          </c:tx>
          <c:spPr>
            <a:ln w="19050">
              <a:noFill/>
            </a:ln>
          </c:spPr>
          <c:marker>
            <c:symbol val="square"/>
            <c:size val="14"/>
            <c:spPr>
              <a:noFill/>
              <a:ln>
                <a:solidFill>
                  <a:srgbClr val="000000"/>
                </a:solidFill>
                <a:prstDash val="solid"/>
              </a:ln>
            </c:spPr>
          </c:marker>
          <c:xVal>
            <c:numRef>
              <c:f>'Piles (&lt;=400)(metric)'!$L$67</c:f>
              <c:numCache>
                <c:formatCode>0.000</c:formatCode>
                <c:ptCount val="1"/>
              </c:numCache>
            </c:numRef>
          </c:xVal>
          <c:yVal>
            <c:numRef>
              <c:f>'Piles (&lt;=400)(metric)'!$L$68</c:f>
              <c:numCache>
                <c:formatCode>0.000</c:formatCode>
                <c:ptCount val="1"/>
              </c:numCache>
            </c:numRef>
          </c:yVal>
          <c:smooth val="0"/>
          <c:extLst>
            <c:ext xmlns:c16="http://schemas.microsoft.com/office/drawing/2014/chart" uri="{C3380CC4-5D6E-409C-BE32-E72D297353CC}">
              <c16:uniqueId val="{0000000D-744C-48DB-B677-6E63853A834C}"/>
            </c:ext>
          </c:extLst>
        </c:ser>
        <c:ser>
          <c:idx val="14"/>
          <c:order val="14"/>
          <c:tx>
            <c:v>Pier #12</c:v>
          </c:tx>
          <c:spPr>
            <a:ln w="19050">
              <a:noFill/>
            </a:ln>
          </c:spPr>
          <c:marker>
            <c:symbol val="square"/>
            <c:size val="14"/>
            <c:spPr>
              <a:noFill/>
              <a:ln>
                <a:solidFill>
                  <a:srgbClr val="000000"/>
                </a:solidFill>
                <a:prstDash val="solid"/>
              </a:ln>
            </c:spPr>
          </c:marker>
          <c:xVal>
            <c:numRef>
              <c:f>'Piles (&lt;=400)(metric)'!$M$67</c:f>
              <c:numCache>
                <c:formatCode>0.000</c:formatCode>
                <c:ptCount val="1"/>
              </c:numCache>
            </c:numRef>
          </c:xVal>
          <c:yVal>
            <c:numRef>
              <c:f>'Piles (&lt;=400)(metric)'!$M$68</c:f>
              <c:numCache>
                <c:formatCode>0.000</c:formatCode>
                <c:ptCount val="1"/>
              </c:numCache>
            </c:numRef>
          </c:yVal>
          <c:smooth val="0"/>
          <c:extLst>
            <c:ext xmlns:c16="http://schemas.microsoft.com/office/drawing/2014/chart" uri="{C3380CC4-5D6E-409C-BE32-E72D297353CC}">
              <c16:uniqueId val="{0000000E-744C-48DB-B677-6E63853A834C}"/>
            </c:ext>
          </c:extLst>
        </c:ser>
        <c:ser>
          <c:idx val="15"/>
          <c:order val="15"/>
          <c:tx>
            <c:v>Pier #13</c:v>
          </c:tx>
          <c:spPr>
            <a:ln w="19050">
              <a:noFill/>
            </a:ln>
          </c:spPr>
          <c:marker>
            <c:symbol val="square"/>
            <c:size val="14"/>
            <c:spPr>
              <a:noFill/>
              <a:ln>
                <a:solidFill>
                  <a:srgbClr val="000000"/>
                </a:solidFill>
                <a:prstDash val="solid"/>
              </a:ln>
            </c:spPr>
          </c:marker>
          <c:xVal>
            <c:numRef>
              <c:f>'Piles (&lt;=400)(metric)'!$N$67</c:f>
              <c:numCache>
                <c:formatCode>0.000</c:formatCode>
                <c:ptCount val="1"/>
              </c:numCache>
            </c:numRef>
          </c:xVal>
          <c:yVal>
            <c:numRef>
              <c:f>'Piles (&lt;=400)(metric)'!$N$68</c:f>
              <c:numCache>
                <c:formatCode>0.000</c:formatCode>
                <c:ptCount val="1"/>
              </c:numCache>
            </c:numRef>
          </c:yVal>
          <c:smooth val="0"/>
          <c:extLst>
            <c:ext xmlns:c16="http://schemas.microsoft.com/office/drawing/2014/chart" uri="{C3380CC4-5D6E-409C-BE32-E72D297353CC}">
              <c16:uniqueId val="{0000000F-744C-48DB-B677-6E63853A834C}"/>
            </c:ext>
          </c:extLst>
        </c:ser>
        <c:ser>
          <c:idx val="16"/>
          <c:order val="16"/>
          <c:tx>
            <c:v>Pier #14</c:v>
          </c:tx>
          <c:spPr>
            <a:ln w="19050">
              <a:noFill/>
            </a:ln>
          </c:spPr>
          <c:marker>
            <c:symbol val="square"/>
            <c:size val="14"/>
            <c:spPr>
              <a:noFill/>
              <a:ln>
                <a:solidFill>
                  <a:srgbClr val="000000"/>
                </a:solidFill>
                <a:prstDash val="solid"/>
              </a:ln>
            </c:spPr>
          </c:marker>
          <c:xVal>
            <c:numRef>
              <c:f>'Piles (&lt;=400)(metric)'!$O$67</c:f>
              <c:numCache>
                <c:formatCode>0.000</c:formatCode>
                <c:ptCount val="1"/>
              </c:numCache>
            </c:numRef>
          </c:xVal>
          <c:yVal>
            <c:numRef>
              <c:f>'Piles (&lt;=400)(metric)'!$O$68</c:f>
              <c:numCache>
                <c:formatCode>0.000</c:formatCode>
                <c:ptCount val="1"/>
              </c:numCache>
            </c:numRef>
          </c:yVal>
          <c:smooth val="0"/>
          <c:extLst>
            <c:ext xmlns:c16="http://schemas.microsoft.com/office/drawing/2014/chart" uri="{C3380CC4-5D6E-409C-BE32-E72D297353CC}">
              <c16:uniqueId val="{00000010-744C-48DB-B677-6E63853A834C}"/>
            </c:ext>
          </c:extLst>
        </c:ser>
        <c:ser>
          <c:idx val="17"/>
          <c:order val="17"/>
          <c:tx>
            <c:v>Pier #15</c:v>
          </c:tx>
          <c:spPr>
            <a:ln w="19050">
              <a:noFill/>
            </a:ln>
          </c:spPr>
          <c:marker>
            <c:symbol val="square"/>
            <c:size val="14"/>
            <c:spPr>
              <a:noFill/>
              <a:ln>
                <a:solidFill>
                  <a:srgbClr val="000000"/>
                </a:solidFill>
                <a:prstDash val="solid"/>
              </a:ln>
            </c:spPr>
          </c:marker>
          <c:xVal>
            <c:numRef>
              <c:f>'Piles (&lt;=400)(metric)'!$P$67</c:f>
              <c:numCache>
                <c:formatCode>0.000</c:formatCode>
                <c:ptCount val="1"/>
              </c:numCache>
            </c:numRef>
          </c:xVal>
          <c:yVal>
            <c:numRef>
              <c:f>'Piles (&lt;=400)(metric)'!$P$68</c:f>
              <c:numCache>
                <c:formatCode>0.000</c:formatCode>
                <c:ptCount val="1"/>
              </c:numCache>
            </c:numRef>
          </c:yVal>
          <c:smooth val="0"/>
          <c:extLst>
            <c:ext xmlns:c16="http://schemas.microsoft.com/office/drawing/2014/chart" uri="{C3380CC4-5D6E-409C-BE32-E72D297353CC}">
              <c16:uniqueId val="{00000011-744C-48DB-B677-6E63853A834C}"/>
            </c:ext>
          </c:extLst>
        </c:ser>
        <c:ser>
          <c:idx val="18"/>
          <c:order val="18"/>
          <c:tx>
            <c:v>Pier #16</c:v>
          </c:tx>
          <c:spPr>
            <a:ln w="3175">
              <a:solidFill>
                <a:srgbClr val="99CC00"/>
              </a:solidFill>
              <a:prstDash val="solid"/>
            </a:ln>
          </c:spPr>
          <c:marker>
            <c:symbol val="square"/>
            <c:size val="14"/>
            <c:spPr>
              <a:noFill/>
              <a:ln>
                <a:solidFill>
                  <a:srgbClr val="000000"/>
                </a:solidFill>
                <a:prstDash val="solid"/>
              </a:ln>
            </c:spPr>
          </c:marker>
          <c:xVal>
            <c:numRef>
              <c:f>'Piles (&lt;=400)(metric)'!$Q$67</c:f>
              <c:numCache>
                <c:formatCode>0.000</c:formatCode>
                <c:ptCount val="1"/>
              </c:numCache>
            </c:numRef>
          </c:xVal>
          <c:yVal>
            <c:numRef>
              <c:f>'Piles (&lt;=400)(metric)'!$Q$68</c:f>
              <c:numCache>
                <c:formatCode>0.000</c:formatCode>
                <c:ptCount val="1"/>
              </c:numCache>
            </c:numRef>
          </c:yVal>
          <c:smooth val="0"/>
          <c:extLst>
            <c:ext xmlns:c16="http://schemas.microsoft.com/office/drawing/2014/chart" uri="{C3380CC4-5D6E-409C-BE32-E72D297353CC}">
              <c16:uniqueId val="{00000012-744C-48DB-B677-6E63853A834C}"/>
            </c:ext>
          </c:extLst>
        </c:ser>
        <c:ser>
          <c:idx val="19"/>
          <c:order val="19"/>
          <c:tx>
            <c:v>Pier #17</c:v>
          </c:tx>
          <c:spPr>
            <a:ln w="19050">
              <a:noFill/>
            </a:ln>
          </c:spPr>
          <c:marker>
            <c:symbol val="square"/>
            <c:size val="14"/>
            <c:spPr>
              <a:noFill/>
              <a:ln>
                <a:solidFill>
                  <a:srgbClr val="000000"/>
                </a:solidFill>
                <a:prstDash val="solid"/>
              </a:ln>
            </c:spPr>
          </c:marker>
          <c:xVal>
            <c:numRef>
              <c:f>'Piles (&lt;=400)(metric)'!$R$67</c:f>
              <c:numCache>
                <c:formatCode>0.000</c:formatCode>
                <c:ptCount val="1"/>
              </c:numCache>
            </c:numRef>
          </c:xVal>
          <c:yVal>
            <c:numRef>
              <c:f>'Piles (&lt;=400)(metric)'!$R$68</c:f>
              <c:numCache>
                <c:formatCode>0.000</c:formatCode>
                <c:ptCount val="1"/>
              </c:numCache>
            </c:numRef>
          </c:yVal>
          <c:smooth val="0"/>
          <c:extLst>
            <c:ext xmlns:c16="http://schemas.microsoft.com/office/drawing/2014/chart" uri="{C3380CC4-5D6E-409C-BE32-E72D297353CC}">
              <c16:uniqueId val="{00000013-744C-48DB-B677-6E63853A834C}"/>
            </c:ext>
          </c:extLst>
        </c:ser>
        <c:ser>
          <c:idx val="20"/>
          <c:order val="20"/>
          <c:tx>
            <c:v>Pier #18</c:v>
          </c:tx>
          <c:spPr>
            <a:ln w="19050">
              <a:noFill/>
            </a:ln>
          </c:spPr>
          <c:marker>
            <c:symbol val="square"/>
            <c:size val="15"/>
            <c:spPr>
              <a:noFill/>
              <a:ln>
                <a:solidFill>
                  <a:srgbClr val="000000"/>
                </a:solidFill>
                <a:prstDash val="solid"/>
              </a:ln>
            </c:spPr>
          </c:marker>
          <c:xVal>
            <c:numRef>
              <c:f>'Piles (&lt;=400)(metric)'!$S$67</c:f>
              <c:numCache>
                <c:formatCode>0.000</c:formatCode>
                <c:ptCount val="1"/>
              </c:numCache>
            </c:numRef>
          </c:xVal>
          <c:yVal>
            <c:numRef>
              <c:f>'Piles (&lt;=400)(metric)'!$S$68</c:f>
              <c:numCache>
                <c:formatCode>0.000</c:formatCode>
                <c:ptCount val="1"/>
              </c:numCache>
            </c:numRef>
          </c:yVal>
          <c:smooth val="0"/>
          <c:extLst>
            <c:ext xmlns:c16="http://schemas.microsoft.com/office/drawing/2014/chart" uri="{C3380CC4-5D6E-409C-BE32-E72D297353CC}">
              <c16:uniqueId val="{00000014-744C-48DB-B677-6E63853A834C}"/>
            </c:ext>
          </c:extLst>
        </c:ser>
        <c:ser>
          <c:idx val="21"/>
          <c:order val="21"/>
          <c:tx>
            <c:v>Pier #19</c:v>
          </c:tx>
          <c:spPr>
            <a:ln w="19050">
              <a:noFill/>
            </a:ln>
          </c:spPr>
          <c:marker>
            <c:symbol val="square"/>
            <c:size val="14"/>
            <c:spPr>
              <a:noFill/>
              <a:ln>
                <a:solidFill>
                  <a:srgbClr val="000000"/>
                </a:solidFill>
                <a:prstDash val="solid"/>
              </a:ln>
            </c:spPr>
          </c:marker>
          <c:xVal>
            <c:numRef>
              <c:f>'Piles (&lt;=400)(metric)'!$T$67</c:f>
              <c:numCache>
                <c:formatCode>0.000</c:formatCode>
                <c:ptCount val="1"/>
              </c:numCache>
            </c:numRef>
          </c:xVal>
          <c:yVal>
            <c:numRef>
              <c:f>'Piles (&lt;=400)(metric)'!$T$68</c:f>
              <c:numCache>
                <c:formatCode>0.000</c:formatCode>
                <c:ptCount val="1"/>
              </c:numCache>
            </c:numRef>
          </c:yVal>
          <c:smooth val="0"/>
          <c:extLst>
            <c:ext xmlns:c16="http://schemas.microsoft.com/office/drawing/2014/chart" uri="{C3380CC4-5D6E-409C-BE32-E72D297353CC}">
              <c16:uniqueId val="{00000015-744C-48DB-B677-6E63853A834C}"/>
            </c:ext>
          </c:extLst>
        </c:ser>
        <c:ser>
          <c:idx val="22"/>
          <c:order val="22"/>
          <c:tx>
            <c:v>Pier #20</c:v>
          </c:tx>
          <c:spPr>
            <a:ln w="19050">
              <a:noFill/>
            </a:ln>
          </c:spPr>
          <c:marker>
            <c:symbol val="square"/>
            <c:size val="14"/>
            <c:spPr>
              <a:noFill/>
              <a:ln>
                <a:solidFill>
                  <a:srgbClr val="000000"/>
                </a:solidFill>
                <a:prstDash val="solid"/>
              </a:ln>
            </c:spPr>
          </c:marker>
          <c:xVal>
            <c:numRef>
              <c:f>'Piles (&lt;=400)(metric)'!$U$67</c:f>
              <c:numCache>
                <c:formatCode>0.000</c:formatCode>
                <c:ptCount val="1"/>
              </c:numCache>
            </c:numRef>
          </c:xVal>
          <c:yVal>
            <c:numRef>
              <c:f>'Piles (&lt;=400)(metric)'!$U$68</c:f>
              <c:numCache>
                <c:formatCode>0.000</c:formatCode>
                <c:ptCount val="1"/>
              </c:numCache>
            </c:numRef>
          </c:yVal>
          <c:smooth val="0"/>
          <c:extLst>
            <c:ext xmlns:c16="http://schemas.microsoft.com/office/drawing/2014/chart" uri="{C3380CC4-5D6E-409C-BE32-E72D297353CC}">
              <c16:uniqueId val="{00000016-744C-48DB-B677-6E63853A834C}"/>
            </c:ext>
          </c:extLst>
        </c:ser>
        <c:ser>
          <c:idx val="23"/>
          <c:order val="23"/>
          <c:tx>
            <c:v>Pier #21</c:v>
          </c:tx>
          <c:spPr>
            <a:ln w="19050">
              <a:noFill/>
            </a:ln>
          </c:spPr>
          <c:marker>
            <c:symbol val="square"/>
            <c:size val="14"/>
            <c:spPr>
              <a:noFill/>
              <a:ln>
                <a:solidFill>
                  <a:srgbClr val="000000"/>
                </a:solidFill>
                <a:prstDash val="solid"/>
              </a:ln>
            </c:spPr>
          </c:marker>
          <c:xVal>
            <c:numRef>
              <c:f>'Piles (&lt;=400)(metric)'!$V$67</c:f>
              <c:numCache>
                <c:formatCode>0.000</c:formatCode>
                <c:ptCount val="1"/>
              </c:numCache>
            </c:numRef>
          </c:xVal>
          <c:yVal>
            <c:numRef>
              <c:f>'Piles (&lt;=400)(metric)'!$V$68</c:f>
              <c:numCache>
                <c:formatCode>0.000</c:formatCode>
                <c:ptCount val="1"/>
              </c:numCache>
            </c:numRef>
          </c:yVal>
          <c:smooth val="0"/>
          <c:extLst>
            <c:ext xmlns:c16="http://schemas.microsoft.com/office/drawing/2014/chart" uri="{C3380CC4-5D6E-409C-BE32-E72D297353CC}">
              <c16:uniqueId val="{00000017-744C-48DB-B677-6E63853A834C}"/>
            </c:ext>
          </c:extLst>
        </c:ser>
        <c:ser>
          <c:idx val="24"/>
          <c:order val="24"/>
          <c:tx>
            <c:v>Pier #22</c:v>
          </c:tx>
          <c:spPr>
            <a:ln w="19050">
              <a:noFill/>
            </a:ln>
          </c:spPr>
          <c:marker>
            <c:symbol val="square"/>
            <c:size val="14"/>
            <c:spPr>
              <a:noFill/>
              <a:ln>
                <a:solidFill>
                  <a:srgbClr val="000000"/>
                </a:solidFill>
                <a:prstDash val="solid"/>
              </a:ln>
            </c:spPr>
          </c:marker>
          <c:xVal>
            <c:numRef>
              <c:f>'Piles (&lt;=400)(metric)'!$W$67</c:f>
              <c:numCache>
                <c:formatCode>0.000</c:formatCode>
                <c:ptCount val="1"/>
              </c:numCache>
            </c:numRef>
          </c:xVal>
          <c:yVal>
            <c:numRef>
              <c:f>'Piles (&lt;=400)(metric)'!$W$68</c:f>
              <c:numCache>
                <c:formatCode>0.000</c:formatCode>
                <c:ptCount val="1"/>
              </c:numCache>
            </c:numRef>
          </c:yVal>
          <c:smooth val="0"/>
          <c:extLst>
            <c:ext xmlns:c16="http://schemas.microsoft.com/office/drawing/2014/chart" uri="{C3380CC4-5D6E-409C-BE32-E72D297353CC}">
              <c16:uniqueId val="{00000018-744C-48DB-B677-6E63853A834C}"/>
            </c:ext>
          </c:extLst>
        </c:ser>
        <c:ser>
          <c:idx val="25"/>
          <c:order val="25"/>
          <c:tx>
            <c:v>Pier #23</c:v>
          </c:tx>
          <c:spPr>
            <a:ln w="19050">
              <a:noFill/>
            </a:ln>
          </c:spPr>
          <c:marker>
            <c:symbol val="square"/>
            <c:size val="14"/>
            <c:spPr>
              <a:noFill/>
              <a:ln>
                <a:solidFill>
                  <a:srgbClr val="000000"/>
                </a:solidFill>
                <a:prstDash val="solid"/>
              </a:ln>
            </c:spPr>
          </c:marker>
          <c:xVal>
            <c:numRef>
              <c:f>'Piles (&lt;=400)(metric)'!$X$67</c:f>
              <c:numCache>
                <c:formatCode>0.000</c:formatCode>
                <c:ptCount val="1"/>
              </c:numCache>
            </c:numRef>
          </c:xVal>
          <c:yVal>
            <c:numRef>
              <c:f>'Piles (&lt;=400)(metric)'!$X$68</c:f>
              <c:numCache>
                <c:formatCode>0.000</c:formatCode>
                <c:ptCount val="1"/>
              </c:numCache>
            </c:numRef>
          </c:yVal>
          <c:smooth val="0"/>
          <c:extLst>
            <c:ext xmlns:c16="http://schemas.microsoft.com/office/drawing/2014/chart" uri="{C3380CC4-5D6E-409C-BE32-E72D297353CC}">
              <c16:uniqueId val="{00000019-744C-48DB-B677-6E63853A834C}"/>
            </c:ext>
          </c:extLst>
        </c:ser>
        <c:dLbls>
          <c:showLegendKey val="0"/>
          <c:showVal val="0"/>
          <c:showCatName val="0"/>
          <c:showSerName val="0"/>
          <c:showPercent val="0"/>
          <c:showBubbleSize val="0"/>
        </c:dLbls>
        <c:axId val="784450880"/>
        <c:axId val="1"/>
      </c:scatterChart>
      <c:valAx>
        <c:axId val="784450880"/>
        <c:scaling>
          <c:orientation val="minMax"/>
        </c:scaling>
        <c:delete val="0"/>
        <c:axPos val="b"/>
        <c:title>
          <c:tx>
            <c:rich>
              <a:bodyPr/>
              <a:lstStyle/>
              <a:p>
                <a:pPr>
                  <a:defRPr sz="1975" b="1" i="0" u="none" strike="noStrike" baseline="0%">
                    <a:solidFill>
                      <a:srgbClr val="000000"/>
                    </a:solidFill>
                    <a:latin typeface="Arial"/>
                    <a:ea typeface="Arial"/>
                    <a:cs typeface="Arial"/>
                  </a:defRPr>
                </a:pPr>
                <a:r>
                  <a:rPr lang="en-US"/>
                  <a:t>X-AXIS (m)</a:t>
                </a:r>
              </a:p>
            </c:rich>
          </c:tx>
          <c:layout>
            <c:manualLayout>
              <c:xMode val="edge"/>
              <c:yMode val="edge"/>
              <c:x val="0.48839969749266787"/>
              <c:y val="0.963105140108877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975"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title>
          <c:tx>
            <c:rich>
              <a:bodyPr/>
              <a:lstStyle/>
              <a:p>
                <a:pPr>
                  <a:defRPr sz="1975" b="1" i="0" u="none" strike="noStrike" baseline="0%">
                    <a:solidFill>
                      <a:srgbClr val="000000"/>
                    </a:solidFill>
                    <a:latin typeface="Arial"/>
                    <a:ea typeface="Arial"/>
                    <a:cs typeface="Arial"/>
                  </a:defRPr>
                </a:pPr>
                <a:r>
                  <a:rPr lang="en-US"/>
                  <a:t>Y-AXIS (m)</a:t>
                </a:r>
              </a:p>
            </c:rich>
          </c:tx>
          <c:layout>
            <c:manualLayout>
              <c:xMode val="edge"/>
              <c:yMode val="edge"/>
              <c:x val="2.0591987245636802E-2"/>
              <c:y val="0.41163513216469938"/>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975" b="0" i="0" u="none" strike="noStrike" baseline="0%">
                <a:solidFill>
                  <a:srgbClr val="000000"/>
                </a:solidFill>
                <a:latin typeface="Arial"/>
                <a:ea typeface="Arial"/>
                <a:cs typeface="Arial"/>
              </a:defRPr>
            </a:pPr>
            <a:endParaRPr lang="en-US"/>
          </a:p>
        </c:txPr>
        <c:crossAx val="784450880"/>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FFFFFF"/>
    </a:solidFill>
    <a:ln w="6350">
      <a:noFill/>
    </a:ln>
  </c:spPr>
  <c:txPr>
    <a:bodyPr/>
    <a:lstStyle/>
    <a:p>
      <a:pPr>
        <a:defRPr sz="3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purl.oclc.org/ooxml/officeDocument/relationships/chart" Target="../charts/chart1.xml"/></Relationships>
</file>

<file path=xl/drawings/_rels/drawing2.xml.rels><?xml version="1.0" encoding="UTF-8" standalone="yes"?>
<Relationships xmlns="http://schemas.openxmlformats.org/package/2006/relationships"><Relationship Id="rId1" Type="http://purl.oclc.org/ooxml/officeDocument/relationships/chart" Target="../charts/chart2.xml"/></Relationships>
</file>

<file path=xl/drawings/_rels/drawing3.xml.rels><?xml version="1.0" encoding="UTF-8" standalone="yes"?>
<Relationships xmlns="http://schemas.openxmlformats.org/package/2006/relationships"><Relationship Id="rId1" Type="http://purl.oclc.org/ooxml/officeDocument/relationships/chart" Target="../charts/chart3.xml"/></Relationships>
</file>

<file path=xl/drawings/_rels/drawing4.xml.rels><?xml version="1.0" encoding="UTF-8" standalone="yes"?>
<Relationships xmlns="http://schemas.openxmlformats.org/package/2006/relationships"><Relationship Id="rId1" Type="http://purl.oclc.org/ooxml/officeDocument/relationships/chart" Target="../charts/chart4.xml"/></Relationships>
</file>

<file path=xl/drawings/_rels/drawing5.xml.rels><?xml version="1.0" encoding="UTF-8" standalone="yes"?>
<Relationships xmlns="http://schemas.openxmlformats.org/package/2006/relationships"><Relationship Id="rId1" Type="http://purl.oclc.org/ooxml/officeDocument/relationships/chart" Target="../charts/chart5.xml"/></Relationships>
</file>

<file path=xl/drawings/_rels/drawing6.xml.rels><?xml version="1.0" encoding="UTF-8" standalone="yes"?>
<Relationships xmlns="http://schemas.openxmlformats.org/package/2006/relationships"><Relationship Id="rId1" Type="http://purl.oclc.org/ooxml/officeDocument/relationships/chart" Target="../charts/chart6.xml"/></Relationships>
</file>

<file path=xl/drawings/_rels/drawing7.xml.rels><?xml version="1.0" encoding="UTF-8" standalone="yes"?>
<Relationships xmlns="http://schemas.openxmlformats.org/package/2006/relationships"><Relationship Id="rId1" Type="http://purl.oclc.org/ooxml/officeDocument/relationships/chart" Target="../charts/chart7.xml"/></Relationships>
</file>

<file path=xl/drawings/_rels/drawing8.xml.rels><?xml version="1.0" encoding="UTF-8" standalone="yes"?>
<Relationships xmlns="http://schemas.openxmlformats.org/package/2006/relationships"><Relationship Id="rId1" Type="http://purl.oclc.org/ooxml/officeDocument/relationships/chart" Target="../charts/chart8.xml"/></Relationships>
</file>

<file path=xl/drawings/drawing1.xml><?xml version="1.0" encoding="utf-8"?>
<xdr:wsDr xmlns:xdr="http://purl.oclc.org/ooxml/drawingml/spreadsheetDrawing" xmlns:a="http://purl.oclc.org/ooxml/drawingml/main">
  <xdr:twoCellAnchor>
    <xdr:from>
      <xdr:col>27</xdr:col>
      <xdr:colOff>0</xdr:colOff>
      <xdr:row>1</xdr:row>
      <xdr:rowOff>0</xdr:rowOff>
    </xdr:from>
    <xdr:to>
      <xdr:col>29</xdr:col>
      <xdr:colOff>0</xdr:colOff>
      <xdr:row>4</xdr:row>
      <xdr:rowOff>0</xdr:rowOff>
    </xdr:to>
    <xdr:sp macro="" textlink="">
      <xdr:nvSpPr>
        <xdr:cNvPr id="63523" name="Rectangle 35">
          <a:extLst>
            <a:ext uri="{FF2B5EF4-FFF2-40B4-BE49-F238E27FC236}">
              <a16:creationId xmlns:a16="http://schemas.microsoft.com/office/drawing/2014/main" id="{5375CAEE-C695-4DB8-AB10-3B4CEB0AA0BC}"/>
            </a:ext>
          </a:extLst>
        </xdr:cNvPr>
        <xdr:cNvSpPr>
          <a:spLocks noChangeArrowheads="1"/>
        </xdr:cNvSpPr>
      </xdr:nvSpPr>
      <xdr:spPr bwMode="auto">
        <a:xfrm>
          <a:off x="6781800" y="198120"/>
          <a:ext cx="1249680" cy="50292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ffectLst>
          <a:outerShdw dist="107763"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8</xdr:row>
      <xdr:rowOff>22860</xdr:rowOff>
    </xdr:from>
    <xdr:to>
      <xdr:col>8</xdr:col>
      <xdr:colOff>807720</xdr:colOff>
      <xdr:row>28</xdr:row>
      <xdr:rowOff>0</xdr:rowOff>
    </xdr:to>
    <xdr:graphicFrame macro="">
      <xdr:nvGraphicFramePr>
        <xdr:cNvPr id="63525" name="Chart 37">
          <a:extLst>
            <a:ext uri="{FF2B5EF4-FFF2-40B4-BE49-F238E27FC236}">
              <a16:creationId xmlns:a16="http://schemas.microsoft.com/office/drawing/2014/main" id="{89748A1E-2C70-494D-9EA7-73E0044715B2}"/>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6</xdr:col>
      <xdr:colOff>160020</xdr:colOff>
      <xdr:row>13</xdr:row>
      <xdr:rowOff>22860</xdr:rowOff>
    </xdr:from>
    <xdr:to>
      <xdr:col>6</xdr:col>
      <xdr:colOff>160020</xdr:colOff>
      <xdr:row>15</xdr:row>
      <xdr:rowOff>60960</xdr:rowOff>
    </xdr:to>
    <xdr:sp macro="" textlink="">
      <xdr:nvSpPr>
        <xdr:cNvPr id="63526" name="Line 38">
          <a:extLst>
            <a:ext uri="{FF2B5EF4-FFF2-40B4-BE49-F238E27FC236}">
              <a16:creationId xmlns:a16="http://schemas.microsoft.com/office/drawing/2014/main" id="{283673E0-965D-4AE7-883E-A36123E634A7}"/>
            </a:ext>
          </a:extLst>
        </xdr:cNvPr>
        <xdr:cNvSpPr>
          <a:spLocks noChangeShapeType="1"/>
        </xdr:cNvSpPr>
      </xdr:nvSpPr>
      <xdr:spPr bwMode="auto">
        <a:xfrm flipV="1">
          <a:off x="4236720" y="2232660"/>
          <a:ext cx="0" cy="3733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274320</xdr:colOff>
      <xdr:row>27</xdr:row>
      <xdr:rowOff>22860</xdr:rowOff>
    </xdr:from>
    <xdr:to>
      <xdr:col>8</xdr:col>
      <xdr:colOff>647700</xdr:colOff>
      <xdr:row>27</xdr:row>
      <xdr:rowOff>22860</xdr:rowOff>
    </xdr:to>
    <xdr:sp macro="" textlink="">
      <xdr:nvSpPr>
        <xdr:cNvPr id="63527" name="Line 39">
          <a:extLst>
            <a:ext uri="{FF2B5EF4-FFF2-40B4-BE49-F238E27FC236}">
              <a16:creationId xmlns:a16="http://schemas.microsoft.com/office/drawing/2014/main" id="{6024B632-C00F-40DF-8F9D-0F15415F2D86}"/>
            </a:ext>
          </a:extLst>
        </xdr:cNvPr>
        <xdr:cNvSpPr>
          <a:spLocks noChangeShapeType="1"/>
        </xdr:cNvSpPr>
      </xdr:nvSpPr>
      <xdr:spPr bwMode="auto">
        <a:xfrm>
          <a:off x="5600700" y="4579620"/>
          <a:ext cx="373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38100</xdr:colOff>
      <xdr:row>65</xdr:row>
      <xdr:rowOff>76200</xdr:rowOff>
    </xdr:from>
    <xdr:to>
      <xdr:col>33</xdr:col>
      <xdr:colOff>350520</xdr:colOff>
      <xdr:row>65</xdr:row>
      <xdr:rowOff>76200</xdr:rowOff>
    </xdr:to>
    <xdr:sp macro="" textlink="">
      <xdr:nvSpPr>
        <xdr:cNvPr id="63529" name="Line 41">
          <a:extLst>
            <a:ext uri="{FF2B5EF4-FFF2-40B4-BE49-F238E27FC236}">
              <a16:creationId xmlns:a16="http://schemas.microsoft.com/office/drawing/2014/main" id="{050A7C5C-1211-4573-92AF-52D2CEED86EC}"/>
            </a:ext>
          </a:extLst>
        </xdr:cNvPr>
        <xdr:cNvSpPr>
          <a:spLocks noChangeShapeType="1"/>
        </xdr:cNvSpPr>
      </xdr:nvSpPr>
      <xdr:spPr bwMode="auto">
        <a:xfrm flipH="1">
          <a:off x="10568940" y="10995660"/>
          <a:ext cx="3124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38100</xdr:colOff>
      <xdr:row>89</xdr:row>
      <xdr:rowOff>68580</xdr:rowOff>
    </xdr:from>
    <xdr:to>
      <xdr:col>33</xdr:col>
      <xdr:colOff>350520</xdr:colOff>
      <xdr:row>89</xdr:row>
      <xdr:rowOff>68580</xdr:rowOff>
    </xdr:to>
    <xdr:sp macro="" textlink="">
      <xdr:nvSpPr>
        <xdr:cNvPr id="63530" name="Line 42">
          <a:extLst>
            <a:ext uri="{FF2B5EF4-FFF2-40B4-BE49-F238E27FC236}">
              <a16:creationId xmlns:a16="http://schemas.microsoft.com/office/drawing/2014/main" id="{9232BFC8-13CC-4917-AC78-E1768D8F171D}"/>
            </a:ext>
          </a:extLst>
        </xdr:cNvPr>
        <xdr:cNvSpPr>
          <a:spLocks noChangeShapeType="1"/>
        </xdr:cNvSpPr>
      </xdr:nvSpPr>
      <xdr:spPr bwMode="auto">
        <a:xfrm flipH="1">
          <a:off x="10568940" y="15011400"/>
          <a:ext cx="3124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350520</xdr:colOff>
      <xdr:row>65</xdr:row>
      <xdr:rowOff>76200</xdr:rowOff>
    </xdr:from>
    <xdr:to>
      <xdr:col>33</xdr:col>
      <xdr:colOff>350520</xdr:colOff>
      <xdr:row>89</xdr:row>
      <xdr:rowOff>68580</xdr:rowOff>
    </xdr:to>
    <xdr:sp macro="" textlink="">
      <xdr:nvSpPr>
        <xdr:cNvPr id="63531" name="Line 43">
          <a:extLst>
            <a:ext uri="{FF2B5EF4-FFF2-40B4-BE49-F238E27FC236}">
              <a16:creationId xmlns:a16="http://schemas.microsoft.com/office/drawing/2014/main" id="{7633728D-C401-4C7C-BD57-9559E66BA84A}"/>
            </a:ext>
          </a:extLst>
        </xdr:cNvPr>
        <xdr:cNvSpPr>
          <a:spLocks noChangeShapeType="1"/>
        </xdr:cNvSpPr>
      </xdr:nvSpPr>
      <xdr:spPr bwMode="auto">
        <a:xfrm>
          <a:off x="10881360" y="10995660"/>
          <a:ext cx="0" cy="40157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350520</xdr:colOff>
      <xdr:row>77</xdr:row>
      <xdr:rowOff>0</xdr:rowOff>
    </xdr:from>
    <xdr:to>
      <xdr:col>33</xdr:col>
      <xdr:colOff>594360</xdr:colOff>
      <xdr:row>77</xdr:row>
      <xdr:rowOff>0</xdr:rowOff>
    </xdr:to>
    <xdr:sp macro="" textlink="">
      <xdr:nvSpPr>
        <xdr:cNvPr id="63532" name="Line 44">
          <a:extLst>
            <a:ext uri="{FF2B5EF4-FFF2-40B4-BE49-F238E27FC236}">
              <a16:creationId xmlns:a16="http://schemas.microsoft.com/office/drawing/2014/main" id="{C08EF131-24C5-4475-AFB9-A26BF7ECCBFF}"/>
            </a:ext>
          </a:extLst>
        </xdr:cNvPr>
        <xdr:cNvSpPr>
          <a:spLocks noChangeShapeType="1"/>
        </xdr:cNvSpPr>
      </xdr:nvSpPr>
      <xdr:spPr bwMode="auto">
        <a:xfrm>
          <a:off x="10881360" y="1293114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68580</xdr:colOff>
      <xdr:row>7</xdr:row>
      <xdr:rowOff>38100</xdr:rowOff>
    </xdr:from>
    <xdr:to>
      <xdr:col>27</xdr:col>
      <xdr:colOff>167640</xdr:colOff>
      <xdr:row>7</xdr:row>
      <xdr:rowOff>137160</xdr:rowOff>
    </xdr:to>
    <xdr:sp macro="" textlink="">
      <xdr:nvSpPr>
        <xdr:cNvPr id="63601" name="Oval 113">
          <a:extLst>
            <a:ext uri="{FF2B5EF4-FFF2-40B4-BE49-F238E27FC236}">
              <a16:creationId xmlns:a16="http://schemas.microsoft.com/office/drawing/2014/main" id="{82B9C5D4-DDE9-48D5-9208-1D06A2A1D32B}"/>
            </a:ext>
          </a:extLst>
        </xdr:cNvPr>
        <xdr:cNvSpPr>
          <a:spLocks noChangeArrowheads="1"/>
        </xdr:cNvSpPr>
      </xdr:nvSpPr>
      <xdr:spPr bwMode="auto">
        <a:xfrm>
          <a:off x="6850380" y="1242060"/>
          <a:ext cx="99060" cy="990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round/>
          <a:headEnd/>
          <a:tailEnd/>
        </a:ln>
      </xdr:spPr>
    </xdr:sp>
    <xdr:clientData/>
  </xdr:twoCellAnchor>
  <xdr:twoCellAnchor>
    <xdr:from>
      <xdr:col>26</xdr:col>
      <xdr:colOff>441960</xdr:colOff>
      <xdr:row>6</xdr:row>
      <xdr:rowOff>91440</xdr:rowOff>
    </xdr:from>
    <xdr:to>
      <xdr:col>28</xdr:col>
      <xdr:colOff>381000</xdr:colOff>
      <xdr:row>13</xdr:row>
      <xdr:rowOff>60960</xdr:rowOff>
    </xdr:to>
    <xdr:sp macro="" textlink="">
      <xdr:nvSpPr>
        <xdr:cNvPr id="63602" name="Rectangle 114">
          <a:extLst>
            <a:ext uri="{FF2B5EF4-FFF2-40B4-BE49-F238E27FC236}">
              <a16:creationId xmlns:a16="http://schemas.microsoft.com/office/drawing/2014/main" id="{BDF99C4C-7B0C-4077-A4FD-FC55E39DAA71}"/>
            </a:ext>
          </a:extLst>
        </xdr:cNvPr>
        <xdr:cNvSpPr>
          <a:spLocks noChangeArrowheads="1"/>
        </xdr:cNvSpPr>
      </xdr:nvSpPr>
      <xdr:spPr bwMode="auto">
        <a:xfrm>
          <a:off x="6598920" y="1127760"/>
          <a:ext cx="118872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26</xdr:col>
      <xdr:colOff>441960</xdr:colOff>
      <xdr:row>5</xdr:row>
      <xdr:rowOff>91440</xdr:rowOff>
    </xdr:from>
    <xdr:to>
      <xdr:col>26</xdr:col>
      <xdr:colOff>441960</xdr:colOff>
      <xdr:row>6</xdr:row>
      <xdr:rowOff>76200</xdr:rowOff>
    </xdr:to>
    <xdr:sp macro="" textlink="">
      <xdr:nvSpPr>
        <xdr:cNvPr id="63603" name="Line 115">
          <a:extLst>
            <a:ext uri="{FF2B5EF4-FFF2-40B4-BE49-F238E27FC236}">
              <a16:creationId xmlns:a16="http://schemas.microsoft.com/office/drawing/2014/main" id="{B025F3E7-E120-4EE0-B3FF-881DB1E6683E}"/>
            </a:ext>
          </a:extLst>
        </xdr:cNvPr>
        <xdr:cNvSpPr>
          <a:spLocks noChangeShapeType="1"/>
        </xdr:cNvSpPr>
      </xdr:nvSpPr>
      <xdr:spPr bwMode="auto">
        <a:xfrm flipV="1">
          <a:off x="6598920" y="96012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26</xdr:col>
      <xdr:colOff>320040</xdr:colOff>
      <xdr:row>13</xdr:row>
      <xdr:rowOff>60960</xdr:rowOff>
    </xdr:from>
    <xdr:to>
      <xdr:col>26</xdr:col>
      <xdr:colOff>441960</xdr:colOff>
      <xdr:row>14</xdr:row>
      <xdr:rowOff>7620</xdr:rowOff>
    </xdr:to>
    <xdr:sp macro="" textlink="">
      <xdr:nvSpPr>
        <xdr:cNvPr id="63604" name="Line 116">
          <a:extLst>
            <a:ext uri="{FF2B5EF4-FFF2-40B4-BE49-F238E27FC236}">
              <a16:creationId xmlns:a16="http://schemas.microsoft.com/office/drawing/2014/main" id="{967E8120-FA7F-49C3-8C30-95B28C5A8408}"/>
            </a:ext>
          </a:extLst>
        </xdr:cNvPr>
        <xdr:cNvSpPr>
          <a:spLocks noChangeShapeType="1"/>
        </xdr:cNvSpPr>
      </xdr:nvSpPr>
      <xdr:spPr bwMode="auto">
        <a:xfrm flipH="1">
          <a:off x="6477000" y="2270760"/>
          <a:ext cx="12192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28</xdr:col>
      <xdr:colOff>388620</xdr:colOff>
      <xdr:row>13</xdr:row>
      <xdr:rowOff>60960</xdr:rowOff>
    </xdr:from>
    <xdr:to>
      <xdr:col>28</xdr:col>
      <xdr:colOff>548640</xdr:colOff>
      <xdr:row>13</xdr:row>
      <xdr:rowOff>60960</xdr:rowOff>
    </xdr:to>
    <xdr:sp macro="" textlink="">
      <xdr:nvSpPr>
        <xdr:cNvPr id="63605" name="Line 117">
          <a:extLst>
            <a:ext uri="{FF2B5EF4-FFF2-40B4-BE49-F238E27FC236}">
              <a16:creationId xmlns:a16="http://schemas.microsoft.com/office/drawing/2014/main" id="{062177F3-9F84-455A-B267-F202326C0FA3}"/>
            </a:ext>
          </a:extLst>
        </xdr:cNvPr>
        <xdr:cNvSpPr>
          <a:spLocks noChangeShapeType="1"/>
        </xdr:cNvSpPr>
      </xdr:nvSpPr>
      <xdr:spPr bwMode="auto">
        <a:xfrm flipV="1">
          <a:off x="7795260" y="2270760"/>
          <a:ext cx="1600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26</xdr:col>
      <xdr:colOff>441960</xdr:colOff>
      <xdr:row>19</xdr:row>
      <xdr:rowOff>144780</xdr:rowOff>
    </xdr:from>
    <xdr:to>
      <xdr:col>28</xdr:col>
      <xdr:colOff>381000</xdr:colOff>
      <xdr:row>21</xdr:row>
      <xdr:rowOff>45720</xdr:rowOff>
    </xdr:to>
    <xdr:sp macro="" textlink="">
      <xdr:nvSpPr>
        <xdr:cNvPr id="63606" name="Rectangle 118">
          <a:extLst>
            <a:ext uri="{FF2B5EF4-FFF2-40B4-BE49-F238E27FC236}">
              <a16:creationId xmlns:a16="http://schemas.microsoft.com/office/drawing/2014/main" id="{9F96D6BE-5A6C-4618-A057-9D091A130BB8}"/>
            </a:ext>
          </a:extLst>
        </xdr:cNvPr>
        <xdr:cNvSpPr>
          <a:spLocks noChangeArrowheads="1"/>
        </xdr:cNvSpPr>
      </xdr:nvSpPr>
      <xdr:spPr bwMode="auto">
        <a:xfrm>
          <a:off x="6598920" y="3360420"/>
          <a:ext cx="1188720" cy="2362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27</xdr:col>
      <xdr:colOff>251460</xdr:colOff>
      <xdr:row>18</xdr:row>
      <xdr:rowOff>160020</xdr:rowOff>
    </xdr:from>
    <xdr:to>
      <xdr:col>27</xdr:col>
      <xdr:colOff>563880</xdr:colOff>
      <xdr:row>19</xdr:row>
      <xdr:rowOff>144780</xdr:rowOff>
    </xdr:to>
    <xdr:sp macro="" textlink="">
      <xdr:nvSpPr>
        <xdr:cNvPr id="63607" name="Rectangle 119">
          <a:extLst>
            <a:ext uri="{FF2B5EF4-FFF2-40B4-BE49-F238E27FC236}">
              <a16:creationId xmlns:a16="http://schemas.microsoft.com/office/drawing/2014/main" id="{45B51CCB-D287-44C7-8218-B00A71DF626E}"/>
            </a:ext>
          </a:extLst>
        </xdr:cNvPr>
        <xdr:cNvSpPr>
          <a:spLocks noChangeArrowheads="1"/>
        </xdr:cNvSpPr>
      </xdr:nvSpPr>
      <xdr:spPr bwMode="auto">
        <a:xfrm>
          <a:off x="7033260" y="3208020"/>
          <a:ext cx="31242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26</xdr:col>
      <xdr:colOff>556260</xdr:colOff>
      <xdr:row>21</xdr:row>
      <xdr:rowOff>45720</xdr:rowOff>
    </xdr:from>
    <xdr:to>
      <xdr:col>26</xdr:col>
      <xdr:colOff>556260</xdr:colOff>
      <xdr:row>23</xdr:row>
      <xdr:rowOff>76200</xdr:rowOff>
    </xdr:to>
    <xdr:sp macro="" textlink="">
      <xdr:nvSpPr>
        <xdr:cNvPr id="63608" name="Line 120">
          <a:extLst>
            <a:ext uri="{FF2B5EF4-FFF2-40B4-BE49-F238E27FC236}">
              <a16:creationId xmlns:a16="http://schemas.microsoft.com/office/drawing/2014/main" id="{DF4465EE-C649-438F-8B03-7056FD277212}"/>
            </a:ext>
          </a:extLst>
        </xdr:cNvPr>
        <xdr:cNvSpPr>
          <a:spLocks noChangeShapeType="1"/>
        </xdr:cNvSpPr>
      </xdr:nvSpPr>
      <xdr:spPr bwMode="auto">
        <a:xfrm>
          <a:off x="671322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76200</xdr:colOff>
      <xdr:row>21</xdr:row>
      <xdr:rowOff>45720</xdr:rowOff>
    </xdr:from>
    <xdr:to>
      <xdr:col>27</xdr:col>
      <xdr:colOff>76200</xdr:colOff>
      <xdr:row>23</xdr:row>
      <xdr:rowOff>76200</xdr:rowOff>
    </xdr:to>
    <xdr:sp macro="" textlink="">
      <xdr:nvSpPr>
        <xdr:cNvPr id="63609" name="Line 121">
          <a:extLst>
            <a:ext uri="{FF2B5EF4-FFF2-40B4-BE49-F238E27FC236}">
              <a16:creationId xmlns:a16="http://schemas.microsoft.com/office/drawing/2014/main" id="{043FC0DE-927E-4A0E-80D2-4A6D6E0647A2}"/>
            </a:ext>
          </a:extLst>
        </xdr:cNvPr>
        <xdr:cNvSpPr>
          <a:spLocks noChangeShapeType="1"/>
        </xdr:cNvSpPr>
      </xdr:nvSpPr>
      <xdr:spPr bwMode="auto">
        <a:xfrm>
          <a:off x="685800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480060</xdr:colOff>
      <xdr:row>23</xdr:row>
      <xdr:rowOff>76200</xdr:rowOff>
    </xdr:from>
    <xdr:to>
      <xdr:col>26</xdr:col>
      <xdr:colOff>586740</xdr:colOff>
      <xdr:row>23</xdr:row>
      <xdr:rowOff>76200</xdr:rowOff>
    </xdr:to>
    <xdr:sp macro="" textlink="">
      <xdr:nvSpPr>
        <xdr:cNvPr id="63610" name="Line 122">
          <a:extLst>
            <a:ext uri="{FF2B5EF4-FFF2-40B4-BE49-F238E27FC236}">
              <a16:creationId xmlns:a16="http://schemas.microsoft.com/office/drawing/2014/main" id="{24F58978-12B7-4E6C-9773-BD5A7EE8AD75}"/>
            </a:ext>
          </a:extLst>
        </xdr:cNvPr>
        <xdr:cNvSpPr>
          <a:spLocks noChangeShapeType="1"/>
        </xdr:cNvSpPr>
      </xdr:nvSpPr>
      <xdr:spPr bwMode="auto">
        <a:xfrm>
          <a:off x="663702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38100</xdr:colOff>
      <xdr:row>23</xdr:row>
      <xdr:rowOff>76200</xdr:rowOff>
    </xdr:from>
    <xdr:to>
      <xdr:col>27</xdr:col>
      <xdr:colOff>144780</xdr:colOff>
      <xdr:row>23</xdr:row>
      <xdr:rowOff>76200</xdr:rowOff>
    </xdr:to>
    <xdr:sp macro="" textlink="">
      <xdr:nvSpPr>
        <xdr:cNvPr id="63611" name="Line 123">
          <a:extLst>
            <a:ext uri="{FF2B5EF4-FFF2-40B4-BE49-F238E27FC236}">
              <a16:creationId xmlns:a16="http://schemas.microsoft.com/office/drawing/2014/main" id="{FEC6934B-2099-4ED8-B46D-CE68372CEB79}"/>
            </a:ext>
          </a:extLst>
        </xdr:cNvPr>
        <xdr:cNvSpPr>
          <a:spLocks noChangeShapeType="1"/>
        </xdr:cNvSpPr>
      </xdr:nvSpPr>
      <xdr:spPr bwMode="auto">
        <a:xfrm>
          <a:off x="681990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586740</xdr:colOff>
      <xdr:row>23</xdr:row>
      <xdr:rowOff>76200</xdr:rowOff>
    </xdr:from>
    <xdr:to>
      <xdr:col>26</xdr:col>
      <xdr:colOff>609600</xdr:colOff>
      <xdr:row>23</xdr:row>
      <xdr:rowOff>99060</xdr:rowOff>
    </xdr:to>
    <xdr:sp macro="" textlink="">
      <xdr:nvSpPr>
        <xdr:cNvPr id="63612" name="Line 124">
          <a:extLst>
            <a:ext uri="{FF2B5EF4-FFF2-40B4-BE49-F238E27FC236}">
              <a16:creationId xmlns:a16="http://schemas.microsoft.com/office/drawing/2014/main" id="{3E828FCC-E4A0-46A9-8630-41879DB9F2CE}"/>
            </a:ext>
          </a:extLst>
        </xdr:cNvPr>
        <xdr:cNvSpPr>
          <a:spLocks noChangeShapeType="1"/>
        </xdr:cNvSpPr>
      </xdr:nvSpPr>
      <xdr:spPr bwMode="auto">
        <a:xfrm>
          <a:off x="674370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22860</xdr:colOff>
      <xdr:row>23</xdr:row>
      <xdr:rowOff>60960</xdr:rowOff>
    </xdr:from>
    <xdr:to>
      <xdr:col>27</xdr:col>
      <xdr:colOff>45720</xdr:colOff>
      <xdr:row>23</xdr:row>
      <xdr:rowOff>83820</xdr:rowOff>
    </xdr:to>
    <xdr:sp macro="" textlink="">
      <xdr:nvSpPr>
        <xdr:cNvPr id="63613" name="Line 125">
          <a:extLst>
            <a:ext uri="{FF2B5EF4-FFF2-40B4-BE49-F238E27FC236}">
              <a16:creationId xmlns:a16="http://schemas.microsoft.com/office/drawing/2014/main" id="{B57E395B-1902-415F-9E71-B17A53D68329}"/>
            </a:ext>
          </a:extLst>
        </xdr:cNvPr>
        <xdr:cNvSpPr>
          <a:spLocks noChangeShapeType="1"/>
        </xdr:cNvSpPr>
      </xdr:nvSpPr>
      <xdr:spPr bwMode="auto">
        <a:xfrm flipH="1" flipV="1">
          <a:off x="680466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601980</xdr:colOff>
      <xdr:row>23</xdr:row>
      <xdr:rowOff>60960</xdr:rowOff>
    </xdr:from>
    <xdr:to>
      <xdr:col>27</xdr:col>
      <xdr:colOff>22860</xdr:colOff>
      <xdr:row>23</xdr:row>
      <xdr:rowOff>99060</xdr:rowOff>
    </xdr:to>
    <xdr:sp macro="" textlink="">
      <xdr:nvSpPr>
        <xdr:cNvPr id="63614" name="Line 126">
          <a:extLst>
            <a:ext uri="{FF2B5EF4-FFF2-40B4-BE49-F238E27FC236}">
              <a16:creationId xmlns:a16="http://schemas.microsoft.com/office/drawing/2014/main" id="{194A3035-A42D-4C32-839E-47DC87D2A3F2}"/>
            </a:ext>
          </a:extLst>
        </xdr:cNvPr>
        <xdr:cNvSpPr>
          <a:spLocks noChangeShapeType="1"/>
        </xdr:cNvSpPr>
      </xdr:nvSpPr>
      <xdr:spPr bwMode="auto">
        <a:xfrm flipV="1">
          <a:off x="6758940" y="3947160"/>
          <a:ext cx="4572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114300</xdr:colOff>
      <xdr:row>21</xdr:row>
      <xdr:rowOff>45720</xdr:rowOff>
    </xdr:from>
    <xdr:to>
      <xdr:col>28</xdr:col>
      <xdr:colOff>114300</xdr:colOff>
      <xdr:row>23</xdr:row>
      <xdr:rowOff>76200</xdr:rowOff>
    </xdr:to>
    <xdr:sp macro="" textlink="">
      <xdr:nvSpPr>
        <xdr:cNvPr id="63615" name="Line 127">
          <a:extLst>
            <a:ext uri="{FF2B5EF4-FFF2-40B4-BE49-F238E27FC236}">
              <a16:creationId xmlns:a16="http://schemas.microsoft.com/office/drawing/2014/main" id="{D602ECAA-B407-40F5-BC4C-E3448C1CF7EF}"/>
            </a:ext>
          </a:extLst>
        </xdr:cNvPr>
        <xdr:cNvSpPr>
          <a:spLocks noChangeShapeType="1"/>
        </xdr:cNvSpPr>
      </xdr:nvSpPr>
      <xdr:spPr bwMode="auto">
        <a:xfrm>
          <a:off x="752094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21</xdr:row>
      <xdr:rowOff>45720</xdr:rowOff>
    </xdr:from>
    <xdr:to>
      <xdr:col>28</xdr:col>
      <xdr:colOff>266700</xdr:colOff>
      <xdr:row>23</xdr:row>
      <xdr:rowOff>76200</xdr:rowOff>
    </xdr:to>
    <xdr:sp macro="" textlink="">
      <xdr:nvSpPr>
        <xdr:cNvPr id="63616" name="Line 128">
          <a:extLst>
            <a:ext uri="{FF2B5EF4-FFF2-40B4-BE49-F238E27FC236}">
              <a16:creationId xmlns:a16="http://schemas.microsoft.com/office/drawing/2014/main" id="{EB5DC949-1A6C-4C66-B8D7-66796BB81F84}"/>
            </a:ext>
          </a:extLst>
        </xdr:cNvPr>
        <xdr:cNvSpPr>
          <a:spLocks noChangeShapeType="1"/>
        </xdr:cNvSpPr>
      </xdr:nvSpPr>
      <xdr:spPr bwMode="auto">
        <a:xfrm>
          <a:off x="767334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23</xdr:row>
      <xdr:rowOff>76200</xdr:rowOff>
    </xdr:from>
    <xdr:to>
      <xdr:col>28</xdr:col>
      <xdr:colOff>144780</xdr:colOff>
      <xdr:row>23</xdr:row>
      <xdr:rowOff>76200</xdr:rowOff>
    </xdr:to>
    <xdr:sp macro="" textlink="">
      <xdr:nvSpPr>
        <xdr:cNvPr id="63617" name="Line 129">
          <a:extLst>
            <a:ext uri="{FF2B5EF4-FFF2-40B4-BE49-F238E27FC236}">
              <a16:creationId xmlns:a16="http://schemas.microsoft.com/office/drawing/2014/main" id="{9768D631-10EC-4F8F-AEBB-337528068153}"/>
            </a:ext>
          </a:extLst>
        </xdr:cNvPr>
        <xdr:cNvSpPr>
          <a:spLocks noChangeShapeType="1"/>
        </xdr:cNvSpPr>
      </xdr:nvSpPr>
      <xdr:spPr bwMode="auto">
        <a:xfrm>
          <a:off x="744474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220980</xdr:colOff>
      <xdr:row>23</xdr:row>
      <xdr:rowOff>76200</xdr:rowOff>
    </xdr:from>
    <xdr:to>
      <xdr:col>28</xdr:col>
      <xdr:colOff>327660</xdr:colOff>
      <xdr:row>23</xdr:row>
      <xdr:rowOff>76200</xdr:rowOff>
    </xdr:to>
    <xdr:sp macro="" textlink="">
      <xdr:nvSpPr>
        <xdr:cNvPr id="63618" name="Line 130">
          <a:extLst>
            <a:ext uri="{FF2B5EF4-FFF2-40B4-BE49-F238E27FC236}">
              <a16:creationId xmlns:a16="http://schemas.microsoft.com/office/drawing/2014/main" id="{31D036A0-D31A-4C86-B836-347BA308B4C5}"/>
            </a:ext>
          </a:extLst>
        </xdr:cNvPr>
        <xdr:cNvSpPr>
          <a:spLocks noChangeShapeType="1"/>
        </xdr:cNvSpPr>
      </xdr:nvSpPr>
      <xdr:spPr bwMode="auto">
        <a:xfrm>
          <a:off x="762762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144780</xdr:colOff>
      <xdr:row>23</xdr:row>
      <xdr:rowOff>76200</xdr:rowOff>
    </xdr:from>
    <xdr:to>
      <xdr:col>28</xdr:col>
      <xdr:colOff>167640</xdr:colOff>
      <xdr:row>23</xdr:row>
      <xdr:rowOff>99060</xdr:rowOff>
    </xdr:to>
    <xdr:sp macro="" textlink="">
      <xdr:nvSpPr>
        <xdr:cNvPr id="63619" name="Line 131">
          <a:extLst>
            <a:ext uri="{FF2B5EF4-FFF2-40B4-BE49-F238E27FC236}">
              <a16:creationId xmlns:a16="http://schemas.microsoft.com/office/drawing/2014/main" id="{CE57F3D8-5C88-42B4-A511-461759A9F319}"/>
            </a:ext>
          </a:extLst>
        </xdr:cNvPr>
        <xdr:cNvSpPr>
          <a:spLocks noChangeShapeType="1"/>
        </xdr:cNvSpPr>
      </xdr:nvSpPr>
      <xdr:spPr bwMode="auto">
        <a:xfrm>
          <a:off x="755142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205740</xdr:colOff>
      <xdr:row>23</xdr:row>
      <xdr:rowOff>60960</xdr:rowOff>
    </xdr:from>
    <xdr:to>
      <xdr:col>28</xdr:col>
      <xdr:colOff>228600</xdr:colOff>
      <xdr:row>23</xdr:row>
      <xdr:rowOff>83820</xdr:rowOff>
    </xdr:to>
    <xdr:sp macro="" textlink="">
      <xdr:nvSpPr>
        <xdr:cNvPr id="63620" name="Line 132">
          <a:extLst>
            <a:ext uri="{FF2B5EF4-FFF2-40B4-BE49-F238E27FC236}">
              <a16:creationId xmlns:a16="http://schemas.microsoft.com/office/drawing/2014/main" id="{41732D30-0667-42BD-8DC5-6DA9F8BECA46}"/>
            </a:ext>
          </a:extLst>
        </xdr:cNvPr>
        <xdr:cNvSpPr>
          <a:spLocks noChangeShapeType="1"/>
        </xdr:cNvSpPr>
      </xdr:nvSpPr>
      <xdr:spPr bwMode="auto">
        <a:xfrm flipH="1" flipV="1">
          <a:off x="761238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167640</xdr:colOff>
      <xdr:row>23</xdr:row>
      <xdr:rowOff>60960</xdr:rowOff>
    </xdr:from>
    <xdr:to>
      <xdr:col>28</xdr:col>
      <xdr:colOff>205740</xdr:colOff>
      <xdr:row>23</xdr:row>
      <xdr:rowOff>99060</xdr:rowOff>
    </xdr:to>
    <xdr:sp macro="" textlink="">
      <xdr:nvSpPr>
        <xdr:cNvPr id="63621" name="Line 133">
          <a:extLst>
            <a:ext uri="{FF2B5EF4-FFF2-40B4-BE49-F238E27FC236}">
              <a16:creationId xmlns:a16="http://schemas.microsoft.com/office/drawing/2014/main" id="{1F6D3BDC-0276-4828-8762-FF48620ED443}"/>
            </a:ext>
          </a:extLst>
        </xdr:cNvPr>
        <xdr:cNvSpPr>
          <a:spLocks noChangeShapeType="1"/>
        </xdr:cNvSpPr>
      </xdr:nvSpPr>
      <xdr:spPr bwMode="auto">
        <a:xfrm flipV="1">
          <a:off x="7574280" y="3947160"/>
          <a:ext cx="3810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556260</xdr:colOff>
      <xdr:row>20</xdr:row>
      <xdr:rowOff>160020</xdr:rowOff>
    </xdr:from>
    <xdr:to>
      <xdr:col>26</xdr:col>
      <xdr:colOff>556260</xdr:colOff>
      <xdr:row>21</xdr:row>
      <xdr:rowOff>45720</xdr:rowOff>
    </xdr:to>
    <xdr:sp macro="" textlink="">
      <xdr:nvSpPr>
        <xdr:cNvPr id="63622" name="Line 134">
          <a:extLst>
            <a:ext uri="{FF2B5EF4-FFF2-40B4-BE49-F238E27FC236}">
              <a16:creationId xmlns:a16="http://schemas.microsoft.com/office/drawing/2014/main" id="{EAC9CE75-171A-4306-A0E6-589294D09B99}"/>
            </a:ext>
          </a:extLst>
        </xdr:cNvPr>
        <xdr:cNvSpPr>
          <a:spLocks noChangeShapeType="1"/>
        </xdr:cNvSpPr>
      </xdr:nvSpPr>
      <xdr:spPr bwMode="auto">
        <a:xfrm flipV="1">
          <a:off x="671322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76200</xdr:colOff>
      <xdr:row>20</xdr:row>
      <xdr:rowOff>160020</xdr:rowOff>
    </xdr:from>
    <xdr:to>
      <xdr:col>27</xdr:col>
      <xdr:colOff>76200</xdr:colOff>
      <xdr:row>21</xdr:row>
      <xdr:rowOff>45720</xdr:rowOff>
    </xdr:to>
    <xdr:sp macro="" textlink="">
      <xdr:nvSpPr>
        <xdr:cNvPr id="63623" name="Line 135">
          <a:extLst>
            <a:ext uri="{FF2B5EF4-FFF2-40B4-BE49-F238E27FC236}">
              <a16:creationId xmlns:a16="http://schemas.microsoft.com/office/drawing/2014/main" id="{1CD33F8B-D4CA-4CB4-B60B-AD321DF7AADF}"/>
            </a:ext>
          </a:extLst>
        </xdr:cNvPr>
        <xdr:cNvSpPr>
          <a:spLocks noChangeShapeType="1"/>
        </xdr:cNvSpPr>
      </xdr:nvSpPr>
      <xdr:spPr bwMode="auto">
        <a:xfrm flipV="1">
          <a:off x="685800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114300</xdr:colOff>
      <xdr:row>20</xdr:row>
      <xdr:rowOff>160020</xdr:rowOff>
    </xdr:from>
    <xdr:to>
      <xdr:col>28</xdr:col>
      <xdr:colOff>114300</xdr:colOff>
      <xdr:row>21</xdr:row>
      <xdr:rowOff>45720</xdr:rowOff>
    </xdr:to>
    <xdr:sp macro="" textlink="">
      <xdr:nvSpPr>
        <xdr:cNvPr id="63624" name="Line 136">
          <a:extLst>
            <a:ext uri="{FF2B5EF4-FFF2-40B4-BE49-F238E27FC236}">
              <a16:creationId xmlns:a16="http://schemas.microsoft.com/office/drawing/2014/main" id="{3CA2FC73-107D-47EF-A2B5-65D452D35509}"/>
            </a:ext>
          </a:extLst>
        </xdr:cNvPr>
        <xdr:cNvSpPr>
          <a:spLocks noChangeShapeType="1"/>
        </xdr:cNvSpPr>
      </xdr:nvSpPr>
      <xdr:spPr bwMode="auto">
        <a:xfrm flipV="1">
          <a:off x="752094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20</xdr:row>
      <xdr:rowOff>160020</xdr:rowOff>
    </xdr:from>
    <xdr:to>
      <xdr:col>28</xdr:col>
      <xdr:colOff>266700</xdr:colOff>
      <xdr:row>21</xdr:row>
      <xdr:rowOff>45720</xdr:rowOff>
    </xdr:to>
    <xdr:sp macro="" textlink="">
      <xdr:nvSpPr>
        <xdr:cNvPr id="63625" name="Line 137">
          <a:extLst>
            <a:ext uri="{FF2B5EF4-FFF2-40B4-BE49-F238E27FC236}">
              <a16:creationId xmlns:a16="http://schemas.microsoft.com/office/drawing/2014/main" id="{82FBC8BD-036B-4C57-8A08-7693EC303F54}"/>
            </a:ext>
          </a:extLst>
        </xdr:cNvPr>
        <xdr:cNvSpPr>
          <a:spLocks noChangeShapeType="1"/>
        </xdr:cNvSpPr>
      </xdr:nvSpPr>
      <xdr:spPr bwMode="auto">
        <a:xfrm flipV="1">
          <a:off x="767334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556260</xdr:colOff>
      <xdr:row>21</xdr:row>
      <xdr:rowOff>0</xdr:rowOff>
    </xdr:from>
    <xdr:to>
      <xdr:col>27</xdr:col>
      <xdr:colOff>76200</xdr:colOff>
      <xdr:row>21</xdr:row>
      <xdr:rowOff>0</xdr:rowOff>
    </xdr:to>
    <xdr:sp macro="" textlink="">
      <xdr:nvSpPr>
        <xdr:cNvPr id="63626" name="Line 138">
          <a:extLst>
            <a:ext uri="{FF2B5EF4-FFF2-40B4-BE49-F238E27FC236}">
              <a16:creationId xmlns:a16="http://schemas.microsoft.com/office/drawing/2014/main" id="{0F22644B-E2F5-4E57-B8B8-908ABB1A3B9D}"/>
            </a:ext>
          </a:extLst>
        </xdr:cNvPr>
        <xdr:cNvSpPr>
          <a:spLocks noChangeShapeType="1"/>
        </xdr:cNvSpPr>
      </xdr:nvSpPr>
      <xdr:spPr bwMode="auto">
        <a:xfrm>
          <a:off x="671322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114300</xdr:colOff>
      <xdr:row>21</xdr:row>
      <xdr:rowOff>0</xdr:rowOff>
    </xdr:from>
    <xdr:to>
      <xdr:col>28</xdr:col>
      <xdr:colOff>259080</xdr:colOff>
      <xdr:row>21</xdr:row>
      <xdr:rowOff>0</xdr:rowOff>
    </xdr:to>
    <xdr:sp macro="" textlink="">
      <xdr:nvSpPr>
        <xdr:cNvPr id="63627" name="Line 139">
          <a:extLst>
            <a:ext uri="{FF2B5EF4-FFF2-40B4-BE49-F238E27FC236}">
              <a16:creationId xmlns:a16="http://schemas.microsoft.com/office/drawing/2014/main" id="{C3BED3BF-134F-427F-9A7B-969A921A2E3A}"/>
            </a:ext>
          </a:extLst>
        </xdr:cNvPr>
        <xdr:cNvSpPr>
          <a:spLocks noChangeShapeType="1"/>
        </xdr:cNvSpPr>
      </xdr:nvSpPr>
      <xdr:spPr bwMode="auto">
        <a:xfrm>
          <a:off x="752094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617220</xdr:colOff>
      <xdr:row>18</xdr:row>
      <xdr:rowOff>160020</xdr:rowOff>
    </xdr:from>
    <xdr:to>
      <xdr:col>27</xdr:col>
      <xdr:colOff>213360</xdr:colOff>
      <xdr:row>18</xdr:row>
      <xdr:rowOff>160020</xdr:rowOff>
    </xdr:to>
    <xdr:sp macro="" textlink="">
      <xdr:nvSpPr>
        <xdr:cNvPr id="63628" name="Line 140">
          <a:extLst>
            <a:ext uri="{FF2B5EF4-FFF2-40B4-BE49-F238E27FC236}">
              <a16:creationId xmlns:a16="http://schemas.microsoft.com/office/drawing/2014/main" id="{1D214166-7F44-4643-9C40-ECEB76984C8A}"/>
            </a:ext>
          </a:extLst>
        </xdr:cNvPr>
        <xdr:cNvSpPr>
          <a:spLocks noChangeShapeType="1"/>
        </xdr:cNvSpPr>
      </xdr:nvSpPr>
      <xdr:spPr bwMode="auto">
        <a:xfrm>
          <a:off x="6774180" y="3208020"/>
          <a:ext cx="2209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26</xdr:col>
      <xdr:colOff>236220</xdr:colOff>
      <xdr:row>21</xdr:row>
      <xdr:rowOff>0</xdr:rowOff>
    </xdr:from>
    <xdr:to>
      <xdr:col>26</xdr:col>
      <xdr:colOff>518160</xdr:colOff>
      <xdr:row>21</xdr:row>
      <xdr:rowOff>0</xdr:rowOff>
    </xdr:to>
    <xdr:sp macro="" textlink="">
      <xdr:nvSpPr>
        <xdr:cNvPr id="63629" name="Line 141">
          <a:extLst>
            <a:ext uri="{FF2B5EF4-FFF2-40B4-BE49-F238E27FC236}">
              <a16:creationId xmlns:a16="http://schemas.microsoft.com/office/drawing/2014/main" id="{8B3F3F18-8B15-4B54-BE1A-0E0CA1F6C7BE}"/>
            </a:ext>
          </a:extLst>
        </xdr:cNvPr>
        <xdr:cNvSpPr>
          <a:spLocks noChangeShapeType="1"/>
        </xdr:cNvSpPr>
      </xdr:nvSpPr>
      <xdr:spPr bwMode="auto">
        <a:xfrm>
          <a:off x="6393180" y="355092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236220</xdr:colOff>
      <xdr:row>18</xdr:row>
      <xdr:rowOff>160020</xdr:rowOff>
    </xdr:from>
    <xdr:to>
      <xdr:col>26</xdr:col>
      <xdr:colOff>579120</xdr:colOff>
      <xdr:row>18</xdr:row>
      <xdr:rowOff>160020</xdr:rowOff>
    </xdr:to>
    <xdr:sp macro="" textlink="">
      <xdr:nvSpPr>
        <xdr:cNvPr id="63630" name="Line 142">
          <a:extLst>
            <a:ext uri="{FF2B5EF4-FFF2-40B4-BE49-F238E27FC236}">
              <a16:creationId xmlns:a16="http://schemas.microsoft.com/office/drawing/2014/main" id="{54E2E756-5ABE-4DD4-8F3A-78BA40E82BA9}"/>
            </a:ext>
          </a:extLst>
        </xdr:cNvPr>
        <xdr:cNvSpPr>
          <a:spLocks noChangeShapeType="1"/>
        </xdr:cNvSpPr>
      </xdr:nvSpPr>
      <xdr:spPr bwMode="auto">
        <a:xfrm>
          <a:off x="6393180" y="320802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320040</xdr:colOff>
      <xdr:row>18</xdr:row>
      <xdr:rowOff>160020</xdr:rowOff>
    </xdr:from>
    <xdr:to>
      <xdr:col>26</xdr:col>
      <xdr:colOff>320040</xdr:colOff>
      <xdr:row>21</xdr:row>
      <xdr:rowOff>0</xdr:rowOff>
    </xdr:to>
    <xdr:sp macro="" textlink="">
      <xdr:nvSpPr>
        <xdr:cNvPr id="63631" name="Line 143">
          <a:extLst>
            <a:ext uri="{FF2B5EF4-FFF2-40B4-BE49-F238E27FC236}">
              <a16:creationId xmlns:a16="http://schemas.microsoft.com/office/drawing/2014/main" id="{89379F58-51E2-4866-8EF7-92B2270AEDF9}"/>
            </a:ext>
          </a:extLst>
        </xdr:cNvPr>
        <xdr:cNvSpPr>
          <a:spLocks noChangeShapeType="1"/>
        </xdr:cNvSpPr>
      </xdr:nvSpPr>
      <xdr:spPr bwMode="auto">
        <a:xfrm>
          <a:off x="6477000" y="320802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411480</xdr:colOff>
      <xdr:row>16</xdr:row>
      <xdr:rowOff>45720</xdr:rowOff>
    </xdr:from>
    <xdr:to>
      <xdr:col>27</xdr:col>
      <xdr:colOff>411480</xdr:colOff>
      <xdr:row>18</xdr:row>
      <xdr:rowOff>144780</xdr:rowOff>
    </xdr:to>
    <xdr:sp macro="" textlink="">
      <xdr:nvSpPr>
        <xdr:cNvPr id="63632" name="Line 144">
          <a:extLst>
            <a:ext uri="{FF2B5EF4-FFF2-40B4-BE49-F238E27FC236}">
              <a16:creationId xmlns:a16="http://schemas.microsoft.com/office/drawing/2014/main" id="{5D550099-8D50-4B2E-A347-ED8860152D7F}"/>
            </a:ext>
          </a:extLst>
        </xdr:cNvPr>
        <xdr:cNvSpPr>
          <a:spLocks noChangeShapeType="1"/>
        </xdr:cNvSpPr>
      </xdr:nvSpPr>
      <xdr:spPr bwMode="auto">
        <a:xfrm>
          <a:off x="7193280" y="2758440"/>
          <a:ext cx="0" cy="434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27</xdr:col>
      <xdr:colOff>76200</xdr:colOff>
      <xdr:row>24</xdr:row>
      <xdr:rowOff>0</xdr:rowOff>
    </xdr:from>
    <xdr:to>
      <xdr:col>28</xdr:col>
      <xdr:colOff>137160</xdr:colOff>
      <xdr:row>25</xdr:row>
      <xdr:rowOff>60960</xdr:rowOff>
    </xdr:to>
    <xdr:sp macro="" textlink="">
      <xdr:nvSpPr>
        <xdr:cNvPr id="63633" name="Text Box 145">
          <a:extLst>
            <a:ext uri="{FF2B5EF4-FFF2-40B4-BE49-F238E27FC236}">
              <a16:creationId xmlns:a16="http://schemas.microsoft.com/office/drawing/2014/main" id="{2C35543C-67AF-4A46-9942-BE8CC211F9EA}"/>
            </a:ext>
          </a:extLst>
        </xdr:cNvPr>
        <xdr:cNvSpPr txBox="1">
          <a:spLocks noChangeArrowheads="1"/>
        </xdr:cNvSpPr>
      </xdr:nvSpPr>
      <xdr:spPr bwMode="auto">
        <a:xfrm>
          <a:off x="6858000" y="4053840"/>
          <a:ext cx="685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Elevation</a:t>
          </a:r>
        </a:p>
      </xdr:txBody>
    </xdr:sp>
    <xdr:clientData/>
  </xdr:twoCellAnchor>
  <xdr:twoCellAnchor>
    <xdr:from>
      <xdr:col>27</xdr:col>
      <xdr:colOff>236220</xdr:colOff>
      <xdr:row>14</xdr:row>
      <xdr:rowOff>0</xdr:rowOff>
    </xdr:from>
    <xdr:to>
      <xdr:col>28</xdr:col>
      <xdr:colOff>7620</xdr:colOff>
      <xdr:row>15</xdr:row>
      <xdr:rowOff>38100</xdr:rowOff>
    </xdr:to>
    <xdr:sp macro="" textlink="">
      <xdr:nvSpPr>
        <xdr:cNvPr id="63634" name="Text Box 146">
          <a:extLst>
            <a:ext uri="{FF2B5EF4-FFF2-40B4-BE49-F238E27FC236}">
              <a16:creationId xmlns:a16="http://schemas.microsoft.com/office/drawing/2014/main" id="{1F8C21E6-78DD-4908-AD29-2793879F2B46}"/>
            </a:ext>
          </a:extLst>
        </xdr:cNvPr>
        <xdr:cNvSpPr txBox="1">
          <a:spLocks noChangeArrowheads="1"/>
        </xdr:cNvSpPr>
      </xdr:nvSpPr>
      <xdr:spPr bwMode="auto">
        <a:xfrm>
          <a:off x="7018020" y="2377440"/>
          <a:ext cx="3962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Plan</a:t>
          </a:r>
        </a:p>
      </xdr:txBody>
    </xdr:sp>
    <xdr:clientData/>
  </xdr:twoCellAnchor>
  <xdr:twoCellAnchor>
    <xdr:from>
      <xdr:col>26</xdr:col>
      <xdr:colOff>556260</xdr:colOff>
      <xdr:row>11</xdr:row>
      <xdr:rowOff>129540</xdr:rowOff>
    </xdr:from>
    <xdr:to>
      <xdr:col>27</xdr:col>
      <xdr:colOff>76200</xdr:colOff>
      <xdr:row>12</xdr:row>
      <xdr:rowOff>106680</xdr:rowOff>
    </xdr:to>
    <xdr:sp macro="" textlink="">
      <xdr:nvSpPr>
        <xdr:cNvPr id="63635" name="Oval 147">
          <a:extLst>
            <a:ext uri="{FF2B5EF4-FFF2-40B4-BE49-F238E27FC236}">
              <a16:creationId xmlns:a16="http://schemas.microsoft.com/office/drawing/2014/main" id="{A986DF85-B960-48A8-AA4C-375F9592056F}"/>
            </a:ext>
          </a:extLst>
        </xdr:cNvPr>
        <xdr:cNvSpPr>
          <a:spLocks noChangeArrowheads="1"/>
        </xdr:cNvSpPr>
      </xdr:nvSpPr>
      <xdr:spPr bwMode="auto">
        <a:xfrm>
          <a:off x="6713220" y="2004060"/>
          <a:ext cx="14478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556260</xdr:colOff>
      <xdr:row>7</xdr:row>
      <xdr:rowOff>38100</xdr:rowOff>
    </xdr:from>
    <xdr:to>
      <xdr:col>27</xdr:col>
      <xdr:colOff>76200</xdr:colOff>
      <xdr:row>8</xdr:row>
      <xdr:rowOff>22860</xdr:rowOff>
    </xdr:to>
    <xdr:sp macro="" textlink="">
      <xdr:nvSpPr>
        <xdr:cNvPr id="63636" name="Oval 148">
          <a:extLst>
            <a:ext uri="{FF2B5EF4-FFF2-40B4-BE49-F238E27FC236}">
              <a16:creationId xmlns:a16="http://schemas.microsoft.com/office/drawing/2014/main" id="{315CDB93-D197-4C6F-8996-0DEE3BA57248}"/>
            </a:ext>
          </a:extLst>
        </xdr:cNvPr>
        <xdr:cNvSpPr>
          <a:spLocks noChangeArrowheads="1"/>
        </xdr:cNvSpPr>
      </xdr:nvSpPr>
      <xdr:spPr bwMode="auto">
        <a:xfrm>
          <a:off x="6713220" y="1242060"/>
          <a:ext cx="14478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114300</xdr:colOff>
      <xdr:row>11</xdr:row>
      <xdr:rowOff>129540</xdr:rowOff>
    </xdr:from>
    <xdr:to>
      <xdr:col>28</xdr:col>
      <xdr:colOff>266700</xdr:colOff>
      <xdr:row>12</xdr:row>
      <xdr:rowOff>106680</xdr:rowOff>
    </xdr:to>
    <xdr:sp macro="" textlink="">
      <xdr:nvSpPr>
        <xdr:cNvPr id="63637" name="Oval 149">
          <a:extLst>
            <a:ext uri="{FF2B5EF4-FFF2-40B4-BE49-F238E27FC236}">
              <a16:creationId xmlns:a16="http://schemas.microsoft.com/office/drawing/2014/main" id="{96C34981-00B7-4883-A2F4-87B2C4E62EB2}"/>
            </a:ext>
          </a:extLst>
        </xdr:cNvPr>
        <xdr:cNvSpPr>
          <a:spLocks noChangeArrowheads="1"/>
        </xdr:cNvSpPr>
      </xdr:nvSpPr>
      <xdr:spPr bwMode="auto">
        <a:xfrm>
          <a:off x="7520940" y="2004060"/>
          <a:ext cx="15240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114300</xdr:colOff>
      <xdr:row>7</xdr:row>
      <xdr:rowOff>38100</xdr:rowOff>
    </xdr:from>
    <xdr:to>
      <xdr:col>28</xdr:col>
      <xdr:colOff>266700</xdr:colOff>
      <xdr:row>8</xdr:row>
      <xdr:rowOff>22860</xdr:rowOff>
    </xdr:to>
    <xdr:sp macro="" textlink="">
      <xdr:nvSpPr>
        <xdr:cNvPr id="63638" name="Oval 150">
          <a:extLst>
            <a:ext uri="{FF2B5EF4-FFF2-40B4-BE49-F238E27FC236}">
              <a16:creationId xmlns:a16="http://schemas.microsoft.com/office/drawing/2014/main" id="{9B4EA2FC-4692-4215-829D-8D8F6F261CD7}"/>
            </a:ext>
          </a:extLst>
        </xdr:cNvPr>
        <xdr:cNvSpPr>
          <a:spLocks noChangeArrowheads="1"/>
        </xdr:cNvSpPr>
      </xdr:nvSpPr>
      <xdr:spPr bwMode="auto">
        <a:xfrm>
          <a:off x="7520940" y="124206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251460</xdr:colOff>
      <xdr:row>9</xdr:row>
      <xdr:rowOff>0</xdr:rowOff>
    </xdr:from>
    <xdr:to>
      <xdr:col>27</xdr:col>
      <xdr:colOff>563880</xdr:colOff>
      <xdr:row>10</xdr:row>
      <xdr:rowOff>144780</xdr:rowOff>
    </xdr:to>
    <xdr:sp macro="" textlink="">
      <xdr:nvSpPr>
        <xdr:cNvPr id="63639" name="Rectangle 151">
          <a:extLst>
            <a:ext uri="{FF2B5EF4-FFF2-40B4-BE49-F238E27FC236}">
              <a16:creationId xmlns:a16="http://schemas.microsoft.com/office/drawing/2014/main" id="{5034200C-C201-4C3C-8347-690F308BF9C9}"/>
            </a:ext>
          </a:extLst>
        </xdr:cNvPr>
        <xdr:cNvSpPr>
          <a:spLocks noChangeArrowheads="1"/>
        </xdr:cNvSpPr>
      </xdr:nvSpPr>
      <xdr:spPr bwMode="auto">
        <a:xfrm>
          <a:off x="7033260" y="1539240"/>
          <a:ext cx="312420" cy="3124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27</xdr:col>
      <xdr:colOff>411480</xdr:colOff>
      <xdr:row>7</xdr:row>
      <xdr:rowOff>129540</xdr:rowOff>
    </xdr:from>
    <xdr:to>
      <xdr:col>27</xdr:col>
      <xdr:colOff>411480</xdr:colOff>
      <xdr:row>9</xdr:row>
      <xdr:rowOff>137160</xdr:rowOff>
    </xdr:to>
    <xdr:sp macro="" textlink="">
      <xdr:nvSpPr>
        <xdr:cNvPr id="63640" name="Line 152">
          <a:extLst>
            <a:ext uri="{FF2B5EF4-FFF2-40B4-BE49-F238E27FC236}">
              <a16:creationId xmlns:a16="http://schemas.microsoft.com/office/drawing/2014/main" id="{E4A74174-572E-4991-9F54-CF6638DAE802}"/>
            </a:ext>
          </a:extLst>
        </xdr:cNvPr>
        <xdr:cNvSpPr>
          <a:spLocks noChangeShapeType="1"/>
        </xdr:cNvSpPr>
      </xdr:nvSpPr>
      <xdr:spPr bwMode="auto">
        <a:xfrm flipV="1">
          <a:off x="7193280" y="13335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426720</xdr:colOff>
      <xdr:row>9</xdr:row>
      <xdr:rowOff>160020</xdr:rowOff>
    </xdr:from>
    <xdr:to>
      <xdr:col>28</xdr:col>
      <xdr:colOff>175260</xdr:colOff>
      <xdr:row>9</xdr:row>
      <xdr:rowOff>160020</xdr:rowOff>
    </xdr:to>
    <xdr:sp macro="" textlink="">
      <xdr:nvSpPr>
        <xdr:cNvPr id="63641" name="Line 153">
          <a:extLst>
            <a:ext uri="{FF2B5EF4-FFF2-40B4-BE49-F238E27FC236}">
              <a16:creationId xmlns:a16="http://schemas.microsoft.com/office/drawing/2014/main" id="{6A755F12-7C0E-4F63-B314-9A5FAB28FDFA}"/>
            </a:ext>
          </a:extLst>
        </xdr:cNvPr>
        <xdr:cNvSpPr>
          <a:spLocks noChangeShapeType="1"/>
        </xdr:cNvSpPr>
      </xdr:nvSpPr>
      <xdr:spPr bwMode="auto">
        <a:xfrm>
          <a:off x="7208520" y="1699260"/>
          <a:ext cx="373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441960</xdr:colOff>
      <xdr:row>8</xdr:row>
      <xdr:rowOff>68580</xdr:rowOff>
    </xdr:from>
    <xdr:to>
      <xdr:col>27</xdr:col>
      <xdr:colOff>411480</xdr:colOff>
      <xdr:row>8</xdr:row>
      <xdr:rowOff>68580</xdr:rowOff>
    </xdr:to>
    <xdr:sp macro="" textlink="">
      <xdr:nvSpPr>
        <xdr:cNvPr id="63642" name="Line 154">
          <a:extLst>
            <a:ext uri="{FF2B5EF4-FFF2-40B4-BE49-F238E27FC236}">
              <a16:creationId xmlns:a16="http://schemas.microsoft.com/office/drawing/2014/main" id="{DC73B23A-8AF5-4426-8F73-219E4183EC6E}"/>
            </a:ext>
          </a:extLst>
        </xdr:cNvPr>
        <xdr:cNvSpPr>
          <a:spLocks noChangeShapeType="1"/>
        </xdr:cNvSpPr>
      </xdr:nvSpPr>
      <xdr:spPr bwMode="auto">
        <a:xfrm>
          <a:off x="6598920" y="1440180"/>
          <a:ext cx="594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28</xdr:col>
      <xdr:colOff>38100</xdr:colOff>
      <xdr:row>9</xdr:row>
      <xdr:rowOff>160020</xdr:rowOff>
    </xdr:from>
    <xdr:to>
      <xdr:col>28</xdr:col>
      <xdr:colOff>38100</xdr:colOff>
      <xdr:row>13</xdr:row>
      <xdr:rowOff>60960</xdr:rowOff>
    </xdr:to>
    <xdr:sp macro="" textlink="">
      <xdr:nvSpPr>
        <xdr:cNvPr id="63643" name="Line 155">
          <a:extLst>
            <a:ext uri="{FF2B5EF4-FFF2-40B4-BE49-F238E27FC236}">
              <a16:creationId xmlns:a16="http://schemas.microsoft.com/office/drawing/2014/main" id="{0BD8F66A-74AA-4755-8A76-05180E34F56D}"/>
            </a:ext>
          </a:extLst>
        </xdr:cNvPr>
        <xdr:cNvSpPr>
          <a:spLocks noChangeShapeType="1"/>
        </xdr:cNvSpPr>
      </xdr:nvSpPr>
      <xdr:spPr bwMode="auto">
        <a:xfrm>
          <a:off x="7444740" y="169926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26</xdr:col>
      <xdr:colOff>457200</xdr:colOff>
      <xdr:row>12</xdr:row>
      <xdr:rowOff>38100</xdr:rowOff>
    </xdr:from>
    <xdr:to>
      <xdr:col>27</xdr:col>
      <xdr:colOff>7620</xdr:colOff>
      <xdr:row>13</xdr:row>
      <xdr:rowOff>68580</xdr:rowOff>
    </xdr:to>
    <xdr:sp macro="" textlink="">
      <xdr:nvSpPr>
        <xdr:cNvPr id="63644" name="Text Box 156">
          <a:extLst>
            <a:ext uri="{FF2B5EF4-FFF2-40B4-BE49-F238E27FC236}">
              <a16:creationId xmlns:a16="http://schemas.microsoft.com/office/drawing/2014/main" id="{76EC11F6-B23E-4D79-8943-74AC8A895574}"/>
            </a:ext>
          </a:extLst>
        </xdr:cNvPr>
        <xdr:cNvSpPr txBox="1">
          <a:spLocks noChangeArrowheads="1"/>
        </xdr:cNvSpPr>
      </xdr:nvSpPr>
      <xdr:spPr bwMode="auto">
        <a:xfrm>
          <a:off x="6614160" y="20802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1</a:t>
          </a:r>
        </a:p>
      </xdr:txBody>
    </xdr:sp>
    <xdr:clientData/>
  </xdr:twoCellAnchor>
  <xdr:twoCellAnchor>
    <xdr:from>
      <xdr:col>28</xdr:col>
      <xdr:colOff>243840</xdr:colOff>
      <xdr:row>12</xdr:row>
      <xdr:rowOff>45720</xdr:rowOff>
    </xdr:from>
    <xdr:to>
      <xdr:col>28</xdr:col>
      <xdr:colOff>419100</xdr:colOff>
      <xdr:row>13</xdr:row>
      <xdr:rowOff>76200</xdr:rowOff>
    </xdr:to>
    <xdr:sp macro="" textlink="">
      <xdr:nvSpPr>
        <xdr:cNvPr id="63645" name="Text Box 157">
          <a:extLst>
            <a:ext uri="{FF2B5EF4-FFF2-40B4-BE49-F238E27FC236}">
              <a16:creationId xmlns:a16="http://schemas.microsoft.com/office/drawing/2014/main" id="{C328E7CD-601F-4DE9-8383-E09A2F3AA771}"/>
            </a:ext>
          </a:extLst>
        </xdr:cNvPr>
        <xdr:cNvSpPr txBox="1">
          <a:spLocks noChangeArrowheads="1"/>
        </xdr:cNvSpPr>
      </xdr:nvSpPr>
      <xdr:spPr bwMode="auto">
        <a:xfrm>
          <a:off x="7650480" y="20878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2</a:t>
          </a:r>
        </a:p>
      </xdr:txBody>
    </xdr:sp>
    <xdr:clientData/>
  </xdr:twoCellAnchor>
  <xdr:twoCellAnchor>
    <xdr:from>
      <xdr:col>26</xdr:col>
      <xdr:colOff>449580</xdr:colOff>
      <xdr:row>6</xdr:row>
      <xdr:rowOff>91440</xdr:rowOff>
    </xdr:from>
    <xdr:to>
      <xdr:col>27</xdr:col>
      <xdr:colOff>0</xdr:colOff>
      <xdr:row>7</xdr:row>
      <xdr:rowOff>121920</xdr:rowOff>
    </xdr:to>
    <xdr:sp macro="" textlink="">
      <xdr:nvSpPr>
        <xdr:cNvPr id="63646" name="Text Box 158">
          <a:extLst>
            <a:ext uri="{FF2B5EF4-FFF2-40B4-BE49-F238E27FC236}">
              <a16:creationId xmlns:a16="http://schemas.microsoft.com/office/drawing/2014/main" id="{85F3A803-91B9-48B7-8204-B3B95BBDEB43}"/>
            </a:ext>
          </a:extLst>
        </xdr:cNvPr>
        <xdr:cNvSpPr txBox="1">
          <a:spLocks noChangeArrowheads="1"/>
        </xdr:cNvSpPr>
      </xdr:nvSpPr>
      <xdr:spPr bwMode="auto">
        <a:xfrm>
          <a:off x="6606540" y="11277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3</a:t>
          </a:r>
        </a:p>
      </xdr:txBody>
    </xdr:sp>
    <xdr:clientData/>
  </xdr:twoCellAnchor>
  <xdr:twoCellAnchor>
    <xdr:from>
      <xdr:col>28</xdr:col>
      <xdr:colOff>243840</xdr:colOff>
      <xdr:row>6</xdr:row>
      <xdr:rowOff>99060</xdr:rowOff>
    </xdr:from>
    <xdr:to>
      <xdr:col>28</xdr:col>
      <xdr:colOff>419100</xdr:colOff>
      <xdr:row>7</xdr:row>
      <xdr:rowOff>129540</xdr:rowOff>
    </xdr:to>
    <xdr:sp macro="" textlink="">
      <xdr:nvSpPr>
        <xdr:cNvPr id="63647" name="Text Box 159">
          <a:extLst>
            <a:ext uri="{FF2B5EF4-FFF2-40B4-BE49-F238E27FC236}">
              <a16:creationId xmlns:a16="http://schemas.microsoft.com/office/drawing/2014/main" id="{460E013E-092C-4F97-B907-B677AA8CC703}"/>
            </a:ext>
          </a:extLst>
        </xdr:cNvPr>
        <xdr:cNvSpPr txBox="1">
          <a:spLocks noChangeArrowheads="1"/>
        </xdr:cNvSpPr>
      </xdr:nvSpPr>
      <xdr:spPr bwMode="auto">
        <a:xfrm>
          <a:off x="7650480" y="11353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4</a:t>
          </a:r>
        </a:p>
      </xdr:txBody>
    </xdr:sp>
    <xdr:clientData/>
  </xdr:twoCellAnchor>
  <xdr:twoCellAnchor>
    <xdr:from>
      <xdr:col>26</xdr:col>
      <xdr:colOff>472440</xdr:colOff>
      <xdr:row>10</xdr:row>
      <xdr:rowOff>30480</xdr:rowOff>
    </xdr:from>
    <xdr:to>
      <xdr:col>27</xdr:col>
      <xdr:colOff>106680</xdr:colOff>
      <xdr:row>11</xdr:row>
      <xdr:rowOff>76200</xdr:rowOff>
    </xdr:to>
    <xdr:sp macro="" textlink="">
      <xdr:nvSpPr>
        <xdr:cNvPr id="63648" name="Text Box 160">
          <a:extLst>
            <a:ext uri="{FF2B5EF4-FFF2-40B4-BE49-F238E27FC236}">
              <a16:creationId xmlns:a16="http://schemas.microsoft.com/office/drawing/2014/main" id="{986433B5-FDDE-4C2A-B17C-1FF4DB1E7EFC}"/>
            </a:ext>
          </a:extLst>
        </xdr:cNvPr>
        <xdr:cNvSpPr txBox="1">
          <a:spLocks noChangeArrowheads="1"/>
        </xdr:cNvSpPr>
      </xdr:nvSpPr>
      <xdr:spPr bwMode="auto">
        <a:xfrm>
          <a:off x="6629400" y="173736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r>
            <a:rPr lang="en-US" sz="800" b="0" i="0" u="none" strike="noStrike" baseline="0%">
              <a:solidFill>
                <a:srgbClr val="0000FF"/>
              </a:solidFill>
              <a:latin typeface="Arial"/>
              <a:cs typeface="Arial"/>
            </a:rPr>
            <a:t>o</a:t>
          </a:r>
        </a:p>
      </xdr:txBody>
    </xdr:sp>
    <xdr:clientData/>
  </xdr:twoCellAnchor>
  <xdr:twoCellAnchor>
    <xdr:from>
      <xdr:col>27</xdr:col>
      <xdr:colOff>167640</xdr:colOff>
      <xdr:row>12</xdr:row>
      <xdr:rowOff>30480</xdr:rowOff>
    </xdr:from>
    <xdr:to>
      <xdr:col>27</xdr:col>
      <xdr:colOff>426720</xdr:colOff>
      <xdr:row>13</xdr:row>
      <xdr:rowOff>76200</xdr:rowOff>
    </xdr:to>
    <xdr:sp macro="" textlink="">
      <xdr:nvSpPr>
        <xdr:cNvPr id="63649" name="Text Box 161">
          <a:extLst>
            <a:ext uri="{FF2B5EF4-FFF2-40B4-BE49-F238E27FC236}">
              <a16:creationId xmlns:a16="http://schemas.microsoft.com/office/drawing/2014/main" id="{EB4BD1BF-9033-4CE5-BE90-3A18C3B1EC74}"/>
            </a:ext>
          </a:extLst>
        </xdr:cNvPr>
        <xdr:cNvSpPr txBox="1">
          <a:spLocks noChangeArrowheads="1"/>
        </xdr:cNvSpPr>
      </xdr:nvSpPr>
      <xdr:spPr bwMode="auto">
        <a:xfrm>
          <a:off x="6949440" y="207264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yo</a:t>
          </a:r>
        </a:p>
      </xdr:txBody>
    </xdr:sp>
    <xdr:clientData/>
  </xdr:twoCellAnchor>
  <xdr:twoCellAnchor>
    <xdr:from>
      <xdr:col>27</xdr:col>
      <xdr:colOff>106680</xdr:colOff>
      <xdr:row>7</xdr:row>
      <xdr:rowOff>76200</xdr:rowOff>
    </xdr:from>
    <xdr:to>
      <xdr:col>27</xdr:col>
      <xdr:colOff>373380</xdr:colOff>
      <xdr:row>8</xdr:row>
      <xdr:rowOff>129540</xdr:rowOff>
    </xdr:to>
    <xdr:sp macro="" textlink="">
      <xdr:nvSpPr>
        <xdr:cNvPr id="63650" name="Text Box 162">
          <a:extLst>
            <a:ext uri="{FF2B5EF4-FFF2-40B4-BE49-F238E27FC236}">
              <a16:creationId xmlns:a16="http://schemas.microsoft.com/office/drawing/2014/main" id="{747EB51B-08CE-4FEA-B6C3-31393E3B0EFE}"/>
            </a:ext>
          </a:extLst>
        </xdr:cNvPr>
        <xdr:cNvSpPr txBox="1">
          <a:spLocks noChangeArrowheads="1"/>
        </xdr:cNvSpPr>
      </xdr:nvSpPr>
      <xdr:spPr bwMode="auto">
        <a:xfrm>
          <a:off x="6888480" y="128016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p>
      </xdr:txBody>
    </xdr:sp>
    <xdr:clientData/>
  </xdr:twoCellAnchor>
  <xdr:twoCellAnchor>
    <xdr:from>
      <xdr:col>28</xdr:col>
      <xdr:colOff>45720</xdr:colOff>
      <xdr:row>10</xdr:row>
      <xdr:rowOff>137160</xdr:rowOff>
    </xdr:from>
    <xdr:to>
      <xdr:col>28</xdr:col>
      <xdr:colOff>312420</xdr:colOff>
      <xdr:row>12</xdr:row>
      <xdr:rowOff>22860</xdr:rowOff>
    </xdr:to>
    <xdr:sp macro="" textlink="">
      <xdr:nvSpPr>
        <xdr:cNvPr id="63651" name="Text Box 163">
          <a:extLst>
            <a:ext uri="{FF2B5EF4-FFF2-40B4-BE49-F238E27FC236}">
              <a16:creationId xmlns:a16="http://schemas.microsoft.com/office/drawing/2014/main" id="{65237E62-D938-454A-9DED-F7192D1AD57D}"/>
            </a:ext>
          </a:extLst>
        </xdr:cNvPr>
        <xdr:cNvSpPr txBox="1">
          <a:spLocks noChangeArrowheads="1"/>
        </xdr:cNvSpPr>
      </xdr:nvSpPr>
      <xdr:spPr bwMode="auto">
        <a:xfrm>
          <a:off x="7452360" y="184404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Y</a:t>
          </a:r>
        </a:p>
      </xdr:txBody>
    </xdr:sp>
    <xdr:clientData/>
  </xdr:twoCellAnchor>
  <xdr:twoCellAnchor>
    <xdr:from>
      <xdr:col>28</xdr:col>
      <xdr:colOff>548640</xdr:colOff>
      <xdr:row>12</xdr:row>
      <xdr:rowOff>144780</xdr:rowOff>
    </xdr:from>
    <xdr:to>
      <xdr:col>29</xdr:col>
      <xdr:colOff>182880</xdr:colOff>
      <xdr:row>14</xdr:row>
      <xdr:rowOff>30480</xdr:rowOff>
    </xdr:to>
    <xdr:sp macro="" textlink="">
      <xdr:nvSpPr>
        <xdr:cNvPr id="63652" name="Text Box 164">
          <a:extLst>
            <a:ext uri="{FF2B5EF4-FFF2-40B4-BE49-F238E27FC236}">
              <a16:creationId xmlns:a16="http://schemas.microsoft.com/office/drawing/2014/main" id="{45B247A0-D703-4407-A818-3863D2B9528C}"/>
            </a:ext>
          </a:extLst>
        </xdr:cNvPr>
        <xdr:cNvSpPr txBox="1">
          <a:spLocks noChangeArrowheads="1"/>
        </xdr:cNvSpPr>
      </xdr:nvSpPr>
      <xdr:spPr bwMode="auto">
        <a:xfrm>
          <a:off x="7955280" y="2186940"/>
          <a:ext cx="2590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+X</a:t>
          </a:r>
        </a:p>
      </xdr:txBody>
    </xdr:sp>
    <xdr:clientData/>
  </xdr:twoCellAnchor>
  <xdr:twoCellAnchor>
    <xdr:from>
      <xdr:col>26</xdr:col>
      <xdr:colOff>312420</xdr:colOff>
      <xdr:row>4</xdr:row>
      <xdr:rowOff>99060</xdr:rowOff>
    </xdr:from>
    <xdr:to>
      <xdr:col>26</xdr:col>
      <xdr:colOff>579120</xdr:colOff>
      <xdr:row>5</xdr:row>
      <xdr:rowOff>144780</xdr:rowOff>
    </xdr:to>
    <xdr:sp macro="" textlink="">
      <xdr:nvSpPr>
        <xdr:cNvPr id="63653" name="Text Box 165">
          <a:extLst>
            <a:ext uri="{FF2B5EF4-FFF2-40B4-BE49-F238E27FC236}">
              <a16:creationId xmlns:a16="http://schemas.microsoft.com/office/drawing/2014/main" id="{F9D0DB65-A612-4944-9E56-08771B253479}"/>
            </a:ext>
          </a:extLst>
        </xdr:cNvPr>
        <xdr:cNvSpPr txBox="1">
          <a:spLocks noChangeArrowheads="1"/>
        </xdr:cNvSpPr>
      </xdr:nvSpPr>
      <xdr:spPr bwMode="auto">
        <a:xfrm>
          <a:off x="6469380" y="800100"/>
          <a:ext cx="2667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+Y</a:t>
          </a:r>
        </a:p>
      </xdr:txBody>
    </xdr:sp>
    <xdr:clientData/>
  </xdr:twoCellAnchor>
  <xdr:twoCellAnchor>
    <xdr:from>
      <xdr:col>26</xdr:col>
      <xdr:colOff>144780</xdr:colOff>
      <xdr:row>13</xdr:row>
      <xdr:rowOff>99060</xdr:rowOff>
    </xdr:from>
    <xdr:to>
      <xdr:col>26</xdr:col>
      <xdr:colOff>411480</xdr:colOff>
      <xdr:row>14</xdr:row>
      <xdr:rowOff>144780</xdr:rowOff>
    </xdr:to>
    <xdr:sp macro="" textlink="">
      <xdr:nvSpPr>
        <xdr:cNvPr id="63654" name="Text Box 166">
          <a:extLst>
            <a:ext uri="{FF2B5EF4-FFF2-40B4-BE49-F238E27FC236}">
              <a16:creationId xmlns:a16="http://schemas.microsoft.com/office/drawing/2014/main" id="{F7408B5B-B027-450C-B546-84FB923CE4BF}"/>
            </a:ext>
          </a:extLst>
        </xdr:cNvPr>
        <xdr:cNvSpPr txBox="1">
          <a:spLocks noChangeArrowheads="1"/>
        </xdr:cNvSpPr>
      </xdr:nvSpPr>
      <xdr:spPr bwMode="auto">
        <a:xfrm>
          <a:off x="6301740" y="2308860"/>
          <a:ext cx="2667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+Z</a:t>
          </a:r>
        </a:p>
      </xdr:txBody>
    </xdr:sp>
    <xdr:clientData/>
  </xdr:twoCellAnchor>
  <xdr:twoCellAnchor>
    <xdr:from>
      <xdr:col>27</xdr:col>
      <xdr:colOff>419100</xdr:colOff>
      <xdr:row>15</xdr:row>
      <xdr:rowOff>144780</xdr:rowOff>
    </xdr:from>
    <xdr:to>
      <xdr:col>28</xdr:col>
      <xdr:colOff>60960</xdr:colOff>
      <xdr:row>17</xdr:row>
      <xdr:rowOff>30480</xdr:rowOff>
    </xdr:to>
    <xdr:sp macro="" textlink="">
      <xdr:nvSpPr>
        <xdr:cNvPr id="63655" name="Text Box 167">
          <a:extLst>
            <a:ext uri="{FF2B5EF4-FFF2-40B4-BE49-F238E27FC236}">
              <a16:creationId xmlns:a16="http://schemas.microsoft.com/office/drawing/2014/main" id="{7DAC3FF5-3D64-4CF6-B259-F9CFA4F6358A}"/>
            </a:ext>
          </a:extLst>
        </xdr:cNvPr>
        <xdr:cNvSpPr txBox="1">
          <a:spLocks noChangeArrowheads="1"/>
        </xdr:cNvSpPr>
      </xdr:nvSpPr>
      <xdr:spPr bwMode="auto">
        <a:xfrm>
          <a:off x="7200900" y="268986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-P</a:t>
          </a:r>
          <a:r>
            <a:rPr lang="en-US" sz="800" b="1" i="0" u="none" strike="noStrike" baseline="0%">
              <a:solidFill>
                <a:srgbClr val="0000FF"/>
              </a:solidFill>
              <a:latin typeface="Arial"/>
              <a:cs typeface="Arial"/>
            </a:rPr>
            <a:t>z</a:t>
          </a:r>
        </a:p>
      </xdr:txBody>
    </xdr:sp>
    <xdr:clientData/>
  </xdr:twoCellAnchor>
  <xdr:twoCellAnchor>
    <xdr:from>
      <xdr:col>27</xdr:col>
      <xdr:colOff>548640</xdr:colOff>
      <xdr:row>18</xdr:row>
      <xdr:rowOff>0</xdr:rowOff>
    </xdr:from>
    <xdr:to>
      <xdr:col>28</xdr:col>
      <xdr:colOff>289560</xdr:colOff>
      <xdr:row>19</xdr:row>
      <xdr:rowOff>76200</xdr:rowOff>
    </xdr:to>
    <xdr:sp macro="" textlink="">
      <xdr:nvSpPr>
        <xdr:cNvPr id="63656" name="Text Box 168">
          <a:extLst>
            <a:ext uri="{FF2B5EF4-FFF2-40B4-BE49-F238E27FC236}">
              <a16:creationId xmlns:a16="http://schemas.microsoft.com/office/drawing/2014/main" id="{366AABB0-9FB5-43B1-8E10-8D774CFA1244}"/>
            </a:ext>
          </a:extLst>
        </xdr:cNvPr>
        <xdr:cNvSpPr txBox="1">
          <a:spLocks noChangeArrowheads="1"/>
        </xdr:cNvSpPr>
      </xdr:nvSpPr>
      <xdr:spPr bwMode="auto">
        <a:xfrm>
          <a:off x="7330440" y="3048000"/>
          <a:ext cx="36576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+M</a:t>
          </a:r>
          <a:r>
            <a:rPr lang="en-US" sz="800" b="1" i="0" u="none" strike="noStrike" baseline="0%">
              <a:solidFill>
                <a:srgbClr val="0000FF"/>
              </a:solidFill>
              <a:latin typeface="Arial"/>
              <a:cs typeface="Arial"/>
            </a:rPr>
            <a:t>y</a:t>
          </a:r>
        </a:p>
      </xdr:txBody>
    </xdr:sp>
    <xdr:clientData/>
  </xdr:twoCellAnchor>
  <xdr:twoCellAnchor>
    <xdr:from>
      <xdr:col>26</xdr:col>
      <xdr:colOff>563880</xdr:colOff>
      <xdr:row>17</xdr:row>
      <xdr:rowOff>144780</xdr:rowOff>
    </xdr:from>
    <xdr:to>
      <xdr:col>27</xdr:col>
      <xdr:colOff>312420</xdr:colOff>
      <xdr:row>19</xdr:row>
      <xdr:rowOff>60960</xdr:rowOff>
    </xdr:to>
    <xdr:sp macro="" textlink="">
      <xdr:nvSpPr>
        <xdr:cNvPr id="63657" name="Text Box 169">
          <a:extLst>
            <a:ext uri="{FF2B5EF4-FFF2-40B4-BE49-F238E27FC236}">
              <a16:creationId xmlns:a16="http://schemas.microsoft.com/office/drawing/2014/main" id="{CB2FD35C-E87F-44CD-819E-A770AD886248}"/>
            </a:ext>
          </a:extLst>
        </xdr:cNvPr>
        <xdr:cNvSpPr txBox="1">
          <a:spLocks noChangeArrowheads="1"/>
        </xdr:cNvSpPr>
      </xdr:nvSpPr>
      <xdr:spPr bwMode="auto">
        <a:xfrm>
          <a:off x="6720840" y="3025140"/>
          <a:ext cx="373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+H</a:t>
          </a:r>
          <a:r>
            <a:rPr lang="en-US" sz="800" b="1" i="0" u="none" strike="noStrike" baseline="0%">
              <a:solidFill>
                <a:srgbClr val="0000FF"/>
              </a:solidFill>
              <a:latin typeface="Arial"/>
              <a:cs typeface="Arial"/>
            </a:rPr>
            <a:t>x</a:t>
          </a:r>
        </a:p>
      </xdr:txBody>
    </xdr:sp>
    <xdr:clientData/>
  </xdr:twoCellAnchor>
  <xdr:twoCellAnchor>
    <xdr:from>
      <xdr:col>26</xdr:col>
      <xdr:colOff>205740</xdr:colOff>
      <xdr:row>19</xdr:row>
      <xdr:rowOff>76200</xdr:rowOff>
    </xdr:from>
    <xdr:to>
      <xdr:col>26</xdr:col>
      <xdr:colOff>381000</xdr:colOff>
      <xdr:row>20</xdr:row>
      <xdr:rowOff>106680</xdr:rowOff>
    </xdr:to>
    <xdr:sp macro="" textlink="">
      <xdr:nvSpPr>
        <xdr:cNvPr id="63658" name="Text Box 170">
          <a:extLst>
            <a:ext uri="{FF2B5EF4-FFF2-40B4-BE49-F238E27FC236}">
              <a16:creationId xmlns:a16="http://schemas.microsoft.com/office/drawing/2014/main" id="{0074633A-57A6-43F9-A7CF-AE111F620671}"/>
            </a:ext>
          </a:extLst>
        </xdr:cNvPr>
        <xdr:cNvSpPr txBox="1">
          <a:spLocks noChangeArrowheads="1"/>
        </xdr:cNvSpPr>
      </xdr:nvSpPr>
      <xdr:spPr bwMode="auto">
        <a:xfrm>
          <a:off x="6362700" y="329184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h</a:t>
          </a:r>
        </a:p>
      </xdr:txBody>
    </xdr:sp>
    <xdr:clientData/>
  </xdr:twoCellAnchor>
  <xdr:twoCellAnchor>
    <xdr:from>
      <xdr:col>27</xdr:col>
      <xdr:colOff>251460</xdr:colOff>
      <xdr:row>17</xdr:row>
      <xdr:rowOff>22860</xdr:rowOff>
    </xdr:from>
    <xdr:to>
      <xdr:col>27</xdr:col>
      <xdr:colOff>563880</xdr:colOff>
      <xdr:row>19</xdr:row>
      <xdr:rowOff>0</xdr:rowOff>
    </xdr:to>
    <xdr:sp macro="" textlink="">
      <xdr:nvSpPr>
        <xdr:cNvPr id="63659" name="Arc 171">
          <a:extLst>
            <a:ext uri="{FF2B5EF4-FFF2-40B4-BE49-F238E27FC236}">
              <a16:creationId xmlns:a16="http://schemas.microsoft.com/office/drawing/2014/main" id="{E3432390-5B40-40A5-B3E8-862612C46C9A}"/>
            </a:ext>
          </a:extLst>
        </xdr:cNvPr>
        <xdr:cNvSpPr>
          <a:spLocks/>
        </xdr:cNvSpPr>
      </xdr:nvSpPr>
      <xdr:spPr bwMode="auto">
        <a:xfrm rot="18900000">
          <a:off x="7033260" y="2903220"/>
          <a:ext cx="312420" cy="312420"/>
        </a:xfrm>
        <a:custGeom>
          <a:avLst/>
          <a:gdLst>
            <a:gd name="G0" fmla="+- 10424 0 0"/>
            <a:gd name="G1" fmla="+- 21600 0 0"/>
            <a:gd name="G2" fmla="+- 21600 0 0"/>
            <a:gd name="T0" fmla="*/ 0 w 32024"/>
            <a:gd name="T1" fmla="*/ 2682 h 33135"/>
            <a:gd name="T2" fmla="*/ 28686 w 32024"/>
            <a:gd name="T3" fmla="*/ 33135 h 33135"/>
            <a:gd name="T4" fmla="*/ 10424 w 32024"/>
            <a:gd name="T5" fmla="*/ 21600 h 33135"/>
          </a:gdLst>
          <a:ahLst/>
          <a:cxnLst>
            <a:cxn ang="0">
              <a:pos x="T0" y="T1"/>
            </a:cxn>
            <a:cxn ang="0">
              <a:pos x="T2" y="T3"/>
            </a:cxn>
            <a:cxn ang="0">
              <a:pos x="T4" y="T5"/>
            </a:cxn>
          </a:cxnLst>
          <a:rect l="0" t="0" r="r" b="b"/>
          <a:pathLst>
            <a:path w="32024" h="33135" fill="none" extrusionOk="0">
              <a:moveTo>
                <a:pt x="-1" y="2681"/>
              </a:moveTo>
              <a:cubicBezTo>
                <a:pt x="3192" y="922"/>
                <a:pt x="6778" y="0"/>
                <a:pt x="10424" y="0"/>
              </a:cubicBezTo>
              <a:cubicBezTo>
                <a:pt x="22353" y="0"/>
                <a:pt x="32024" y="9670"/>
                <a:pt x="32024" y="21600"/>
              </a:cubicBezTo>
              <a:cubicBezTo>
                <a:pt x="32024" y="25683"/>
                <a:pt x="30866" y="29682"/>
                <a:pt x="28686" y="33135"/>
              </a:cubicBezTo>
            </a:path>
            <a:path w="32024" h="33135" stroke="0" extrusionOk="0">
              <a:moveTo>
                <a:pt x="-1" y="2681"/>
              </a:moveTo>
              <a:cubicBezTo>
                <a:pt x="3192" y="922"/>
                <a:pt x="6778" y="0"/>
                <a:pt x="10424" y="0"/>
              </a:cubicBezTo>
              <a:cubicBezTo>
                <a:pt x="22353" y="0"/>
                <a:pt x="32024" y="9670"/>
                <a:pt x="32024" y="21600"/>
              </a:cubicBezTo>
              <a:cubicBezTo>
                <a:pt x="32024" y="25683"/>
                <a:pt x="30866" y="29682"/>
                <a:pt x="28686" y="33135"/>
              </a:cubicBezTo>
              <a:lnTo>
                <a:pt x="10424"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320040</xdr:colOff>
      <xdr:row>12</xdr:row>
      <xdr:rowOff>99060</xdr:rowOff>
    </xdr:from>
    <xdr:to>
      <xdr:col>26</xdr:col>
      <xdr:colOff>495300</xdr:colOff>
      <xdr:row>13</xdr:row>
      <xdr:rowOff>129540</xdr:rowOff>
    </xdr:to>
    <xdr:sp macro="" textlink="">
      <xdr:nvSpPr>
        <xdr:cNvPr id="63660" name="Text Box 172">
          <a:extLst>
            <a:ext uri="{FF2B5EF4-FFF2-40B4-BE49-F238E27FC236}">
              <a16:creationId xmlns:a16="http://schemas.microsoft.com/office/drawing/2014/main" id="{C477C39D-BF43-4447-AED3-E3EEE674C727}"/>
            </a:ext>
          </a:extLst>
        </xdr:cNvPr>
        <xdr:cNvSpPr txBox="1">
          <a:spLocks noChangeArrowheads="1"/>
        </xdr:cNvSpPr>
      </xdr:nvSpPr>
      <xdr:spPr bwMode="auto">
        <a:xfrm>
          <a:off x="6477000" y="214122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0</a:t>
          </a:r>
        </a:p>
      </xdr:txBody>
    </xdr:sp>
    <xdr:clientData/>
  </xdr:twoCellAnchor>
  <xdr:twoCellAnchor>
    <xdr:from>
      <xdr:col>27</xdr:col>
      <xdr:colOff>7620</xdr:colOff>
      <xdr:row>10</xdr:row>
      <xdr:rowOff>160020</xdr:rowOff>
    </xdr:from>
    <xdr:to>
      <xdr:col>27</xdr:col>
      <xdr:colOff>7620</xdr:colOff>
      <xdr:row>12</xdr:row>
      <xdr:rowOff>7620</xdr:rowOff>
    </xdr:to>
    <xdr:sp macro="" textlink="">
      <xdr:nvSpPr>
        <xdr:cNvPr id="63661" name="Line 173">
          <a:extLst>
            <a:ext uri="{FF2B5EF4-FFF2-40B4-BE49-F238E27FC236}">
              <a16:creationId xmlns:a16="http://schemas.microsoft.com/office/drawing/2014/main" id="{611EB48B-06C1-4C25-84C5-0B11CF5749F7}"/>
            </a:ext>
          </a:extLst>
        </xdr:cNvPr>
        <xdr:cNvSpPr>
          <a:spLocks noChangeShapeType="1"/>
        </xdr:cNvSpPr>
      </xdr:nvSpPr>
      <xdr:spPr bwMode="auto">
        <a:xfrm flipV="1">
          <a:off x="6789420" y="1866900"/>
          <a:ext cx="0" cy="182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30480</xdr:colOff>
      <xdr:row>12</xdr:row>
      <xdr:rowOff>30480</xdr:rowOff>
    </xdr:from>
    <xdr:to>
      <xdr:col>27</xdr:col>
      <xdr:colOff>198120</xdr:colOff>
      <xdr:row>12</xdr:row>
      <xdr:rowOff>30480</xdr:rowOff>
    </xdr:to>
    <xdr:sp macro="" textlink="">
      <xdr:nvSpPr>
        <xdr:cNvPr id="63662" name="Line 174">
          <a:extLst>
            <a:ext uri="{FF2B5EF4-FFF2-40B4-BE49-F238E27FC236}">
              <a16:creationId xmlns:a16="http://schemas.microsoft.com/office/drawing/2014/main" id="{3A6B9B0B-1408-4EE1-BD16-6A1CF6141CF6}"/>
            </a:ext>
          </a:extLst>
        </xdr:cNvPr>
        <xdr:cNvSpPr>
          <a:spLocks noChangeShapeType="1"/>
        </xdr:cNvSpPr>
      </xdr:nvSpPr>
      <xdr:spPr bwMode="auto">
        <a:xfrm>
          <a:off x="6812280" y="2072640"/>
          <a:ext cx="167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441960</xdr:colOff>
      <xdr:row>11</xdr:row>
      <xdr:rowOff>38100</xdr:rowOff>
    </xdr:from>
    <xdr:to>
      <xdr:col>27</xdr:col>
      <xdr:colOff>7620</xdr:colOff>
      <xdr:row>11</xdr:row>
      <xdr:rowOff>38100</xdr:rowOff>
    </xdr:to>
    <xdr:sp macro="" textlink="">
      <xdr:nvSpPr>
        <xdr:cNvPr id="63663" name="Line 175">
          <a:extLst>
            <a:ext uri="{FF2B5EF4-FFF2-40B4-BE49-F238E27FC236}">
              <a16:creationId xmlns:a16="http://schemas.microsoft.com/office/drawing/2014/main" id="{F527EEE7-FAE3-41E5-B13C-48FBD52BBD77}"/>
            </a:ext>
          </a:extLst>
        </xdr:cNvPr>
        <xdr:cNvSpPr>
          <a:spLocks noChangeShapeType="1"/>
        </xdr:cNvSpPr>
      </xdr:nvSpPr>
      <xdr:spPr bwMode="auto">
        <a:xfrm>
          <a:off x="6598920" y="191262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144780</xdr:colOff>
      <xdr:row>12</xdr:row>
      <xdr:rowOff>30480</xdr:rowOff>
    </xdr:from>
    <xdr:to>
      <xdr:col>27</xdr:col>
      <xdr:colOff>144780</xdr:colOff>
      <xdr:row>13</xdr:row>
      <xdr:rowOff>60960</xdr:rowOff>
    </xdr:to>
    <xdr:sp macro="" textlink="">
      <xdr:nvSpPr>
        <xdr:cNvPr id="63664" name="Line 176">
          <a:extLst>
            <a:ext uri="{FF2B5EF4-FFF2-40B4-BE49-F238E27FC236}">
              <a16:creationId xmlns:a16="http://schemas.microsoft.com/office/drawing/2014/main" id="{EE53B6C6-6474-46F0-B7E5-DE51E23FC4AB}"/>
            </a:ext>
          </a:extLst>
        </xdr:cNvPr>
        <xdr:cNvSpPr>
          <a:spLocks noChangeShapeType="1"/>
        </xdr:cNvSpPr>
      </xdr:nvSpPr>
      <xdr:spPr bwMode="auto">
        <a:xfrm>
          <a:off x="6926580" y="2072640"/>
          <a:ext cx="0" cy="198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251460</xdr:colOff>
      <xdr:row>21</xdr:row>
      <xdr:rowOff>121920</xdr:rowOff>
    </xdr:from>
    <xdr:to>
      <xdr:col>27</xdr:col>
      <xdr:colOff>601980</xdr:colOff>
      <xdr:row>22</xdr:row>
      <xdr:rowOff>160020</xdr:rowOff>
    </xdr:to>
    <xdr:sp macro="" textlink="">
      <xdr:nvSpPr>
        <xdr:cNvPr id="63665" name="Text Box 177">
          <a:extLst>
            <a:ext uri="{FF2B5EF4-FFF2-40B4-BE49-F238E27FC236}">
              <a16:creationId xmlns:a16="http://schemas.microsoft.com/office/drawing/2014/main" id="{2E53D8D5-EAF3-4345-93AC-FBA8D7005D53}"/>
            </a:ext>
          </a:extLst>
        </xdr:cNvPr>
        <xdr:cNvSpPr txBox="1">
          <a:spLocks noChangeArrowheads="1"/>
        </xdr:cNvSpPr>
      </xdr:nvSpPr>
      <xdr:spPr bwMode="auto">
        <a:xfrm>
          <a:off x="7033260" y="3672840"/>
          <a:ext cx="35052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Piles</a:t>
          </a:r>
        </a:p>
      </xdr:txBody>
    </xdr:sp>
    <xdr:clientData/>
  </xdr:twoCellAnchor>
  <xdr:twoCellAnchor>
    <xdr:from>
      <xdr:col>27</xdr:col>
      <xdr:colOff>76200</xdr:colOff>
      <xdr:row>22</xdr:row>
      <xdr:rowOff>30480</xdr:rowOff>
    </xdr:from>
    <xdr:to>
      <xdr:col>27</xdr:col>
      <xdr:colOff>213360</xdr:colOff>
      <xdr:row>22</xdr:row>
      <xdr:rowOff>30480</xdr:rowOff>
    </xdr:to>
    <xdr:sp macro="" textlink="">
      <xdr:nvSpPr>
        <xdr:cNvPr id="63666" name="Line 178">
          <a:extLst>
            <a:ext uri="{FF2B5EF4-FFF2-40B4-BE49-F238E27FC236}">
              <a16:creationId xmlns:a16="http://schemas.microsoft.com/office/drawing/2014/main" id="{D54B8848-0786-40BA-938F-E825C2DF3A3B}"/>
            </a:ext>
          </a:extLst>
        </xdr:cNvPr>
        <xdr:cNvSpPr>
          <a:spLocks noChangeShapeType="1"/>
        </xdr:cNvSpPr>
      </xdr:nvSpPr>
      <xdr:spPr bwMode="auto">
        <a:xfrm flipH="1">
          <a:off x="685800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601980</xdr:colOff>
      <xdr:row>22</xdr:row>
      <xdr:rowOff>30480</xdr:rowOff>
    </xdr:from>
    <xdr:to>
      <xdr:col>28</xdr:col>
      <xdr:colOff>114300</xdr:colOff>
      <xdr:row>22</xdr:row>
      <xdr:rowOff>30480</xdr:rowOff>
    </xdr:to>
    <xdr:sp macro="" textlink="">
      <xdr:nvSpPr>
        <xdr:cNvPr id="63667" name="Line 179">
          <a:extLst>
            <a:ext uri="{FF2B5EF4-FFF2-40B4-BE49-F238E27FC236}">
              <a16:creationId xmlns:a16="http://schemas.microsoft.com/office/drawing/2014/main" id="{C102DDE3-0C5F-4FD1-8ADB-CDB298BF6506}"/>
            </a:ext>
          </a:extLst>
        </xdr:cNvPr>
        <xdr:cNvSpPr>
          <a:spLocks noChangeShapeType="1"/>
        </xdr:cNvSpPr>
      </xdr:nvSpPr>
      <xdr:spPr bwMode="auto">
        <a:xfrm>
          <a:off x="738378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sm"/>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v="urn:schemas-microsoft-com:vml" Requires="v"/>
    <mc:Fallback>
      <xdr:twoCellAnchor editAs="absolute">
        <xdr:from>
          <xdr:col>27</xdr:col>
          <xdr:colOff>144780</xdr:colOff>
          <xdr:row>0</xdr:row>
          <xdr:rowOff>15240</xdr:rowOff>
        </xdr:from>
        <xdr:to>
          <xdr:col>29</xdr:col>
          <xdr:colOff>579120</xdr:colOff>
          <xdr:row>1</xdr:row>
          <xdr:rowOff>106680</xdr:rowOff>
        </xdr:to>
        <xdr:sp macro="" textlink="">
          <xdr:nvSpPr>
            <xdr:cNvPr id="63489" name="Comment 1" hidden="1">
              <a:extLst>
                <a:ext uri="{FF2B5EF4-FFF2-40B4-BE49-F238E27FC236}">
                  <a16:creationId xmlns:a16="http://schemas.microsoft.com/office/drawing/2014/main" id="{451E1145-D703-4F70-A0F3-51BBD25FEA96}"/>
                </a:ext>
              </a:extLst>
            </xdr:cNvPr>
            <xdr:cNvSpPr txBox="1">
              <a:spLocks noChangeArrowheads="1"/>
            </xdr:cNvSpPr>
          </xdr:nvSpPr>
          <xdr:spPr bwMode="auto">
            <a:xfrm>
              <a:off x="6926580" y="15240"/>
              <a:ext cx="1684020" cy="2895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              "</a:t>
              </a:r>
              <a:r>
                <a:rPr lang="en-US" sz="800" b="1" i="0" u="none" strike="noStrike" baseline="0%">
                  <a:solidFill>
                    <a:srgbClr val="000000"/>
                  </a:solidFill>
                  <a:latin typeface="Tahoma"/>
                  <a:ea typeface="Tahoma"/>
                  <a:cs typeface="Tahoma"/>
                </a:rPr>
                <a:t>PILEGRP.xls</a:t>
              </a:r>
              <a:r>
                <a:rPr lang="en-US" sz="800" b="0" i="0" u="none" strike="noStrike" baseline="0%">
                  <a:solidFill>
                    <a:srgbClr val="000000"/>
                  </a:solidFill>
                  <a:latin typeface="Tahoma"/>
                  <a:ea typeface="Tahoma"/>
                  <a:cs typeface="Tahoma"/>
                </a:rPr>
                <a:t>"</a:t>
              </a:r>
            </a:p>
            <a:p>
              <a:pPr algn="l" rtl="0">
                <a:defRPr sz="1000"/>
              </a:pPr>
              <a:r>
                <a:rPr lang="en-US" sz="800" b="0" i="0" u="none" strike="noStrike" baseline="0%">
                  <a:solidFill>
                    <a:srgbClr val="000000"/>
                  </a:solidFill>
                  <a:latin typeface="Tahoma"/>
                  <a:ea typeface="Tahoma"/>
                  <a:cs typeface="Tahoma"/>
                </a:rPr>
                <a:t>written by:  Alex Tomanovich, P.E.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28</xdr:row>
          <xdr:rowOff>68580</xdr:rowOff>
        </xdr:from>
        <xdr:to>
          <xdr:col>27</xdr:col>
          <xdr:colOff>617220</xdr:colOff>
          <xdr:row>32</xdr:row>
          <xdr:rowOff>129540</xdr:rowOff>
        </xdr:to>
        <xdr:sp macro="" textlink="">
          <xdr:nvSpPr>
            <xdr:cNvPr id="63490" name="Comment 2" hidden="1">
              <a:extLst>
                <a:ext uri="{FF2B5EF4-FFF2-40B4-BE49-F238E27FC236}">
                  <a16:creationId xmlns:a16="http://schemas.microsoft.com/office/drawing/2014/main" id="{D3F0B731-39F2-4E31-A9E1-10A4CDE788CF}"/>
                </a:ext>
              </a:extLst>
            </xdr:cNvPr>
            <xdr:cNvSpPr txBox="1">
              <a:spLocks noChangeArrowheads="1"/>
            </xdr:cNvSpPr>
          </xdr:nvSpPr>
          <xdr:spPr bwMode="auto">
            <a:xfrm>
              <a:off x="5402580" y="4792980"/>
              <a:ext cx="199644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Y-axis from the origin Y-axis is calculated as follows:</a:t>
              </a:r>
            </a:p>
            <a:p>
              <a:pPr algn="l" rtl="0">
                <a:defRPr sz="1000"/>
              </a:pPr>
              <a:r>
                <a:rPr lang="en-US" sz="800" b="0" i="0" u="none" strike="noStrike" baseline="0%">
                  <a:solidFill>
                    <a:srgbClr val="000000"/>
                  </a:solidFill>
                  <a:latin typeface="Tahoma"/>
                  <a:ea typeface="Tahoma"/>
                  <a:cs typeface="Tahoma"/>
                </a:rPr>
                <a:t>   Xc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(Xo)/Np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32</xdr:row>
          <xdr:rowOff>68580</xdr:rowOff>
        </xdr:from>
        <xdr:to>
          <xdr:col>27</xdr:col>
          <xdr:colOff>563880</xdr:colOff>
          <xdr:row>35</xdr:row>
          <xdr:rowOff>22860</xdr:rowOff>
        </xdr:to>
        <xdr:sp macro="" textlink="">
          <xdr:nvSpPr>
            <xdr:cNvPr id="63493" name="Comment 5" hidden="1">
              <a:extLst>
                <a:ext uri="{FF2B5EF4-FFF2-40B4-BE49-F238E27FC236}">
                  <a16:creationId xmlns:a16="http://schemas.microsoft.com/office/drawing/2014/main" id="{298CCE45-F616-4CD9-A17B-20CAAFB969FC}"/>
                </a:ext>
              </a:extLst>
            </xdr:cNvPr>
            <xdr:cNvSpPr txBox="1">
              <a:spLocks noChangeArrowheads="1"/>
            </xdr:cNvSpPr>
          </xdr:nvSpPr>
          <xdr:spPr bwMode="auto">
            <a:xfrm>
              <a:off x="5402580" y="5463540"/>
              <a:ext cx="194310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Polar Moment of Inertia for the pile group is calculated as follows:</a:t>
              </a:r>
            </a:p>
            <a:p>
              <a:pPr algn="l" rtl="0">
                <a:defRPr sz="1000"/>
              </a:pPr>
              <a:r>
                <a:rPr lang="en-US" sz="800" b="0" i="0" u="none" strike="noStrike" baseline="0%">
                  <a:solidFill>
                    <a:srgbClr val="000000"/>
                  </a:solidFill>
                  <a:latin typeface="Tahoma"/>
                  <a:ea typeface="Tahoma"/>
                  <a:cs typeface="Tahoma"/>
                </a:rPr>
                <a:t>   J = Ix+Iy</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33</xdr:row>
          <xdr:rowOff>68580</xdr:rowOff>
        </xdr:from>
        <xdr:to>
          <xdr:col>27</xdr:col>
          <xdr:colOff>601980</xdr:colOff>
          <xdr:row>42</xdr:row>
          <xdr:rowOff>137160</xdr:rowOff>
        </xdr:to>
        <xdr:sp macro="" textlink="">
          <xdr:nvSpPr>
            <xdr:cNvPr id="63494" name="Comment 6" hidden="1">
              <a:extLst>
                <a:ext uri="{FF2B5EF4-FFF2-40B4-BE49-F238E27FC236}">
                  <a16:creationId xmlns:a16="http://schemas.microsoft.com/office/drawing/2014/main" id="{EFF7AF37-CEE1-4B34-B456-29962CEB739B}"/>
                </a:ext>
              </a:extLst>
            </xdr:cNvPr>
            <xdr:cNvSpPr txBox="1">
              <a:spLocks noChangeArrowheads="1"/>
            </xdr:cNvSpPr>
          </xdr:nvSpPr>
          <xdr:spPr bwMode="auto">
            <a:xfrm>
              <a:off x="5402580" y="5631180"/>
              <a:ext cx="1981200" cy="15697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Product Moment of Inertia, 'Ixy', for the pile group is calculated as follows:</a:t>
              </a:r>
            </a:p>
            <a:p>
              <a:pPr algn="l" rtl="0">
                <a:defRPr sz="1000"/>
              </a:pPr>
              <a:r>
                <a:rPr lang="en-US" sz="800" b="0" i="0" u="none" strike="noStrike" baseline="0%">
                  <a:solidFill>
                    <a:srgbClr val="000000"/>
                  </a:solidFill>
                  <a:latin typeface="Tahoma"/>
                  <a:ea typeface="Tahoma"/>
                  <a:cs typeface="Tahoma"/>
                </a:rPr>
                <a:t>   Ixy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(dx*dy)</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a:t>
              </a:r>
            </a:p>
            <a:p>
              <a:pPr algn="l" rtl="0">
                <a:defRPr sz="1000"/>
              </a:pPr>
              <a:r>
                <a:rPr lang="en-US" sz="800" b="0" i="0" u="none" strike="noStrike" baseline="0%">
                  <a:solidFill>
                    <a:srgbClr val="000000"/>
                  </a:solidFill>
                  <a:latin typeface="Tahoma"/>
                  <a:ea typeface="Tahoma"/>
                  <a:cs typeface="Tahoma"/>
                </a:rPr>
                <a:t>Note:  'Ixy' = 0  for a pile group with at</a:t>
              </a:r>
            </a:p>
            <a:p>
              <a:pPr algn="l" rtl="0">
                <a:defRPr sz="1000"/>
              </a:pPr>
              <a:r>
                <a:rPr lang="en-US" sz="800" b="0" i="0" u="none" strike="noStrike" baseline="0%">
                  <a:solidFill>
                    <a:srgbClr val="000000"/>
                  </a:solidFill>
                  <a:latin typeface="Tahoma"/>
                  <a:ea typeface="Tahoma"/>
                  <a:cs typeface="Tahoma"/>
                </a:rPr>
                <a:t>           least one axis of symmetry.</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29</xdr:row>
          <xdr:rowOff>68580</xdr:rowOff>
        </xdr:from>
        <xdr:to>
          <xdr:col>27</xdr:col>
          <xdr:colOff>617220</xdr:colOff>
          <xdr:row>33</xdr:row>
          <xdr:rowOff>129540</xdr:rowOff>
        </xdr:to>
        <xdr:sp macro="" textlink="">
          <xdr:nvSpPr>
            <xdr:cNvPr id="63495" name="Comment 7" hidden="1">
              <a:extLst>
                <a:ext uri="{FF2B5EF4-FFF2-40B4-BE49-F238E27FC236}">
                  <a16:creationId xmlns:a16="http://schemas.microsoft.com/office/drawing/2014/main" id="{59A541D5-1AA2-4C48-8863-E5196617C2DC}"/>
                </a:ext>
              </a:extLst>
            </xdr:cNvPr>
            <xdr:cNvSpPr txBox="1">
              <a:spLocks noChangeArrowheads="1"/>
            </xdr:cNvSpPr>
          </xdr:nvSpPr>
          <xdr:spPr bwMode="auto">
            <a:xfrm>
              <a:off x="5402580" y="4960620"/>
              <a:ext cx="199644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X-axis from the origin X-axis is calculated as follows:</a:t>
              </a:r>
            </a:p>
            <a:p>
              <a:pPr algn="l" rtl="0">
                <a:defRPr sz="1000"/>
              </a:pPr>
              <a:r>
                <a:rPr lang="en-US" sz="800" b="0" i="0" u="none" strike="noStrike" baseline="0%">
                  <a:solidFill>
                    <a:srgbClr val="000000"/>
                  </a:solidFill>
                  <a:latin typeface="Tahoma"/>
                  <a:ea typeface="Tahoma"/>
                  <a:cs typeface="Tahoma"/>
                </a:rPr>
                <a:t>   Yc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(Yo)/Np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34</xdr:row>
          <xdr:rowOff>68580</xdr:rowOff>
        </xdr:from>
        <xdr:to>
          <xdr:col>28</xdr:col>
          <xdr:colOff>403860</xdr:colOff>
          <xdr:row>40</xdr:row>
          <xdr:rowOff>68580</xdr:rowOff>
        </xdr:to>
        <xdr:sp macro="" textlink="">
          <xdr:nvSpPr>
            <xdr:cNvPr id="63496" name="Comment 8" hidden="1">
              <a:extLst>
                <a:ext uri="{FF2B5EF4-FFF2-40B4-BE49-F238E27FC236}">
                  <a16:creationId xmlns:a16="http://schemas.microsoft.com/office/drawing/2014/main" id="{AC11D97C-759D-4FA5-8D3F-834FACAB0EDA}"/>
                </a:ext>
              </a:extLst>
            </xdr:cNvPr>
            <xdr:cNvSpPr txBox="1">
              <a:spLocks noChangeArrowheads="1"/>
            </xdr:cNvSpPr>
          </xdr:nvSpPr>
          <xdr:spPr bwMode="auto">
            <a:xfrm>
              <a:off x="5402580" y="5798820"/>
              <a:ext cx="2407920" cy="9982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orientation of the principal axes, is defined by the rotation angle,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from the centroidal axes and is calculated as follows:</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a:t>
              </a:r>
              <a:r>
                <a:rPr lang="en-US" sz="800" b="0" i="0" u="none" strike="noStrike" baseline="0%">
                  <a:solidFill>
                    <a:srgbClr val="000000"/>
                  </a:solidFill>
                  <a:latin typeface="Tahoma"/>
                  <a:ea typeface="Tahoma"/>
                  <a:cs typeface="Tahoma"/>
                </a:rPr>
                <a:t> = (ATAN(-2*Ixy/(Ix-Iy)))/2</a:t>
              </a:r>
            </a:p>
            <a:p>
              <a:pPr algn="l" rtl="0">
                <a:defRPr sz="1000"/>
              </a:pPr>
              <a:r>
                <a:rPr lang="en-US" sz="800" b="0" i="0" u="none" strike="noStrike" baseline="0%">
                  <a:solidFill>
                    <a:srgbClr val="000000"/>
                  </a:solidFill>
                  <a:latin typeface="Tahoma"/>
                  <a:ea typeface="Tahoma"/>
                  <a:cs typeface="Tahoma"/>
                </a:rPr>
                <a:t>Note: sign convention is positive (+) ccw.</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 0  for a pile group with at least one</a:t>
              </a:r>
            </a:p>
            <a:p>
              <a:pPr algn="l" rtl="0">
                <a:defRPr sz="1000"/>
              </a:pPr>
              <a:r>
                <a:rPr lang="en-US" sz="800" b="0" i="0" u="none" strike="noStrike" baseline="0%">
                  <a:solidFill>
                    <a:srgbClr val="000000"/>
                  </a:solidFill>
                  <a:latin typeface="Tahoma"/>
                  <a:ea typeface="Tahoma"/>
                  <a:cs typeface="Tahoma"/>
                </a:rPr>
                <a:t>          axis of symmetry.</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38</xdr:row>
          <xdr:rowOff>68580</xdr:rowOff>
        </xdr:from>
        <xdr:to>
          <xdr:col>6</xdr:col>
          <xdr:colOff>449580</xdr:colOff>
          <xdr:row>42</xdr:row>
          <xdr:rowOff>121920</xdr:rowOff>
        </xdr:to>
        <xdr:sp macro="" textlink="">
          <xdr:nvSpPr>
            <xdr:cNvPr id="63497" name="Comment 9" hidden="1">
              <a:extLst>
                <a:ext uri="{FF2B5EF4-FFF2-40B4-BE49-F238E27FC236}">
                  <a16:creationId xmlns:a16="http://schemas.microsoft.com/office/drawing/2014/main" id="{F6CAFF62-5136-4A43-B333-EBFA8B91D987}"/>
                </a:ext>
              </a:extLst>
            </xdr:cNvPr>
            <xdr:cNvSpPr txBox="1">
              <a:spLocks noChangeArrowheads="1"/>
            </xdr:cNvSpPr>
          </xdr:nvSpPr>
          <xdr:spPr bwMode="auto">
            <a:xfrm>
              <a:off x="1546860" y="6461760"/>
              <a:ext cx="2979420" cy="723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piers must be located in the positive 1st quadrant.  That is, all pier X, Y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pier coordinates, or those cell values should be input = 0.</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39</xdr:row>
          <xdr:rowOff>68580</xdr:rowOff>
        </xdr:from>
        <xdr:to>
          <xdr:col>5</xdr:col>
          <xdr:colOff>99060</xdr:colOff>
          <xdr:row>41</xdr:row>
          <xdr:rowOff>45720</xdr:rowOff>
        </xdr:to>
        <xdr:sp macro="" textlink="">
          <xdr:nvSpPr>
            <xdr:cNvPr id="63498" name="Comment 10" hidden="1">
              <a:extLst>
                <a:ext uri="{FF2B5EF4-FFF2-40B4-BE49-F238E27FC236}">
                  <a16:creationId xmlns:a16="http://schemas.microsoft.com/office/drawing/2014/main" id="{5680588E-7166-4226-BE5B-AE7888C63C6E}"/>
                </a:ext>
              </a:extLst>
            </xdr:cNvPr>
            <xdr:cNvSpPr txBox="1">
              <a:spLocks noChangeArrowheads="1"/>
            </xdr:cNvSpPr>
          </xdr:nvSpPr>
          <xdr:spPr bwMode="auto">
            <a:xfrm>
              <a:off x="1546860" y="6629400"/>
              <a:ext cx="20040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 coordinate is the x-distance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40</xdr:row>
          <xdr:rowOff>68580</xdr:rowOff>
        </xdr:from>
        <xdr:to>
          <xdr:col>5</xdr:col>
          <xdr:colOff>99060</xdr:colOff>
          <xdr:row>42</xdr:row>
          <xdr:rowOff>45720</xdr:rowOff>
        </xdr:to>
        <xdr:sp macro="" textlink="">
          <xdr:nvSpPr>
            <xdr:cNvPr id="63499" name="Comment 11" hidden="1">
              <a:extLst>
                <a:ext uri="{FF2B5EF4-FFF2-40B4-BE49-F238E27FC236}">
                  <a16:creationId xmlns:a16="http://schemas.microsoft.com/office/drawing/2014/main" id="{ABDB02A0-5DF9-4CA7-BF21-B6D34193D794}"/>
                </a:ext>
              </a:extLst>
            </xdr:cNvPr>
            <xdr:cNvSpPr txBox="1">
              <a:spLocks noChangeArrowheads="1"/>
            </xdr:cNvSpPr>
          </xdr:nvSpPr>
          <xdr:spPr bwMode="auto">
            <a:xfrm>
              <a:off x="1546860" y="6797040"/>
              <a:ext cx="20040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 coordinate is the y-distance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41</xdr:row>
          <xdr:rowOff>68580</xdr:rowOff>
        </xdr:from>
        <xdr:to>
          <xdr:col>6</xdr:col>
          <xdr:colOff>274320</xdr:colOff>
          <xdr:row>47</xdr:row>
          <xdr:rowOff>68580</xdr:rowOff>
        </xdr:to>
        <xdr:sp macro="" textlink="">
          <xdr:nvSpPr>
            <xdr:cNvPr id="63500" name="Comment 12" hidden="1">
              <a:extLst>
                <a:ext uri="{FF2B5EF4-FFF2-40B4-BE49-F238E27FC236}">
                  <a16:creationId xmlns:a16="http://schemas.microsoft.com/office/drawing/2014/main" id="{27D19463-7A6D-4317-BB23-1E81FE025B28}"/>
                </a:ext>
              </a:extLst>
            </xdr:cNvPr>
            <xdr:cNvSpPr txBox="1">
              <a:spLocks noChangeArrowheads="1"/>
            </xdr:cNvSpPr>
          </xdr:nvSpPr>
          <xdr:spPr bwMode="auto">
            <a:xfrm>
              <a:off x="1546860" y="6964680"/>
              <a:ext cx="280416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42</xdr:row>
          <xdr:rowOff>68580</xdr:rowOff>
        </xdr:from>
        <xdr:to>
          <xdr:col>6</xdr:col>
          <xdr:colOff>525780</xdr:colOff>
          <xdr:row>45</xdr:row>
          <xdr:rowOff>7620</xdr:rowOff>
        </xdr:to>
        <xdr:sp macro="" textlink="">
          <xdr:nvSpPr>
            <xdr:cNvPr id="63501" name="Comment 13" hidden="1">
              <a:extLst>
                <a:ext uri="{FF2B5EF4-FFF2-40B4-BE49-F238E27FC236}">
                  <a16:creationId xmlns:a16="http://schemas.microsoft.com/office/drawing/2014/main" id="{3C98AC50-A132-4E74-AE09-81F08B935F01}"/>
                </a:ext>
              </a:extLst>
            </xdr:cNvPr>
            <xdr:cNvSpPr txBox="1">
              <a:spLocks noChangeArrowheads="1"/>
            </xdr:cNvSpPr>
          </xdr:nvSpPr>
          <xdr:spPr bwMode="auto">
            <a:xfrm>
              <a:off x="1546860" y="7132320"/>
              <a:ext cx="3055620" cy="4419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'Pz' is the vertical (Z-axis)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upward (out of page)</a:t>
              </a:r>
            </a:p>
            <a:p>
              <a:pPr algn="l" rtl="0">
                <a:defRPr sz="1000"/>
              </a:pPr>
              <a:r>
                <a:rPr lang="en-US" sz="800" b="0" i="0" u="none" strike="noStrike" baseline="0%">
                  <a:solidFill>
                    <a:srgbClr val="000000"/>
                  </a:solidFill>
                  <a:latin typeface="Tahoma"/>
                  <a:ea typeface="Tahoma"/>
                  <a:cs typeface="Tahoma"/>
                </a:rPr>
                <a:t>                            -  = downward (into page) for gravity loads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43</xdr:row>
          <xdr:rowOff>68580</xdr:rowOff>
        </xdr:from>
        <xdr:to>
          <xdr:col>7</xdr:col>
          <xdr:colOff>45720</xdr:colOff>
          <xdr:row>45</xdr:row>
          <xdr:rowOff>45720</xdr:rowOff>
        </xdr:to>
        <xdr:sp macro="" textlink="">
          <xdr:nvSpPr>
            <xdr:cNvPr id="63502" name="Comment 14" hidden="1">
              <a:extLst>
                <a:ext uri="{FF2B5EF4-FFF2-40B4-BE49-F238E27FC236}">
                  <a16:creationId xmlns:a16="http://schemas.microsoft.com/office/drawing/2014/main" id="{0A86987E-1694-4C48-9928-BDBBABEFFA7C}"/>
                </a:ext>
              </a:extLst>
            </xdr:cNvPr>
            <xdr:cNvSpPr txBox="1">
              <a:spLocks noChangeArrowheads="1"/>
            </xdr:cNvSpPr>
          </xdr:nvSpPr>
          <xdr:spPr bwMode="auto">
            <a:xfrm>
              <a:off x="1546860" y="7299960"/>
              <a:ext cx="32004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'Hx' is the horizontal (X-axis) load to be applied at the pier location.</a:t>
              </a:r>
            </a:p>
            <a:p>
              <a:pPr algn="l" rtl="0">
                <a:defRPr sz="1000"/>
              </a:pPr>
              <a:r>
                <a:rPr lang="en-US" sz="800" b="0" i="0" u="none" strike="noStrike" baseline="0%">
                  <a:solidFill>
                    <a:srgbClr val="000000"/>
                  </a:solidFill>
                  <a:latin typeface="Tahoma"/>
                  <a:ea typeface="Tahoma"/>
                  <a:cs typeface="Tahoma"/>
                </a:rPr>
                <a:t>Sign convention: + = to right</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44</xdr:row>
          <xdr:rowOff>68580</xdr:rowOff>
        </xdr:from>
        <xdr:to>
          <xdr:col>7</xdr:col>
          <xdr:colOff>45720</xdr:colOff>
          <xdr:row>46</xdr:row>
          <xdr:rowOff>45720</xdr:rowOff>
        </xdr:to>
        <xdr:sp macro="" textlink="">
          <xdr:nvSpPr>
            <xdr:cNvPr id="63503" name="Comment 15" hidden="1">
              <a:extLst>
                <a:ext uri="{FF2B5EF4-FFF2-40B4-BE49-F238E27FC236}">
                  <a16:creationId xmlns:a16="http://schemas.microsoft.com/office/drawing/2014/main" id="{25CC8917-20ED-4704-8A2E-2728290F36C3}"/>
                </a:ext>
              </a:extLst>
            </xdr:cNvPr>
            <xdr:cNvSpPr txBox="1">
              <a:spLocks noChangeArrowheads="1"/>
            </xdr:cNvSpPr>
          </xdr:nvSpPr>
          <xdr:spPr bwMode="auto">
            <a:xfrm>
              <a:off x="1546860" y="7467600"/>
              <a:ext cx="32004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'Hy' is the horizontal (Y-axis)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 the page</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45</xdr:row>
          <xdr:rowOff>68580</xdr:rowOff>
        </xdr:from>
        <xdr:to>
          <xdr:col>6</xdr:col>
          <xdr:colOff>274320</xdr:colOff>
          <xdr:row>47</xdr:row>
          <xdr:rowOff>45720</xdr:rowOff>
        </xdr:to>
        <xdr:sp macro="" textlink="">
          <xdr:nvSpPr>
            <xdr:cNvPr id="63504" name="Comment 16" hidden="1">
              <a:extLst>
                <a:ext uri="{FF2B5EF4-FFF2-40B4-BE49-F238E27FC236}">
                  <a16:creationId xmlns:a16="http://schemas.microsoft.com/office/drawing/2014/main" id="{9E4EFD5B-B93D-4907-A5D4-896A51BB6C31}"/>
                </a:ext>
              </a:extLst>
            </xdr:cNvPr>
            <xdr:cNvSpPr txBox="1">
              <a:spLocks noChangeArrowheads="1"/>
            </xdr:cNvSpPr>
          </xdr:nvSpPr>
          <xdr:spPr bwMode="auto">
            <a:xfrm>
              <a:off x="1546860" y="7635240"/>
              <a:ext cx="28041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'Mx' is the X-axis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46</xdr:row>
          <xdr:rowOff>68580</xdr:rowOff>
        </xdr:from>
        <xdr:to>
          <xdr:col>6</xdr:col>
          <xdr:colOff>274320</xdr:colOff>
          <xdr:row>48</xdr:row>
          <xdr:rowOff>45720</xdr:rowOff>
        </xdr:to>
        <xdr:sp macro="" textlink="">
          <xdr:nvSpPr>
            <xdr:cNvPr id="63505" name="Comment 17" hidden="1">
              <a:extLst>
                <a:ext uri="{FF2B5EF4-FFF2-40B4-BE49-F238E27FC236}">
                  <a16:creationId xmlns:a16="http://schemas.microsoft.com/office/drawing/2014/main" id="{B56E29F5-1B43-456F-9AE5-CFC677BF085E}"/>
                </a:ext>
              </a:extLst>
            </xdr:cNvPr>
            <xdr:cNvSpPr txBox="1">
              <a:spLocks noChangeArrowheads="1"/>
            </xdr:cNvSpPr>
          </xdr:nvSpPr>
          <xdr:spPr bwMode="auto">
            <a:xfrm>
              <a:off x="1546860" y="7802880"/>
              <a:ext cx="28041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'My' is the Y-axis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47</xdr:row>
          <xdr:rowOff>68580</xdr:rowOff>
        </xdr:from>
        <xdr:to>
          <xdr:col>6</xdr:col>
          <xdr:colOff>274320</xdr:colOff>
          <xdr:row>49</xdr:row>
          <xdr:rowOff>45720</xdr:rowOff>
        </xdr:to>
        <xdr:sp macro="" textlink="">
          <xdr:nvSpPr>
            <xdr:cNvPr id="63506" name="Comment 18" hidden="1">
              <a:extLst>
                <a:ext uri="{FF2B5EF4-FFF2-40B4-BE49-F238E27FC236}">
                  <a16:creationId xmlns:a16="http://schemas.microsoft.com/office/drawing/2014/main" id="{3160BD26-283A-444C-8D88-402C6736F39A}"/>
                </a:ext>
              </a:extLst>
            </xdr:cNvPr>
            <xdr:cNvSpPr txBox="1">
              <a:spLocks noChangeArrowheads="1"/>
            </xdr:cNvSpPr>
          </xdr:nvSpPr>
          <xdr:spPr bwMode="auto">
            <a:xfrm>
              <a:off x="1546860" y="7970520"/>
              <a:ext cx="28041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'Mz' is the Z-axis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37</xdr:row>
          <xdr:rowOff>68580</xdr:rowOff>
        </xdr:from>
        <xdr:to>
          <xdr:col>28</xdr:col>
          <xdr:colOff>236220</xdr:colOff>
          <xdr:row>40</xdr:row>
          <xdr:rowOff>22860</xdr:rowOff>
        </xdr:to>
        <xdr:sp macro="" textlink="">
          <xdr:nvSpPr>
            <xdr:cNvPr id="63507" name="Comment 19" hidden="1">
              <a:extLst>
                <a:ext uri="{FF2B5EF4-FFF2-40B4-BE49-F238E27FC236}">
                  <a16:creationId xmlns:a16="http://schemas.microsoft.com/office/drawing/2014/main" id="{CA92DB5F-FABF-4765-9EBA-38141914E1F2}"/>
                </a:ext>
              </a:extLst>
            </xdr:cNvPr>
            <xdr:cNvSpPr txBox="1">
              <a:spLocks noChangeArrowheads="1"/>
            </xdr:cNvSpPr>
          </xdr:nvSpPr>
          <xdr:spPr bwMode="auto">
            <a:xfrm>
              <a:off x="5402580" y="6301740"/>
              <a:ext cx="2240280" cy="4495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Pz = sum of all applied vertical (Z-axis)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+Z-axis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38</xdr:row>
          <xdr:rowOff>68580</xdr:rowOff>
        </xdr:from>
        <xdr:to>
          <xdr:col>28</xdr:col>
          <xdr:colOff>388620</xdr:colOff>
          <xdr:row>41</xdr:row>
          <xdr:rowOff>7620</xdr:rowOff>
        </xdr:to>
        <xdr:sp macro="" textlink="">
          <xdr:nvSpPr>
            <xdr:cNvPr id="63508" name="Comment 20" hidden="1">
              <a:extLst>
                <a:ext uri="{FF2B5EF4-FFF2-40B4-BE49-F238E27FC236}">
                  <a16:creationId xmlns:a16="http://schemas.microsoft.com/office/drawing/2014/main" id="{3670880C-8138-4F00-920C-BEB9788279C4}"/>
                </a:ext>
              </a:extLst>
            </xdr:cNvPr>
            <xdr:cNvSpPr txBox="1">
              <a:spLocks noChangeArrowheads="1"/>
            </xdr:cNvSpPr>
          </xdr:nvSpPr>
          <xdr:spPr bwMode="auto">
            <a:xfrm>
              <a:off x="5402580" y="6461760"/>
              <a:ext cx="2392680" cy="4419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Hx = sum of all applied horizontal (X-axis)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+X-axis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39</xdr:row>
          <xdr:rowOff>68580</xdr:rowOff>
        </xdr:from>
        <xdr:to>
          <xdr:col>28</xdr:col>
          <xdr:colOff>388620</xdr:colOff>
          <xdr:row>42</xdr:row>
          <xdr:rowOff>7620</xdr:rowOff>
        </xdr:to>
        <xdr:sp macro="" textlink="">
          <xdr:nvSpPr>
            <xdr:cNvPr id="63509" name="Comment 21" hidden="1">
              <a:extLst>
                <a:ext uri="{FF2B5EF4-FFF2-40B4-BE49-F238E27FC236}">
                  <a16:creationId xmlns:a16="http://schemas.microsoft.com/office/drawing/2014/main" id="{1B52DED0-0628-4E87-AE87-87D9F155E153}"/>
                </a:ext>
              </a:extLst>
            </xdr:cNvPr>
            <xdr:cNvSpPr txBox="1">
              <a:spLocks noChangeArrowheads="1"/>
            </xdr:cNvSpPr>
          </xdr:nvSpPr>
          <xdr:spPr bwMode="auto">
            <a:xfrm>
              <a:off x="5402580" y="6629400"/>
              <a:ext cx="2392680" cy="4419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Hy = sum of all applied horizontal (Y-axis)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+Y-axis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40</xdr:row>
          <xdr:rowOff>68580</xdr:rowOff>
        </xdr:from>
        <xdr:to>
          <xdr:col>28</xdr:col>
          <xdr:colOff>335280</xdr:colOff>
          <xdr:row>44</xdr:row>
          <xdr:rowOff>129540</xdr:rowOff>
        </xdr:to>
        <xdr:sp macro="" textlink="">
          <xdr:nvSpPr>
            <xdr:cNvPr id="63510" name="Comment 22" hidden="1">
              <a:extLst>
                <a:ext uri="{FF2B5EF4-FFF2-40B4-BE49-F238E27FC236}">
                  <a16:creationId xmlns:a16="http://schemas.microsoft.com/office/drawing/2014/main" id="{10307C43-90B1-4954-885F-56C19A03A349}"/>
                </a:ext>
              </a:extLst>
            </xdr:cNvPr>
            <xdr:cNvSpPr txBox="1">
              <a:spLocks noChangeArrowheads="1"/>
            </xdr:cNvSpPr>
          </xdr:nvSpPr>
          <xdr:spPr bwMode="auto">
            <a:xfrm>
              <a:off x="5402580" y="6797040"/>
              <a:ext cx="233934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Mx = sum of all applied X-axis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a:t>
              </a:r>
            </a:p>
            <a:p>
              <a:pPr algn="l" rtl="0">
                <a:defRPr sz="1000"/>
              </a:pPr>
              <a:r>
                <a:rPr lang="en-US" sz="800" b="0" i="0" u="none" strike="noStrike" baseline="0%">
                  <a:solidFill>
                    <a:srgbClr val="000000"/>
                  </a:solidFill>
                  <a:latin typeface="Tahoma"/>
                  <a:ea typeface="Tahoma"/>
                  <a:cs typeface="Tahoma"/>
                </a:rPr>
                <a:t>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41</xdr:row>
          <xdr:rowOff>68580</xdr:rowOff>
        </xdr:from>
        <xdr:to>
          <xdr:col>28</xdr:col>
          <xdr:colOff>335280</xdr:colOff>
          <xdr:row>45</xdr:row>
          <xdr:rowOff>129540</xdr:rowOff>
        </xdr:to>
        <xdr:sp macro="" textlink="">
          <xdr:nvSpPr>
            <xdr:cNvPr id="63511" name="Comment 23" hidden="1">
              <a:extLst>
                <a:ext uri="{FF2B5EF4-FFF2-40B4-BE49-F238E27FC236}">
                  <a16:creationId xmlns:a16="http://schemas.microsoft.com/office/drawing/2014/main" id="{F7FEDFB1-DFD2-43A1-A8AB-DDB25FB54C9F}"/>
                </a:ext>
              </a:extLst>
            </xdr:cNvPr>
            <xdr:cNvSpPr txBox="1">
              <a:spLocks noChangeArrowheads="1"/>
            </xdr:cNvSpPr>
          </xdr:nvSpPr>
          <xdr:spPr bwMode="auto">
            <a:xfrm>
              <a:off x="5402580" y="6964680"/>
              <a:ext cx="233934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My = sum of all applied Y-axis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a:t>
              </a:r>
            </a:p>
            <a:p>
              <a:pPr algn="l" rtl="0">
                <a:defRPr sz="1000"/>
              </a:pPr>
              <a:r>
                <a:rPr lang="en-US" sz="800" b="0" i="0" u="none" strike="noStrike" baseline="0%">
                  <a:solidFill>
                    <a:srgbClr val="000000"/>
                  </a:solidFill>
                  <a:latin typeface="Tahoma"/>
                  <a:ea typeface="Tahoma"/>
                  <a:cs typeface="Tahoma"/>
                </a:rPr>
                <a:t>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42</xdr:row>
          <xdr:rowOff>68580</xdr:rowOff>
        </xdr:from>
        <xdr:to>
          <xdr:col>28</xdr:col>
          <xdr:colOff>266700</xdr:colOff>
          <xdr:row>45</xdr:row>
          <xdr:rowOff>129540</xdr:rowOff>
        </xdr:to>
        <xdr:sp macro="" textlink="">
          <xdr:nvSpPr>
            <xdr:cNvPr id="63512" name="Comment 24" hidden="1">
              <a:extLst>
                <a:ext uri="{FF2B5EF4-FFF2-40B4-BE49-F238E27FC236}">
                  <a16:creationId xmlns:a16="http://schemas.microsoft.com/office/drawing/2014/main" id="{153693B7-6A6E-433B-90E6-75C649542715}"/>
                </a:ext>
              </a:extLst>
            </xdr:cNvPr>
            <xdr:cNvSpPr txBox="1">
              <a:spLocks noChangeArrowheads="1"/>
            </xdr:cNvSpPr>
          </xdr:nvSpPr>
          <xdr:spPr bwMode="auto">
            <a:xfrm>
              <a:off x="5402580" y="7132320"/>
              <a:ext cx="2270760" cy="5638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Mz = sum of all applied Z-axis moments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t>
              </a:r>
            </a:p>
            <a:p>
              <a:pPr algn="l" rtl="0">
                <a:defRPr sz="1000"/>
              </a:pPr>
              <a:r>
                <a:rPr lang="en-US" sz="800" b="0" i="0" u="none" strike="noStrike" baseline="0%">
                  <a:solidFill>
                    <a:srgbClr val="000000"/>
                  </a:solidFill>
                  <a:latin typeface="Tahoma"/>
                  <a:ea typeface="Tahoma"/>
                  <a:cs typeface="Tahoma"/>
                </a:rPr>
                <a:t>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76200</xdr:colOff>
          <xdr:row>9</xdr:row>
          <xdr:rowOff>68580</xdr:rowOff>
        </xdr:from>
        <xdr:to>
          <xdr:col>29</xdr:col>
          <xdr:colOff>617220</xdr:colOff>
          <xdr:row>16</xdr:row>
          <xdr:rowOff>60960</xdr:rowOff>
        </xdr:to>
        <xdr:sp macro="" textlink="">
          <xdr:nvSpPr>
            <xdr:cNvPr id="63513" name="Comment 25" hidden="1">
              <a:extLst>
                <a:ext uri="{FF2B5EF4-FFF2-40B4-BE49-F238E27FC236}">
                  <a16:creationId xmlns:a16="http://schemas.microsoft.com/office/drawing/2014/main" id="{6C9E6618-C052-43F5-B183-6676F051A44F}"/>
                </a:ext>
              </a:extLst>
            </xdr:cNvPr>
            <xdr:cNvSpPr txBox="1">
              <a:spLocks noChangeArrowheads="1"/>
            </xdr:cNvSpPr>
          </xdr:nvSpPr>
          <xdr:spPr bwMode="auto">
            <a:xfrm>
              <a:off x="3528060" y="1607820"/>
              <a:ext cx="5120640" cy="11658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Pile Reaction, 'Rz', at each pile is calculated as follows:</a:t>
              </a:r>
            </a:p>
            <a:p>
              <a:pPr algn="l" rtl="0">
                <a:defRPr sz="1000"/>
              </a:pPr>
              <a:r>
                <a:rPr lang="en-US" sz="800" b="0" i="0" u="none" strike="noStrike" baseline="0%">
                  <a:solidFill>
                    <a:srgbClr val="000000"/>
                  </a:solidFill>
                  <a:latin typeface="Tahoma"/>
                  <a:ea typeface="Tahoma"/>
                  <a:cs typeface="Tahoma"/>
                </a:rPr>
                <a:t>   Rz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Pz)/Np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My)*Ix-(-</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Mx)*Ixy)/(Ix*Iy-Ixy^2)*Xp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Mx)*Iy-(</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My)*Ixy)/(Ix*Iy-Ixy^2)*Yp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Sign convention for 'Rz'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76200</xdr:colOff>
          <xdr:row>9</xdr:row>
          <xdr:rowOff>68580</xdr:rowOff>
        </xdr:from>
        <xdr:to>
          <xdr:col>28</xdr:col>
          <xdr:colOff>411480</xdr:colOff>
          <xdr:row>15</xdr:row>
          <xdr:rowOff>60960</xdr:rowOff>
        </xdr:to>
        <xdr:sp macro="" textlink="">
          <xdr:nvSpPr>
            <xdr:cNvPr id="63514" name="Comment 26" hidden="1">
              <a:extLst>
                <a:ext uri="{FF2B5EF4-FFF2-40B4-BE49-F238E27FC236}">
                  <a16:creationId xmlns:a16="http://schemas.microsoft.com/office/drawing/2014/main" id="{F60026DE-63A8-419B-BD97-718BA5ED314B}"/>
                </a:ext>
              </a:extLst>
            </xdr:cNvPr>
            <xdr:cNvSpPr txBox="1">
              <a:spLocks noChangeArrowheads="1"/>
            </xdr:cNvSpPr>
          </xdr:nvSpPr>
          <xdr:spPr bwMode="auto">
            <a:xfrm>
              <a:off x="4152900" y="1607820"/>
              <a:ext cx="3665220" cy="9982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Horizontal Pile Reaction, 'Rh', at each pile is calculated as follows:</a:t>
              </a:r>
            </a:p>
            <a:p>
              <a:pPr algn="l" rtl="0">
                <a:defRPr sz="1000"/>
              </a:pPr>
              <a:r>
                <a:rPr lang="en-US" sz="800" b="0" i="0" u="none" strike="noStrike" baseline="0%">
                  <a:solidFill>
                    <a:srgbClr val="000000"/>
                  </a:solidFill>
                  <a:latin typeface="Tahoma"/>
                  <a:ea typeface="Tahoma"/>
                  <a:cs typeface="Tahoma"/>
                </a:rPr>
                <a:t>   Rh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Hx)/Np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Mz)*Yp/J)^2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Hy)/Np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Mz)*Xp/J)^2)^(1/2)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Note: 'Rh' is an "absolute" value with no particular sign convention, thus no</a:t>
              </a:r>
            </a:p>
            <a:p>
              <a:pPr algn="l" rtl="0">
                <a:defRPr sz="1000"/>
              </a:pPr>
              <a:r>
                <a:rPr lang="en-US" sz="800" b="0" i="0" u="none" strike="noStrike" baseline="0%">
                  <a:solidFill>
                    <a:srgbClr val="000000"/>
                  </a:solidFill>
                  <a:latin typeface="Tahoma"/>
                  <a:ea typeface="Tahoma"/>
                  <a:cs typeface="Tahoma"/>
                </a:rPr>
                <a:t>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106680</xdr:colOff>
          <xdr:row>8</xdr:row>
          <xdr:rowOff>68580</xdr:rowOff>
        </xdr:from>
        <xdr:to>
          <xdr:col>7</xdr:col>
          <xdr:colOff>114300</xdr:colOff>
          <xdr:row>13</xdr:row>
          <xdr:rowOff>91440</xdr:rowOff>
        </xdr:to>
        <xdr:sp macro="" textlink="">
          <xdr:nvSpPr>
            <xdr:cNvPr id="63515" name="Comment 27" hidden="1">
              <a:extLst>
                <a:ext uri="{FF2B5EF4-FFF2-40B4-BE49-F238E27FC236}">
                  <a16:creationId xmlns:a16="http://schemas.microsoft.com/office/drawing/2014/main" id="{935A448A-A54E-4BFF-BEEB-81A4555E1013}"/>
                </a:ext>
              </a:extLst>
            </xdr:cNvPr>
            <xdr:cNvSpPr txBox="1">
              <a:spLocks noChangeArrowheads="1"/>
            </xdr:cNvSpPr>
          </xdr:nvSpPr>
          <xdr:spPr bwMode="auto">
            <a:xfrm>
              <a:off x="2171700" y="1440180"/>
              <a:ext cx="2644140" cy="8610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piles must be located in the positive 1st quadrant.  That is, all pile Xo, Yo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pile coordinates, or those cell values should be input = 0.</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9</xdr:row>
          <xdr:rowOff>68580</xdr:rowOff>
        </xdr:from>
        <xdr:to>
          <xdr:col>5</xdr:col>
          <xdr:colOff>76200</xdr:colOff>
          <xdr:row>11</xdr:row>
          <xdr:rowOff>45720</xdr:rowOff>
        </xdr:to>
        <xdr:sp macro="" textlink="">
          <xdr:nvSpPr>
            <xdr:cNvPr id="63516" name="Comment 28" hidden="1">
              <a:extLst>
                <a:ext uri="{FF2B5EF4-FFF2-40B4-BE49-F238E27FC236}">
                  <a16:creationId xmlns:a16="http://schemas.microsoft.com/office/drawing/2014/main" id="{F597BF62-3496-4E89-A1F9-17402AC5BA8E}"/>
                </a:ext>
              </a:extLst>
            </xdr:cNvPr>
            <xdr:cNvSpPr txBox="1">
              <a:spLocks noChangeArrowheads="1"/>
            </xdr:cNvSpPr>
          </xdr:nvSpPr>
          <xdr:spPr bwMode="auto">
            <a:xfrm>
              <a:off x="1546860" y="1607820"/>
              <a:ext cx="19812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'Xo' coordinate is the x-distance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106680</xdr:colOff>
          <xdr:row>9</xdr:row>
          <xdr:rowOff>68580</xdr:rowOff>
        </xdr:from>
        <xdr:to>
          <xdr:col>6</xdr:col>
          <xdr:colOff>76200</xdr:colOff>
          <xdr:row>11</xdr:row>
          <xdr:rowOff>45720</xdr:rowOff>
        </xdr:to>
        <xdr:sp macro="" textlink="">
          <xdr:nvSpPr>
            <xdr:cNvPr id="63517" name="Comment 29" hidden="1">
              <a:extLst>
                <a:ext uri="{FF2B5EF4-FFF2-40B4-BE49-F238E27FC236}">
                  <a16:creationId xmlns:a16="http://schemas.microsoft.com/office/drawing/2014/main" id="{9A2EDF23-93C7-4A38-89C0-E8A0ABD86368}"/>
                </a:ext>
              </a:extLst>
            </xdr:cNvPr>
            <xdr:cNvSpPr txBox="1">
              <a:spLocks noChangeArrowheads="1"/>
            </xdr:cNvSpPr>
          </xdr:nvSpPr>
          <xdr:spPr bwMode="auto">
            <a:xfrm>
              <a:off x="2171700" y="1607820"/>
              <a:ext cx="19812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'Yo' coordinate is the y-distance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68580</xdr:colOff>
          <xdr:row>43</xdr:row>
          <xdr:rowOff>68580</xdr:rowOff>
        </xdr:from>
        <xdr:to>
          <xdr:col>28</xdr:col>
          <xdr:colOff>114300</xdr:colOff>
          <xdr:row>46</xdr:row>
          <xdr:rowOff>30480</xdr:rowOff>
        </xdr:to>
        <xdr:sp macro="" textlink="">
          <xdr:nvSpPr>
            <xdr:cNvPr id="63518" name="Comment 30" hidden="1">
              <a:extLst>
                <a:ext uri="{FF2B5EF4-FFF2-40B4-BE49-F238E27FC236}">
                  <a16:creationId xmlns:a16="http://schemas.microsoft.com/office/drawing/2014/main" id="{E0EB9282-19ED-4511-8576-BB3771B96F17}"/>
                </a:ext>
              </a:extLst>
            </xdr:cNvPr>
            <xdr:cNvSpPr txBox="1">
              <a:spLocks noChangeArrowheads="1"/>
            </xdr:cNvSpPr>
          </xdr:nvSpPr>
          <xdr:spPr bwMode="auto">
            <a:xfrm>
              <a:off x="5394960" y="7299960"/>
              <a:ext cx="212598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'Rz(max)'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46</xdr:row>
          <xdr:rowOff>68580</xdr:rowOff>
        </xdr:from>
        <xdr:to>
          <xdr:col>28</xdr:col>
          <xdr:colOff>129540</xdr:colOff>
          <xdr:row>49</xdr:row>
          <xdr:rowOff>30480</xdr:rowOff>
        </xdr:to>
        <xdr:sp macro="" textlink="">
          <xdr:nvSpPr>
            <xdr:cNvPr id="63519" name="Comment 31" hidden="1">
              <a:extLst>
                <a:ext uri="{FF2B5EF4-FFF2-40B4-BE49-F238E27FC236}">
                  <a16:creationId xmlns:a16="http://schemas.microsoft.com/office/drawing/2014/main" id="{8D345CCC-B0FE-436B-B7D7-D937764828A7}"/>
                </a:ext>
              </a:extLst>
            </xdr:cNvPr>
            <xdr:cNvSpPr txBox="1">
              <a:spLocks noChangeArrowheads="1"/>
            </xdr:cNvSpPr>
          </xdr:nvSpPr>
          <xdr:spPr bwMode="auto">
            <a:xfrm>
              <a:off x="5402580" y="7802880"/>
              <a:ext cx="213360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'Rz(min)'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47</xdr:row>
          <xdr:rowOff>68580</xdr:rowOff>
        </xdr:from>
        <xdr:to>
          <xdr:col>27</xdr:col>
          <xdr:colOff>586740</xdr:colOff>
          <xdr:row>50</xdr:row>
          <xdr:rowOff>22860</xdr:rowOff>
        </xdr:to>
        <xdr:sp macro="" textlink="">
          <xdr:nvSpPr>
            <xdr:cNvPr id="63520" name="Comment 32" hidden="1">
              <a:extLst>
                <a:ext uri="{FF2B5EF4-FFF2-40B4-BE49-F238E27FC236}">
                  <a16:creationId xmlns:a16="http://schemas.microsoft.com/office/drawing/2014/main" id="{CE098A0C-9608-431B-A0BB-6C490F65C4C0}"/>
                </a:ext>
              </a:extLst>
            </xdr:cNvPr>
            <xdr:cNvSpPr txBox="1">
              <a:spLocks noChangeArrowheads="1"/>
            </xdr:cNvSpPr>
          </xdr:nvSpPr>
          <xdr:spPr bwMode="auto">
            <a:xfrm>
              <a:off x="5402580" y="7970520"/>
              <a:ext cx="196596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Note: 'Rh(max)' is an "absolute" value</a:t>
              </a:r>
            </a:p>
            <a:p>
              <a:pPr algn="l" rtl="0">
                <a:defRPr sz="1000"/>
              </a:pPr>
              <a:r>
                <a:rPr lang="en-US" sz="800" b="0" i="0" u="none" strike="noStrike" baseline="0%">
                  <a:solidFill>
                    <a:srgbClr val="000000"/>
                  </a:solidFill>
                  <a:latin typeface="Tahoma"/>
                  <a:ea typeface="Tahoma"/>
                  <a:cs typeface="Tahoma"/>
                </a:rPr>
                <a:t>          with no particular sign convention,</a:t>
              </a:r>
            </a:p>
            <a:p>
              <a:pPr algn="l" rtl="0">
                <a:defRPr sz="1000"/>
              </a:pPr>
              <a:r>
                <a:rPr lang="en-US" sz="800" b="0" i="0" u="none" strike="noStrike" baseline="0%">
                  <a:solidFill>
                    <a:srgbClr val="000000"/>
                  </a:solidFill>
                  <a:latin typeface="Tahoma"/>
                  <a:ea typeface="Tahoma"/>
                  <a:cs typeface="Tahoma"/>
                </a:rPr>
                <a:t>          thus no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106680</xdr:colOff>
          <xdr:row>7</xdr:row>
          <xdr:rowOff>68580</xdr:rowOff>
        </xdr:from>
        <xdr:to>
          <xdr:col>6</xdr:col>
          <xdr:colOff>167640</xdr:colOff>
          <xdr:row>9</xdr:row>
          <xdr:rowOff>60960</xdr:rowOff>
        </xdr:to>
        <xdr:sp macro="" textlink="">
          <xdr:nvSpPr>
            <xdr:cNvPr id="63521" name="Comment 33" hidden="1">
              <a:extLst>
                <a:ext uri="{FF2B5EF4-FFF2-40B4-BE49-F238E27FC236}">
                  <a16:creationId xmlns:a16="http://schemas.microsoft.com/office/drawing/2014/main" id="{9CDB0F93-AC0C-4B7B-8975-7BC32A5CA585}"/>
                </a:ext>
              </a:extLst>
            </xdr:cNvPr>
            <xdr:cNvSpPr txBox="1">
              <a:spLocks noChangeArrowheads="1"/>
            </xdr:cNvSpPr>
          </xdr:nvSpPr>
          <xdr:spPr bwMode="auto">
            <a:xfrm>
              <a:off x="2171700" y="1272540"/>
              <a:ext cx="2072640" cy="3276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2.</a:t>
              </a:r>
            </a:p>
            <a:p>
              <a:pPr algn="l" rtl="0">
                <a:defRPr sz="1000"/>
              </a:pPr>
              <a:r>
                <a:rPr lang="en-US" sz="800" b="1" i="0" u="none" strike="noStrike" baseline="0%">
                  <a:solidFill>
                    <a:srgbClr val="000000"/>
                  </a:solidFill>
                  <a:latin typeface="Tahoma"/>
                  <a:ea typeface="Tahoma"/>
                  <a:cs typeface="Tahoma"/>
                </a:rPr>
                <a:t>The maximum number of piles = 25.</a:t>
              </a:r>
            </a:p>
          </xdr:txBody>
        </xdr:sp>
        <xdr:clientData/>
      </xdr:twoCellAnchor>
    </mc:Fallback>
  </mc:AlternateContent>
  <mc:AlternateContent xmlns:mc="http://schemas.openxmlformats.org/markup-compatibility/2006">
    <mc:Choice xmlns:v="urn:schemas-microsoft-com:vml" Requires="v"/>
    <mc:Fallback>
      <xdr:twoCellAnchor editAs="absolute">
        <xdr:from>
          <xdr:col>29</xdr:col>
          <xdr:colOff>213360</xdr:colOff>
          <xdr:row>0</xdr:row>
          <xdr:rowOff>106680</xdr:rowOff>
        </xdr:from>
        <xdr:to>
          <xdr:col>31</xdr:col>
          <xdr:colOff>175260</xdr:colOff>
          <xdr:row>7</xdr:row>
          <xdr:rowOff>38100</xdr:rowOff>
        </xdr:to>
        <xdr:sp macro="" textlink="">
          <xdr:nvSpPr>
            <xdr:cNvPr id="63524" name="Comment 36" hidden="1">
              <a:extLst>
                <a:ext uri="{FF2B5EF4-FFF2-40B4-BE49-F238E27FC236}">
                  <a16:creationId xmlns:a16="http://schemas.microsoft.com/office/drawing/2014/main" id="{D46B09C2-2992-4A17-AC7B-D6A817F5E8F6}"/>
                </a:ext>
              </a:extLst>
            </xdr:cNvPr>
            <xdr:cNvSpPr txBox="1">
              <a:spLocks noChangeArrowheads="1"/>
            </xdr:cNvSpPr>
          </xdr:nvSpPr>
          <xdr:spPr bwMode="auto">
            <a:xfrm>
              <a:off x="8244840" y="106680"/>
              <a:ext cx="1211580" cy="11353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user may manually adjust the scaling of the plotted pile group by adjusting the "X" and "Y" plot scale factors below.  The object is to try to equalize the maximum X-axis and Y-axis values which are shown.</a:t>
              </a:r>
            </a:p>
          </xdr:txBody>
        </xdr:sp>
        <xdr:clientData/>
      </xdr:twoCellAnchor>
    </mc:Fallback>
  </mc:AlternateContent>
  <mc:AlternateContent xmlns:mc="http://schemas.openxmlformats.org/markup-compatibility/2006">
    <mc:Choice xmlns:v="urn:schemas-microsoft-com:vml" Requires="v"/>
    <mc:Fallback>
      <xdr:twoCellAnchor editAs="absolute">
        <xdr:from>
          <xdr:col>33</xdr:col>
          <xdr:colOff>213360</xdr:colOff>
          <xdr:row>56</xdr:row>
          <xdr:rowOff>68580</xdr:rowOff>
        </xdr:from>
        <xdr:to>
          <xdr:col>36</xdr:col>
          <xdr:colOff>449580</xdr:colOff>
          <xdr:row>58</xdr:row>
          <xdr:rowOff>60960</xdr:rowOff>
        </xdr:to>
        <xdr:sp macro="" textlink="">
          <xdr:nvSpPr>
            <xdr:cNvPr id="63533" name="Comment 45" hidden="1">
              <a:extLst>
                <a:ext uri="{FF2B5EF4-FFF2-40B4-BE49-F238E27FC236}">
                  <a16:creationId xmlns:a16="http://schemas.microsoft.com/office/drawing/2014/main" id="{043B985E-3E45-407A-BBAC-88421A3C1080}"/>
                </a:ext>
              </a:extLst>
            </xdr:cNvPr>
            <xdr:cNvSpPr txBox="1">
              <a:spLocks noChangeArrowheads="1"/>
            </xdr:cNvSpPr>
          </xdr:nvSpPr>
          <xdr:spPr bwMode="auto">
            <a:xfrm>
              <a:off x="10744200" y="9479280"/>
              <a:ext cx="2110740" cy="3276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3.</a:t>
              </a:r>
            </a:p>
            <a:p>
              <a:pPr algn="l" rtl="0">
                <a:defRPr sz="1000"/>
              </a:pPr>
              <a:r>
                <a:rPr lang="en-US" sz="800" b="1" i="0" u="none" strike="noStrike" baseline="0%">
                  <a:solidFill>
                    <a:srgbClr val="000000"/>
                  </a:solidFill>
                  <a:latin typeface="Tahoma"/>
                  <a:ea typeface="Tahoma"/>
                  <a:cs typeface="Tahoma"/>
                </a:rPr>
                <a:t>The maximum number of piles = 25.</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144780</xdr:colOff>
          <xdr:row>30</xdr:row>
          <xdr:rowOff>68580</xdr:rowOff>
        </xdr:from>
        <xdr:to>
          <xdr:col>28</xdr:col>
          <xdr:colOff>7620</xdr:colOff>
          <xdr:row>36</xdr:row>
          <xdr:rowOff>99060</xdr:rowOff>
        </xdr:to>
        <xdr:sp macro="" textlink="">
          <xdr:nvSpPr>
            <xdr:cNvPr id="63668" name="Comment 180" hidden="1">
              <a:extLst>
                <a:ext uri="{FF2B5EF4-FFF2-40B4-BE49-F238E27FC236}">
                  <a16:creationId xmlns:a16="http://schemas.microsoft.com/office/drawing/2014/main" id="{10483CB7-D047-45AC-8CD9-D6E754EC1089}"/>
                </a:ext>
              </a:extLst>
            </xdr:cNvPr>
            <xdr:cNvSpPr txBox="1">
              <a:spLocks noChangeArrowheads="1"/>
            </xdr:cNvSpPr>
          </xdr:nvSpPr>
          <xdr:spPr bwMode="auto">
            <a:xfrm>
              <a:off x="5471160" y="5128260"/>
              <a:ext cx="1943100" cy="10363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X-axis Moment of Inertia, 'Ix',  for the pile group is calculated as follows:</a:t>
              </a:r>
            </a:p>
            <a:p>
              <a:pPr algn="l" rtl="0">
                <a:defRPr sz="1000"/>
              </a:pPr>
              <a:r>
                <a:rPr lang="en-US" sz="800" b="0" i="0" u="none" strike="noStrike" baseline="0%">
                  <a:solidFill>
                    <a:srgbClr val="000000"/>
                  </a:solidFill>
                  <a:latin typeface="Tahoma"/>
                  <a:ea typeface="Tahoma"/>
                  <a:cs typeface="Tahoma"/>
                </a:rPr>
                <a:t>   Ix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(dy)^2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 </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144780</xdr:colOff>
          <xdr:row>31</xdr:row>
          <xdr:rowOff>68580</xdr:rowOff>
        </xdr:from>
        <xdr:to>
          <xdr:col>28</xdr:col>
          <xdr:colOff>7620</xdr:colOff>
          <xdr:row>37</xdr:row>
          <xdr:rowOff>76200</xdr:rowOff>
        </xdr:to>
        <xdr:sp macro="" textlink="">
          <xdr:nvSpPr>
            <xdr:cNvPr id="63669" name="Comment 181" hidden="1">
              <a:extLst>
                <a:ext uri="{FF2B5EF4-FFF2-40B4-BE49-F238E27FC236}">
                  <a16:creationId xmlns:a16="http://schemas.microsoft.com/office/drawing/2014/main" id="{8F168B3B-F55E-4765-8C49-D143F5EB6113}"/>
                </a:ext>
              </a:extLst>
            </xdr:cNvPr>
            <xdr:cNvSpPr txBox="1">
              <a:spLocks noChangeArrowheads="1"/>
            </xdr:cNvSpPr>
          </xdr:nvSpPr>
          <xdr:spPr bwMode="auto">
            <a:xfrm>
              <a:off x="5471160" y="5295900"/>
              <a:ext cx="1943100" cy="10134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Y-axis Moment of Inertia, 'Iy',  for the pile group is calculated as follows:</a:t>
              </a:r>
            </a:p>
            <a:p>
              <a:pPr algn="l" rtl="0">
                <a:defRPr sz="1000"/>
              </a:pPr>
              <a:r>
                <a:rPr lang="en-US" sz="800" b="0" i="0" u="none" strike="noStrike" baseline="0%">
                  <a:solidFill>
                    <a:srgbClr val="000000"/>
                  </a:solidFill>
                  <a:latin typeface="Tahoma"/>
                  <a:ea typeface="Tahoma"/>
                  <a:cs typeface="Tahoma"/>
                </a:rPr>
                <a:t>   Iy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 </a:t>
              </a:r>
            </a:p>
          </xdr:txBody>
        </xdr:sp>
        <xdr:clientData/>
      </xdr:twoCellAnchor>
    </mc:Fallback>
  </mc:AlternateContent>
</xdr:wsDr>
</file>

<file path=xl/drawings/drawing2.xml><?xml version="1.0" encoding="utf-8"?>
<xdr:wsDr xmlns:xdr="http://purl.oclc.org/ooxml/drawingml/spreadsheetDrawing" xmlns:a="http://purl.oclc.org/ooxml/drawingml/main">
  <xdr:twoCellAnchor>
    <xdr:from>
      <xdr:col>27</xdr:col>
      <xdr:colOff>0</xdr:colOff>
      <xdr:row>1</xdr:row>
      <xdr:rowOff>0</xdr:rowOff>
    </xdr:from>
    <xdr:to>
      <xdr:col>29</xdr:col>
      <xdr:colOff>0</xdr:colOff>
      <xdr:row>4</xdr:row>
      <xdr:rowOff>0</xdr:rowOff>
    </xdr:to>
    <xdr:sp macro="" textlink="">
      <xdr:nvSpPr>
        <xdr:cNvPr id="33827" name="Rectangle 35">
          <a:extLst>
            <a:ext uri="{FF2B5EF4-FFF2-40B4-BE49-F238E27FC236}">
              <a16:creationId xmlns:a16="http://schemas.microsoft.com/office/drawing/2014/main" id="{033E9830-C09C-4C13-8199-7DDB2F4357A3}"/>
            </a:ext>
          </a:extLst>
        </xdr:cNvPr>
        <xdr:cNvSpPr>
          <a:spLocks noChangeArrowheads="1"/>
        </xdr:cNvSpPr>
      </xdr:nvSpPr>
      <xdr:spPr bwMode="auto">
        <a:xfrm>
          <a:off x="6781800" y="198120"/>
          <a:ext cx="1249680" cy="50292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ffectLst>
          <a:outerShdw dist="107763"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8</xdr:row>
      <xdr:rowOff>22860</xdr:rowOff>
    </xdr:from>
    <xdr:to>
      <xdr:col>8</xdr:col>
      <xdr:colOff>807720</xdr:colOff>
      <xdr:row>28</xdr:row>
      <xdr:rowOff>0</xdr:rowOff>
    </xdr:to>
    <xdr:graphicFrame macro="">
      <xdr:nvGraphicFramePr>
        <xdr:cNvPr id="33829" name="Chart 37">
          <a:extLst>
            <a:ext uri="{FF2B5EF4-FFF2-40B4-BE49-F238E27FC236}">
              <a16:creationId xmlns:a16="http://schemas.microsoft.com/office/drawing/2014/main" id="{FCC47552-3615-4BA1-BBD9-981A42C839B2}"/>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6</xdr:col>
      <xdr:colOff>160020</xdr:colOff>
      <xdr:row>13</xdr:row>
      <xdr:rowOff>22860</xdr:rowOff>
    </xdr:from>
    <xdr:to>
      <xdr:col>6</xdr:col>
      <xdr:colOff>160020</xdr:colOff>
      <xdr:row>15</xdr:row>
      <xdr:rowOff>60960</xdr:rowOff>
    </xdr:to>
    <xdr:sp macro="" textlink="">
      <xdr:nvSpPr>
        <xdr:cNvPr id="33830" name="Line 38">
          <a:extLst>
            <a:ext uri="{FF2B5EF4-FFF2-40B4-BE49-F238E27FC236}">
              <a16:creationId xmlns:a16="http://schemas.microsoft.com/office/drawing/2014/main" id="{A70CD4B1-0B61-4EB0-B458-74675ACFFAC6}"/>
            </a:ext>
          </a:extLst>
        </xdr:cNvPr>
        <xdr:cNvSpPr>
          <a:spLocks noChangeShapeType="1"/>
        </xdr:cNvSpPr>
      </xdr:nvSpPr>
      <xdr:spPr bwMode="auto">
        <a:xfrm flipV="1">
          <a:off x="4236720" y="2232660"/>
          <a:ext cx="0" cy="3733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274320</xdr:colOff>
      <xdr:row>27</xdr:row>
      <xdr:rowOff>22860</xdr:rowOff>
    </xdr:from>
    <xdr:to>
      <xdr:col>8</xdr:col>
      <xdr:colOff>647700</xdr:colOff>
      <xdr:row>27</xdr:row>
      <xdr:rowOff>22860</xdr:rowOff>
    </xdr:to>
    <xdr:sp macro="" textlink="">
      <xdr:nvSpPr>
        <xdr:cNvPr id="33831" name="Line 39">
          <a:extLst>
            <a:ext uri="{FF2B5EF4-FFF2-40B4-BE49-F238E27FC236}">
              <a16:creationId xmlns:a16="http://schemas.microsoft.com/office/drawing/2014/main" id="{A286D167-9A13-4B77-9B16-4C3703D5281C}"/>
            </a:ext>
          </a:extLst>
        </xdr:cNvPr>
        <xdr:cNvSpPr>
          <a:spLocks noChangeShapeType="1"/>
        </xdr:cNvSpPr>
      </xdr:nvSpPr>
      <xdr:spPr bwMode="auto">
        <a:xfrm>
          <a:off x="5600700" y="4579620"/>
          <a:ext cx="373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38100</xdr:colOff>
      <xdr:row>65</xdr:row>
      <xdr:rowOff>76200</xdr:rowOff>
    </xdr:from>
    <xdr:to>
      <xdr:col>33</xdr:col>
      <xdr:colOff>350520</xdr:colOff>
      <xdr:row>65</xdr:row>
      <xdr:rowOff>76200</xdr:rowOff>
    </xdr:to>
    <xdr:sp macro="" textlink="">
      <xdr:nvSpPr>
        <xdr:cNvPr id="33850" name="Line 58">
          <a:extLst>
            <a:ext uri="{FF2B5EF4-FFF2-40B4-BE49-F238E27FC236}">
              <a16:creationId xmlns:a16="http://schemas.microsoft.com/office/drawing/2014/main" id="{976E14FC-5A67-48FC-AF34-9C3AD859E2F3}"/>
            </a:ext>
          </a:extLst>
        </xdr:cNvPr>
        <xdr:cNvSpPr>
          <a:spLocks noChangeShapeType="1"/>
        </xdr:cNvSpPr>
      </xdr:nvSpPr>
      <xdr:spPr bwMode="auto">
        <a:xfrm flipH="1">
          <a:off x="10568940" y="10995660"/>
          <a:ext cx="3124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38100</xdr:colOff>
      <xdr:row>89</xdr:row>
      <xdr:rowOff>68580</xdr:rowOff>
    </xdr:from>
    <xdr:to>
      <xdr:col>33</xdr:col>
      <xdr:colOff>350520</xdr:colOff>
      <xdr:row>89</xdr:row>
      <xdr:rowOff>68580</xdr:rowOff>
    </xdr:to>
    <xdr:sp macro="" textlink="">
      <xdr:nvSpPr>
        <xdr:cNvPr id="33851" name="Line 59">
          <a:extLst>
            <a:ext uri="{FF2B5EF4-FFF2-40B4-BE49-F238E27FC236}">
              <a16:creationId xmlns:a16="http://schemas.microsoft.com/office/drawing/2014/main" id="{9FC89A10-DEFD-40C3-9BF0-7DA01038E0A8}"/>
            </a:ext>
          </a:extLst>
        </xdr:cNvPr>
        <xdr:cNvSpPr>
          <a:spLocks noChangeShapeType="1"/>
        </xdr:cNvSpPr>
      </xdr:nvSpPr>
      <xdr:spPr bwMode="auto">
        <a:xfrm flipH="1">
          <a:off x="10568940" y="15011400"/>
          <a:ext cx="3124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350520</xdr:colOff>
      <xdr:row>65</xdr:row>
      <xdr:rowOff>76200</xdr:rowOff>
    </xdr:from>
    <xdr:to>
      <xdr:col>33</xdr:col>
      <xdr:colOff>350520</xdr:colOff>
      <xdr:row>89</xdr:row>
      <xdr:rowOff>68580</xdr:rowOff>
    </xdr:to>
    <xdr:sp macro="" textlink="">
      <xdr:nvSpPr>
        <xdr:cNvPr id="33852" name="Line 60">
          <a:extLst>
            <a:ext uri="{FF2B5EF4-FFF2-40B4-BE49-F238E27FC236}">
              <a16:creationId xmlns:a16="http://schemas.microsoft.com/office/drawing/2014/main" id="{9CE05210-A8F1-46FC-8A2F-01AD1D4C9175}"/>
            </a:ext>
          </a:extLst>
        </xdr:cNvPr>
        <xdr:cNvSpPr>
          <a:spLocks noChangeShapeType="1"/>
        </xdr:cNvSpPr>
      </xdr:nvSpPr>
      <xdr:spPr bwMode="auto">
        <a:xfrm>
          <a:off x="10881360" y="10995660"/>
          <a:ext cx="0" cy="40157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350520</xdr:colOff>
      <xdr:row>77</xdr:row>
      <xdr:rowOff>0</xdr:rowOff>
    </xdr:from>
    <xdr:to>
      <xdr:col>33</xdr:col>
      <xdr:colOff>594360</xdr:colOff>
      <xdr:row>77</xdr:row>
      <xdr:rowOff>0</xdr:rowOff>
    </xdr:to>
    <xdr:sp macro="" textlink="">
      <xdr:nvSpPr>
        <xdr:cNvPr id="33853" name="Line 61">
          <a:extLst>
            <a:ext uri="{FF2B5EF4-FFF2-40B4-BE49-F238E27FC236}">
              <a16:creationId xmlns:a16="http://schemas.microsoft.com/office/drawing/2014/main" id="{EB538825-F197-4A2B-81C7-795BB42FB5C7}"/>
            </a:ext>
          </a:extLst>
        </xdr:cNvPr>
        <xdr:cNvSpPr>
          <a:spLocks noChangeShapeType="1"/>
        </xdr:cNvSpPr>
      </xdr:nvSpPr>
      <xdr:spPr bwMode="auto">
        <a:xfrm>
          <a:off x="10881360" y="1293114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68580</xdr:colOff>
      <xdr:row>7</xdr:row>
      <xdr:rowOff>38100</xdr:rowOff>
    </xdr:from>
    <xdr:to>
      <xdr:col>27</xdr:col>
      <xdr:colOff>167640</xdr:colOff>
      <xdr:row>7</xdr:row>
      <xdr:rowOff>137160</xdr:rowOff>
    </xdr:to>
    <xdr:sp macro="" textlink="">
      <xdr:nvSpPr>
        <xdr:cNvPr id="33922" name="Oval 130">
          <a:extLst>
            <a:ext uri="{FF2B5EF4-FFF2-40B4-BE49-F238E27FC236}">
              <a16:creationId xmlns:a16="http://schemas.microsoft.com/office/drawing/2014/main" id="{F4EC295F-9D82-4B60-886E-CBF9F67D1DCD}"/>
            </a:ext>
          </a:extLst>
        </xdr:cNvPr>
        <xdr:cNvSpPr>
          <a:spLocks noChangeArrowheads="1"/>
        </xdr:cNvSpPr>
      </xdr:nvSpPr>
      <xdr:spPr bwMode="auto">
        <a:xfrm>
          <a:off x="6850380" y="1242060"/>
          <a:ext cx="99060" cy="990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round/>
          <a:headEnd/>
          <a:tailEnd/>
        </a:ln>
      </xdr:spPr>
    </xdr:sp>
    <xdr:clientData/>
  </xdr:twoCellAnchor>
  <xdr:twoCellAnchor>
    <xdr:from>
      <xdr:col>26</xdr:col>
      <xdr:colOff>441960</xdr:colOff>
      <xdr:row>6</xdr:row>
      <xdr:rowOff>91440</xdr:rowOff>
    </xdr:from>
    <xdr:to>
      <xdr:col>28</xdr:col>
      <xdr:colOff>381000</xdr:colOff>
      <xdr:row>13</xdr:row>
      <xdr:rowOff>60960</xdr:rowOff>
    </xdr:to>
    <xdr:sp macro="" textlink="">
      <xdr:nvSpPr>
        <xdr:cNvPr id="33923" name="Rectangle 131">
          <a:extLst>
            <a:ext uri="{FF2B5EF4-FFF2-40B4-BE49-F238E27FC236}">
              <a16:creationId xmlns:a16="http://schemas.microsoft.com/office/drawing/2014/main" id="{C5ACA290-3F22-43E0-998B-A04B9EB7A587}"/>
            </a:ext>
          </a:extLst>
        </xdr:cNvPr>
        <xdr:cNvSpPr>
          <a:spLocks noChangeArrowheads="1"/>
        </xdr:cNvSpPr>
      </xdr:nvSpPr>
      <xdr:spPr bwMode="auto">
        <a:xfrm>
          <a:off x="6598920" y="1127760"/>
          <a:ext cx="118872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26</xdr:col>
      <xdr:colOff>441960</xdr:colOff>
      <xdr:row>5</xdr:row>
      <xdr:rowOff>91440</xdr:rowOff>
    </xdr:from>
    <xdr:to>
      <xdr:col>26</xdr:col>
      <xdr:colOff>441960</xdr:colOff>
      <xdr:row>6</xdr:row>
      <xdr:rowOff>76200</xdr:rowOff>
    </xdr:to>
    <xdr:sp macro="" textlink="">
      <xdr:nvSpPr>
        <xdr:cNvPr id="33924" name="Line 132">
          <a:extLst>
            <a:ext uri="{FF2B5EF4-FFF2-40B4-BE49-F238E27FC236}">
              <a16:creationId xmlns:a16="http://schemas.microsoft.com/office/drawing/2014/main" id="{16A0BBDB-7E0F-4B06-998F-DFF392660009}"/>
            </a:ext>
          </a:extLst>
        </xdr:cNvPr>
        <xdr:cNvSpPr>
          <a:spLocks noChangeShapeType="1"/>
        </xdr:cNvSpPr>
      </xdr:nvSpPr>
      <xdr:spPr bwMode="auto">
        <a:xfrm flipV="1">
          <a:off x="6598920" y="96012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26</xdr:col>
      <xdr:colOff>320040</xdr:colOff>
      <xdr:row>13</xdr:row>
      <xdr:rowOff>60960</xdr:rowOff>
    </xdr:from>
    <xdr:to>
      <xdr:col>26</xdr:col>
      <xdr:colOff>441960</xdr:colOff>
      <xdr:row>14</xdr:row>
      <xdr:rowOff>7620</xdr:rowOff>
    </xdr:to>
    <xdr:sp macro="" textlink="">
      <xdr:nvSpPr>
        <xdr:cNvPr id="33925" name="Line 133">
          <a:extLst>
            <a:ext uri="{FF2B5EF4-FFF2-40B4-BE49-F238E27FC236}">
              <a16:creationId xmlns:a16="http://schemas.microsoft.com/office/drawing/2014/main" id="{C61D8DC5-8E1F-4865-9C5E-78F2F8CC8F27}"/>
            </a:ext>
          </a:extLst>
        </xdr:cNvPr>
        <xdr:cNvSpPr>
          <a:spLocks noChangeShapeType="1"/>
        </xdr:cNvSpPr>
      </xdr:nvSpPr>
      <xdr:spPr bwMode="auto">
        <a:xfrm flipH="1">
          <a:off x="6477000" y="2270760"/>
          <a:ext cx="12192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28</xdr:col>
      <xdr:colOff>388620</xdr:colOff>
      <xdr:row>13</xdr:row>
      <xdr:rowOff>60960</xdr:rowOff>
    </xdr:from>
    <xdr:to>
      <xdr:col>28</xdr:col>
      <xdr:colOff>548640</xdr:colOff>
      <xdr:row>13</xdr:row>
      <xdr:rowOff>60960</xdr:rowOff>
    </xdr:to>
    <xdr:sp macro="" textlink="">
      <xdr:nvSpPr>
        <xdr:cNvPr id="33926" name="Line 134">
          <a:extLst>
            <a:ext uri="{FF2B5EF4-FFF2-40B4-BE49-F238E27FC236}">
              <a16:creationId xmlns:a16="http://schemas.microsoft.com/office/drawing/2014/main" id="{DFF7C8A4-0C52-4D55-B055-C9FC3B30D3D7}"/>
            </a:ext>
          </a:extLst>
        </xdr:cNvPr>
        <xdr:cNvSpPr>
          <a:spLocks noChangeShapeType="1"/>
        </xdr:cNvSpPr>
      </xdr:nvSpPr>
      <xdr:spPr bwMode="auto">
        <a:xfrm flipV="1">
          <a:off x="7795260" y="2270760"/>
          <a:ext cx="1600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26</xdr:col>
      <xdr:colOff>441960</xdr:colOff>
      <xdr:row>19</xdr:row>
      <xdr:rowOff>144780</xdr:rowOff>
    </xdr:from>
    <xdr:to>
      <xdr:col>28</xdr:col>
      <xdr:colOff>381000</xdr:colOff>
      <xdr:row>21</xdr:row>
      <xdr:rowOff>45720</xdr:rowOff>
    </xdr:to>
    <xdr:sp macro="" textlink="">
      <xdr:nvSpPr>
        <xdr:cNvPr id="33927" name="Rectangle 135">
          <a:extLst>
            <a:ext uri="{FF2B5EF4-FFF2-40B4-BE49-F238E27FC236}">
              <a16:creationId xmlns:a16="http://schemas.microsoft.com/office/drawing/2014/main" id="{BE23E9BF-3206-457A-AC26-3876EE95D27F}"/>
            </a:ext>
          </a:extLst>
        </xdr:cNvPr>
        <xdr:cNvSpPr>
          <a:spLocks noChangeArrowheads="1"/>
        </xdr:cNvSpPr>
      </xdr:nvSpPr>
      <xdr:spPr bwMode="auto">
        <a:xfrm>
          <a:off x="6598920" y="3360420"/>
          <a:ext cx="1188720" cy="2362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27</xdr:col>
      <xdr:colOff>251460</xdr:colOff>
      <xdr:row>18</xdr:row>
      <xdr:rowOff>160020</xdr:rowOff>
    </xdr:from>
    <xdr:to>
      <xdr:col>27</xdr:col>
      <xdr:colOff>563880</xdr:colOff>
      <xdr:row>19</xdr:row>
      <xdr:rowOff>144780</xdr:rowOff>
    </xdr:to>
    <xdr:sp macro="" textlink="">
      <xdr:nvSpPr>
        <xdr:cNvPr id="33928" name="Rectangle 136">
          <a:extLst>
            <a:ext uri="{FF2B5EF4-FFF2-40B4-BE49-F238E27FC236}">
              <a16:creationId xmlns:a16="http://schemas.microsoft.com/office/drawing/2014/main" id="{68924F14-3E3C-4D39-947B-0446776F305E}"/>
            </a:ext>
          </a:extLst>
        </xdr:cNvPr>
        <xdr:cNvSpPr>
          <a:spLocks noChangeArrowheads="1"/>
        </xdr:cNvSpPr>
      </xdr:nvSpPr>
      <xdr:spPr bwMode="auto">
        <a:xfrm>
          <a:off x="7033260" y="3208020"/>
          <a:ext cx="31242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26</xdr:col>
      <xdr:colOff>556260</xdr:colOff>
      <xdr:row>21</xdr:row>
      <xdr:rowOff>45720</xdr:rowOff>
    </xdr:from>
    <xdr:to>
      <xdr:col>26</xdr:col>
      <xdr:colOff>556260</xdr:colOff>
      <xdr:row>23</xdr:row>
      <xdr:rowOff>76200</xdr:rowOff>
    </xdr:to>
    <xdr:sp macro="" textlink="">
      <xdr:nvSpPr>
        <xdr:cNvPr id="33929" name="Line 137">
          <a:extLst>
            <a:ext uri="{FF2B5EF4-FFF2-40B4-BE49-F238E27FC236}">
              <a16:creationId xmlns:a16="http://schemas.microsoft.com/office/drawing/2014/main" id="{1CBEB7C9-89C9-4B91-897C-4634AAD106D1}"/>
            </a:ext>
          </a:extLst>
        </xdr:cNvPr>
        <xdr:cNvSpPr>
          <a:spLocks noChangeShapeType="1"/>
        </xdr:cNvSpPr>
      </xdr:nvSpPr>
      <xdr:spPr bwMode="auto">
        <a:xfrm>
          <a:off x="671322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76200</xdr:colOff>
      <xdr:row>21</xdr:row>
      <xdr:rowOff>45720</xdr:rowOff>
    </xdr:from>
    <xdr:to>
      <xdr:col>27</xdr:col>
      <xdr:colOff>76200</xdr:colOff>
      <xdr:row>23</xdr:row>
      <xdr:rowOff>76200</xdr:rowOff>
    </xdr:to>
    <xdr:sp macro="" textlink="">
      <xdr:nvSpPr>
        <xdr:cNvPr id="33930" name="Line 138">
          <a:extLst>
            <a:ext uri="{FF2B5EF4-FFF2-40B4-BE49-F238E27FC236}">
              <a16:creationId xmlns:a16="http://schemas.microsoft.com/office/drawing/2014/main" id="{34623E3F-C44D-4E20-9CA4-506E9EAC290B}"/>
            </a:ext>
          </a:extLst>
        </xdr:cNvPr>
        <xdr:cNvSpPr>
          <a:spLocks noChangeShapeType="1"/>
        </xdr:cNvSpPr>
      </xdr:nvSpPr>
      <xdr:spPr bwMode="auto">
        <a:xfrm>
          <a:off x="685800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480060</xdr:colOff>
      <xdr:row>23</xdr:row>
      <xdr:rowOff>76200</xdr:rowOff>
    </xdr:from>
    <xdr:to>
      <xdr:col>26</xdr:col>
      <xdr:colOff>586740</xdr:colOff>
      <xdr:row>23</xdr:row>
      <xdr:rowOff>76200</xdr:rowOff>
    </xdr:to>
    <xdr:sp macro="" textlink="">
      <xdr:nvSpPr>
        <xdr:cNvPr id="33931" name="Line 139">
          <a:extLst>
            <a:ext uri="{FF2B5EF4-FFF2-40B4-BE49-F238E27FC236}">
              <a16:creationId xmlns:a16="http://schemas.microsoft.com/office/drawing/2014/main" id="{41782680-4326-4FEF-BD31-CD5363EF6EAC}"/>
            </a:ext>
          </a:extLst>
        </xdr:cNvPr>
        <xdr:cNvSpPr>
          <a:spLocks noChangeShapeType="1"/>
        </xdr:cNvSpPr>
      </xdr:nvSpPr>
      <xdr:spPr bwMode="auto">
        <a:xfrm>
          <a:off x="663702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38100</xdr:colOff>
      <xdr:row>23</xdr:row>
      <xdr:rowOff>76200</xdr:rowOff>
    </xdr:from>
    <xdr:to>
      <xdr:col>27</xdr:col>
      <xdr:colOff>144780</xdr:colOff>
      <xdr:row>23</xdr:row>
      <xdr:rowOff>76200</xdr:rowOff>
    </xdr:to>
    <xdr:sp macro="" textlink="">
      <xdr:nvSpPr>
        <xdr:cNvPr id="33932" name="Line 140">
          <a:extLst>
            <a:ext uri="{FF2B5EF4-FFF2-40B4-BE49-F238E27FC236}">
              <a16:creationId xmlns:a16="http://schemas.microsoft.com/office/drawing/2014/main" id="{1B051A3D-A667-4330-9267-636FB75B587E}"/>
            </a:ext>
          </a:extLst>
        </xdr:cNvPr>
        <xdr:cNvSpPr>
          <a:spLocks noChangeShapeType="1"/>
        </xdr:cNvSpPr>
      </xdr:nvSpPr>
      <xdr:spPr bwMode="auto">
        <a:xfrm>
          <a:off x="681990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586740</xdr:colOff>
      <xdr:row>23</xdr:row>
      <xdr:rowOff>76200</xdr:rowOff>
    </xdr:from>
    <xdr:to>
      <xdr:col>26</xdr:col>
      <xdr:colOff>609600</xdr:colOff>
      <xdr:row>23</xdr:row>
      <xdr:rowOff>99060</xdr:rowOff>
    </xdr:to>
    <xdr:sp macro="" textlink="">
      <xdr:nvSpPr>
        <xdr:cNvPr id="33933" name="Line 141">
          <a:extLst>
            <a:ext uri="{FF2B5EF4-FFF2-40B4-BE49-F238E27FC236}">
              <a16:creationId xmlns:a16="http://schemas.microsoft.com/office/drawing/2014/main" id="{4EE49C5C-72D2-452B-AD7D-273CA2E79987}"/>
            </a:ext>
          </a:extLst>
        </xdr:cNvPr>
        <xdr:cNvSpPr>
          <a:spLocks noChangeShapeType="1"/>
        </xdr:cNvSpPr>
      </xdr:nvSpPr>
      <xdr:spPr bwMode="auto">
        <a:xfrm>
          <a:off x="674370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22860</xdr:colOff>
      <xdr:row>23</xdr:row>
      <xdr:rowOff>60960</xdr:rowOff>
    </xdr:from>
    <xdr:to>
      <xdr:col>27</xdr:col>
      <xdr:colOff>45720</xdr:colOff>
      <xdr:row>23</xdr:row>
      <xdr:rowOff>83820</xdr:rowOff>
    </xdr:to>
    <xdr:sp macro="" textlink="">
      <xdr:nvSpPr>
        <xdr:cNvPr id="33934" name="Line 142">
          <a:extLst>
            <a:ext uri="{FF2B5EF4-FFF2-40B4-BE49-F238E27FC236}">
              <a16:creationId xmlns:a16="http://schemas.microsoft.com/office/drawing/2014/main" id="{F7E5206C-9FCC-47BB-B9B3-37136F1744AF}"/>
            </a:ext>
          </a:extLst>
        </xdr:cNvPr>
        <xdr:cNvSpPr>
          <a:spLocks noChangeShapeType="1"/>
        </xdr:cNvSpPr>
      </xdr:nvSpPr>
      <xdr:spPr bwMode="auto">
        <a:xfrm flipH="1" flipV="1">
          <a:off x="680466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601980</xdr:colOff>
      <xdr:row>23</xdr:row>
      <xdr:rowOff>60960</xdr:rowOff>
    </xdr:from>
    <xdr:to>
      <xdr:col>27</xdr:col>
      <xdr:colOff>22860</xdr:colOff>
      <xdr:row>23</xdr:row>
      <xdr:rowOff>99060</xdr:rowOff>
    </xdr:to>
    <xdr:sp macro="" textlink="">
      <xdr:nvSpPr>
        <xdr:cNvPr id="33935" name="Line 143">
          <a:extLst>
            <a:ext uri="{FF2B5EF4-FFF2-40B4-BE49-F238E27FC236}">
              <a16:creationId xmlns:a16="http://schemas.microsoft.com/office/drawing/2014/main" id="{2FF434D0-6FCB-4CE6-9EC0-391B593AB3EC}"/>
            </a:ext>
          </a:extLst>
        </xdr:cNvPr>
        <xdr:cNvSpPr>
          <a:spLocks noChangeShapeType="1"/>
        </xdr:cNvSpPr>
      </xdr:nvSpPr>
      <xdr:spPr bwMode="auto">
        <a:xfrm flipV="1">
          <a:off x="6758940" y="3947160"/>
          <a:ext cx="4572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114300</xdr:colOff>
      <xdr:row>21</xdr:row>
      <xdr:rowOff>45720</xdr:rowOff>
    </xdr:from>
    <xdr:to>
      <xdr:col>28</xdr:col>
      <xdr:colOff>114300</xdr:colOff>
      <xdr:row>23</xdr:row>
      <xdr:rowOff>76200</xdr:rowOff>
    </xdr:to>
    <xdr:sp macro="" textlink="">
      <xdr:nvSpPr>
        <xdr:cNvPr id="33936" name="Line 144">
          <a:extLst>
            <a:ext uri="{FF2B5EF4-FFF2-40B4-BE49-F238E27FC236}">
              <a16:creationId xmlns:a16="http://schemas.microsoft.com/office/drawing/2014/main" id="{6F19412B-7A1D-4C46-9690-B0B5D336B03E}"/>
            </a:ext>
          </a:extLst>
        </xdr:cNvPr>
        <xdr:cNvSpPr>
          <a:spLocks noChangeShapeType="1"/>
        </xdr:cNvSpPr>
      </xdr:nvSpPr>
      <xdr:spPr bwMode="auto">
        <a:xfrm>
          <a:off x="752094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21</xdr:row>
      <xdr:rowOff>45720</xdr:rowOff>
    </xdr:from>
    <xdr:to>
      <xdr:col>28</xdr:col>
      <xdr:colOff>266700</xdr:colOff>
      <xdr:row>23</xdr:row>
      <xdr:rowOff>76200</xdr:rowOff>
    </xdr:to>
    <xdr:sp macro="" textlink="">
      <xdr:nvSpPr>
        <xdr:cNvPr id="33937" name="Line 145">
          <a:extLst>
            <a:ext uri="{FF2B5EF4-FFF2-40B4-BE49-F238E27FC236}">
              <a16:creationId xmlns:a16="http://schemas.microsoft.com/office/drawing/2014/main" id="{641FB898-D8E6-4F69-9E9D-627876300D00}"/>
            </a:ext>
          </a:extLst>
        </xdr:cNvPr>
        <xdr:cNvSpPr>
          <a:spLocks noChangeShapeType="1"/>
        </xdr:cNvSpPr>
      </xdr:nvSpPr>
      <xdr:spPr bwMode="auto">
        <a:xfrm>
          <a:off x="767334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23</xdr:row>
      <xdr:rowOff>76200</xdr:rowOff>
    </xdr:from>
    <xdr:to>
      <xdr:col>28</xdr:col>
      <xdr:colOff>144780</xdr:colOff>
      <xdr:row>23</xdr:row>
      <xdr:rowOff>76200</xdr:rowOff>
    </xdr:to>
    <xdr:sp macro="" textlink="">
      <xdr:nvSpPr>
        <xdr:cNvPr id="33938" name="Line 146">
          <a:extLst>
            <a:ext uri="{FF2B5EF4-FFF2-40B4-BE49-F238E27FC236}">
              <a16:creationId xmlns:a16="http://schemas.microsoft.com/office/drawing/2014/main" id="{B9DCE838-86F5-4B57-9173-126D5766E869}"/>
            </a:ext>
          </a:extLst>
        </xdr:cNvPr>
        <xdr:cNvSpPr>
          <a:spLocks noChangeShapeType="1"/>
        </xdr:cNvSpPr>
      </xdr:nvSpPr>
      <xdr:spPr bwMode="auto">
        <a:xfrm>
          <a:off x="744474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220980</xdr:colOff>
      <xdr:row>23</xdr:row>
      <xdr:rowOff>76200</xdr:rowOff>
    </xdr:from>
    <xdr:to>
      <xdr:col>28</xdr:col>
      <xdr:colOff>327660</xdr:colOff>
      <xdr:row>23</xdr:row>
      <xdr:rowOff>76200</xdr:rowOff>
    </xdr:to>
    <xdr:sp macro="" textlink="">
      <xdr:nvSpPr>
        <xdr:cNvPr id="33939" name="Line 147">
          <a:extLst>
            <a:ext uri="{FF2B5EF4-FFF2-40B4-BE49-F238E27FC236}">
              <a16:creationId xmlns:a16="http://schemas.microsoft.com/office/drawing/2014/main" id="{97A84D33-DE01-4686-9401-8B882BD6C8B9}"/>
            </a:ext>
          </a:extLst>
        </xdr:cNvPr>
        <xdr:cNvSpPr>
          <a:spLocks noChangeShapeType="1"/>
        </xdr:cNvSpPr>
      </xdr:nvSpPr>
      <xdr:spPr bwMode="auto">
        <a:xfrm>
          <a:off x="762762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144780</xdr:colOff>
      <xdr:row>23</xdr:row>
      <xdr:rowOff>76200</xdr:rowOff>
    </xdr:from>
    <xdr:to>
      <xdr:col>28</xdr:col>
      <xdr:colOff>167640</xdr:colOff>
      <xdr:row>23</xdr:row>
      <xdr:rowOff>99060</xdr:rowOff>
    </xdr:to>
    <xdr:sp macro="" textlink="">
      <xdr:nvSpPr>
        <xdr:cNvPr id="33940" name="Line 148">
          <a:extLst>
            <a:ext uri="{FF2B5EF4-FFF2-40B4-BE49-F238E27FC236}">
              <a16:creationId xmlns:a16="http://schemas.microsoft.com/office/drawing/2014/main" id="{00D8635A-3244-4EC9-AAA5-39110F43172C}"/>
            </a:ext>
          </a:extLst>
        </xdr:cNvPr>
        <xdr:cNvSpPr>
          <a:spLocks noChangeShapeType="1"/>
        </xdr:cNvSpPr>
      </xdr:nvSpPr>
      <xdr:spPr bwMode="auto">
        <a:xfrm>
          <a:off x="755142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205740</xdr:colOff>
      <xdr:row>23</xdr:row>
      <xdr:rowOff>60960</xdr:rowOff>
    </xdr:from>
    <xdr:to>
      <xdr:col>28</xdr:col>
      <xdr:colOff>228600</xdr:colOff>
      <xdr:row>23</xdr:row>
      <xdr:rowOff>83820</xdr:rowOff>
    </xdr:to>
    <xdr:sp macro="" textlink="">
      <xdr:nvSpPr>
        <xdr:cNvPr id="33941" name="Line 149">
          <a:extLst>
            <a:ext uri="{FF2B5EF4-FFF2-40B4-BE49-F238E27FC236}">
              <a16:creationId xmlns:a16="http://schemas.microsoft.com/office/drawing/2014/main" id="{0AD1B359-C17F-46E5-A2DF-A1A9878BF1A1}"/>
            </a:ext>
          </a:extLst>
        </xdr:cNvPr>
        <xdr:cNvSpPr>
          <a:spLocks noChangeShapeType="1"/>
        </xdr:cNvSpPr>
      </xdr:nvSpPr>
      <xdr:spPr bwMode="auto">
        <a:xfrm flipH="1" flipV="1">
          <a:off x="761238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167640</xdr:colOff>
      <xdr:row>23</xdr:row>
      <xdr:rowOff>60960</xdr:rowOff>
    </xdr:from>
    <xdr:to>
      <xdr:col>28</xdr:col>
      <xdr:colOff>205740</xdr:colOff>
      <xdr:row>23</xdr:row>
      <xdr:rowOff>99060</xdr:rowOff>
    </xdr:to>
    <xdr:sp macro="" textlink="">
      <xdr:nvSpPr>
        <xdr:cNvPr id="33942" name="Line 150">
          <a:extLst>
            <a:ext uri="{FF2B5EF4-FFF2-40B4-BE49-F238E27FC236}">
              <a16:creationId xmlns:a16="http://schemas.microsoft.com/office/drawing/2014/main" id="{AE618DBB-289C-4B6D-AF07-4153A1B05A4D}"/>
            </a:ext>
          </a:extLst>
        </xdr:cNvPr>
        <xdr:cNvSpPr>
          <a:spLocks noChangeShapeType="1"/>
        </xdr:cNvSpPr>
      </xdr:nvSpPr>
      <xdr:spPr bwMode="auto">
        <a:xfrm flipV="1">
          <a:off x="7574280" y="3947160"/>
          <a:ext cx="3810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556260</xdr:colOff>
      <xdr:row>20</xdr:row>
      <xdr:rowOff>160020</xdr:rowOff>
    </xdr:from>
    <xdr:to>
      <xdr:col>26</xdr:col>
      <xdr:colOff>556260</xdr:colOff>
      <xdr:row>21</xdr:row>
      <xdr:rowOff>45720</xdr:rowOff>
    </xdr:to>
    <xdr:sp macro="" textlink="">
      <xdr:nvSpPr>
        <xdr:cNvPr id="33943" name="Line 151">
          <a:extLst>
            <a:ext uri="{FF2B5EF4-FFF2-40B4-BE49-F238E27FC236}">
              <a16:creationId xmlns:a16="http://schemas.microsoft.com/office/drawing/2014/main" id="{FA14C6DF-B7D6-477D-BB26-31742D2B5044}"/>
            </a:ext>
          </a:extLst>
        </xdr:cNvPr>
        <xdr:cNvSpPr>
          <a:spLocks noChangeShapeType="1"/>
        </xdr:cNvSpPr>
      </xdr:nvSpPr>
      <xdr:spPr bwMode="auto">
        <a:xfrm flipV="1">
          <a:off x="671322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76200</xdr:colOff>
      <xdr:row>20</xdr:row>
      <xdr:rowOff>160020</xdr:rowOff>
    </xdr:from>
    <xdr:to>
      <xdr:col>27</xdr:col>
      <xdr:colOff>76200</xdr:colOff>
      <xdr:row>21</xdr:row>
      <xdr:rowOff>45720</xdr:rowOff>
    </xdr:to>
    <xdr:sp macro="" textlink="">
      <xdr:nvSpPr>
        <xdr:cNvPr id="33944" name="Line 152">
          <a:extLst>
            <a:ext uri="{FF2B5EF4-FFF2-40B4-BE49-F238E27FC236}">
              <a16:creationId xmlns:a16="http://schemas.microsoft.com/office/drawing/2014/main" id="{67FE31A2-AD02-4AE0-AF5D-A089A30354B3}"/>
            </a:ext>
          </a:extLst>
        </xdr:cNvPr>
        <xdr:cNvSpPr>
          <a:spLocks noChangeShapeType="1"/>
        </xdr:cNvSpPr>
      </xdr:nvSpPr>
      <xdr:spPr bwMode="auto">
        <a:xfrm flipV="1">
          <a:off x="685800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114300</xdr:colOff>
      <xdr:row>20</xdr:row>
      <xdr:rowOff>160020</xdr:rowOff>
    </xdr:from>
    <xdr:to>
      <xdr:col>28</xdr:col>
      <xdr:colOff>114300</xdr:colOff>
      <xdr:row>21</xdr:row>
      <xdr:rowOff>45720</xdr:rowOff>
    </xdr:to>
    <xdr:sp macro="" textlink="">
      <xdr:nvSpPr>
        <xdr:cNvPr id="33945" name="Line 153">
          <a:extLst>
            <a:ext uri="{FF2B5EF4-FFF2-40B4-BE49-F238E27FC236}">
              <a16:creationId xmlns:a16="http://schemas.microsoft.com/office/drawing/2014/main" id="{14CA0B7A-9D0B-4FD9-BD44-B795F0AE8F4A}"/>
            </a:ext>
          </a:extLst>
        </xdr:cNvPr>
        <xdr:cNvSpPr>
          <a:spLocks noChangeShapeType="1"/>
        </xdr:cNvSpPr>
      </xdr:nvSpPr>
      <xdr:spPr bwMode="auto">
        <a:xfrm flipV="1">
          <a:off x="752094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20</xdr:row>
      <xdr:rowOff>160020</xdr:rowOff>
    </xdr:from>
    <xdr:to>
      <xdr:col>28</xdr:col>
      <xdr:colOff>266700</xdr:colOff>
      <xdr:row>21</xdr:row>
      <xdr:rowOff>45720</xdr:rowOff>
    </xdr:to>
    <xdr:sp macro="" textlink="">
      <xdr:nvSpPr>
        <xdr:cNvPr id="33946" name="Line 154">
          <a:extLst>
            <a:ext uri="{FF2B5EF4-FFF2-40B4-BE49-F238E27FC236}">
              <a16:creationId xmlns:a16="http://schemas.microsoft.com/office/drawing/2014/main" id="{2FFA8E00-DE5C-4738-B3C4-5B8417F1C355}"/>
            </a:ext>
          </a:extLst>
        </xdr:cNvPr>
        <xdr:cNvSpPr>
          <a:spLocks noChangeShapeType="1"/>
        </xdr:cNvSpPr>
      </xdr:nvSpPr>
      <xdr:spPr bwMode="auto">
        <a:xfrm flipV="1">
          <a:off x="767334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556260</xdr:colOff>
      <xdr:row>21</xdr:row>
      <xdr:rowOff>0</xdr:rowOff>
    </xdr:from>
    <xdr:to>
      <xdr:col>27</xdr:col>
      <xdr:colOff>76200</xdr:colOff>
      <xdr:row>21</xdr:row>
      <xdr:rowOff>0</xdr:rowOff>
    </xdr:to>
    <xdr:sp macro="" textlink="">
      <xdr:nvSpPr>
        <xdr:cNvPr id="33947" name="Line 155">
          <a:extLst>
            <a:ext uri="{FF2B5EF4-FFF2-40B4-BE49-F238E27FC236}">
              <a16:creationId xmlns:a16="http://schemas.microsoft.com/office/drawing/2014/main" id="{4FEF41CD-D234-4AD2-8AB5-5998986E7D06}"/>
            </a:ext>
          </a:extLst>
        </xdr:cNvPr>
        <xdr:cNvSpPr>
          <a:spLocks noChangeShapeType="1"/>
        </xdr:cNvSpPr>
      </xdr:nvSpPr>
      <xdr:spPr bwMode="auto">
        <a:xfrm>
          <a:off x="671322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114300</xdr:colOff>
      <xdr:row>21</xdr:row>
      <xdr:rowOff>0</xdr:rowOff>
    </xdr:from>
    <xdr:to>
      <xdr:col>28</xdr:col>
      <xdr:colOff>259080</xdr:colOff>
      <xdr:row>21</xdr:row>
      <xdr:rowOff>0</xdr:rowOff>
    </xdr:to>
    <xdr:sp macro="" textlink="">
      <xdr:nvSpPr>
        <xdr:cNvPr id="33948" name="Line 156">
          <a:extLst>
            <a:ext uri="{FF2B5EF4-FFF2-40B4-BE49-F238E27FC236}">
              <a16:creationId xmlns:a16="http://schemas.microsoft.com/office/drawing/2014/main" id="{F1809621-5315-47F9-BB54-CA9EC0E9995F}"/>
            </a:ext>
          </a:extLst>
        </xdr:cNvPr>
        <xdr:cNvSpPr>
          <a:spLocks noChangeShapeType="1"/>
        </xdr:cNvSpPr>
      </xdr:nvSpPr>
      <xdr:spPr bwMode="auto">
        <a:xfrm>
          <a:off x="752094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617220</xdr:colOff>
      <xdr:row>18</xdr:row>
      <xdr:rowOff>160020</xdr:rowOff>
    </xdr:from>
    <xdr:to>
      <xdr:col>27</xdr:col>
      <xdr:colOff>213360</xdr:colOff>
      <xdr:row>18</xdr:row>
      <xdr:rowOff>160020</xdr:rowOff>
    </xdr:to>
    <xdr:sp macro="" textlink="">
      <xdr:nvSpPr>
        <xdr:cNvPr id="33949" name="Line 157">
          <a:extLst>
            <a:ext uri="{FF2B5EF4-FFF2-40B4-BE49-F238E27FC236}">
              <a16:creationId xmlns:a16="http://schemas.microsoft.com/office/drawing/2014/main" id="{00C2C633-092C-40EA-96D4-7CAF8EBB1B74}"/>
            </a:ext>
          </a:extLst>
        </xdr:cNvPr>
        <xdr:cNvSpPr>
          <a:spLocks noChangeShapeType="1"/>
        </xdr:cNvSpPr>
      </xdr:nvSpPr>
      <xdr:spPr bwMode="auto">
        <a:xfrm>
          <a:off x="6774180" y="3208020"/>
          <a:ext cx="2209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26</xdr:col>
      <xdr:colOff>236220</xdr:colOff>
      <xdr:row>21</xdr:row>
      <xdr:rowOff>0</xdr:rowOff>
    </xdr:from>
    <xdr:to>
      <xdr:col>26</xdr:col>
      <xdr:colOff>518160</xdr:colOff>
      <xdr:row>21</xdr:row>
      <xdr:rowOff>0</xdr:rowOff>
    </xdr:to>
    <xdr:sp macro="" textlink="">
      <xdr:nvSpPr>
        <xdr:cNvPr id="33950" name="Line 158">
          <a:extLst>
            <a:ext uri="{FF2B5EF4-FFF2-40B4-BE49-F238E27FC236}">
              <a16:creationId xmlns:a16="http://schemas.microsoft.com/office/drawing/2014/main" id="{33D7EFC4-2EC3-47EC-B5AF-417ABE0292B9}"/>
            </a:ext>
          </a:extLst>
        </xdr:cNvPr>
        <xdr:cNvSpPr>
          <a:spLocks noChangeShapeType="1"/>
        </xdr:cNvSpPr>
      </xdr:nvSpPr>
      <xdr:spPr bwMode="auto">
        <a:xfrm>
          <a:off x="6393180" y="355092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236220</xdr:colOff>
      <xdr:row>18</xdr:row>
      <xdr:rowOff>160020</xdr:rowOff>
    </xdr:from>
    <xdr:to>
      <xdr:col>26</xdr:col>
      <xdr:colOff>579120</xdr:colOff>
      <xdr:row>18</xdr:row>
      <xdr:rowOff>160020</xdr:rowOff>
    </xdr:to>
    <xdr:sp macro="" textlink="">
      <xdr:nvSpPr>
        <xdr:cNvPr id="33951" name="Line 159">
          <a:extLst>
            <a:ext uri="{FF2B5EF4-FFF2-40B4-BE49-F238E27FC236}">
              <a16:creationId xmlns:a16="http://schemas.microsoft.com/office/drawing/2014/main" id="{EAE982E6-D511-4603-A409-0B831D0D716E}"/>
            </a:ext>
          </a:extLst>
        </xdr:cNvPr>
        <xdr:cNvSpPr>
          <a:spLocks noChangeShapeType="1"/>
        </xdr:cNvSpPr>
      </xdr:nvSpPr>
      <xdr:spPr bwMode="auto">
        <a:xfrm>
          <a:off x="6393180" y="320802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320040</xdr:colOff>
      <xdr:row>18</xdr:row>
      <xdr:rowOff>160020</xdr:rowOff>
    </xdr:from>
    <xdr:to>
      <xdr:col>26</xdr:col>
      <xdr:colOff>320040</xdr:colOff>
      <xdr:row>21</xdr:row>
      <xdr:rowOff>0</xdr:rowOff>
    </xdr:to>
    <xdr:sp macro="" textlink="">
      <xdr:nvSpPr>
        <xdr:cNvPr id="33952" name="Line 160">
          <a:extLst>
            <a:ext uri="{FF2B5EF4-FFF2-40B4-BE49-F238E27FC236}">
              <a16:creationId xmlns:a16="http://schemas.microsoft.com/office/drawing/2014/main" id="{678E383F-64D2-4760-9058-9A9B1798824C}"/>
            </a:ext>
          </a:extLst>
        </xdr:cNvPr>
        <xdr:cNvSpPr>
          <a:spLocks noChangeShapeType="1"/>
        </xdr:cNvSpPr>
      </xdr:nvSpPr>
      <xdr:spPr bwMode="auto">
        <a:xfrm>
          <a:off x="6477000" y="320802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411480</xdr:colOff>
      <xdr:row>16</xdr:row>
      <xdr:rowOff>45720</xdr:rowOff>
    </xdr:from>
    <xdr:to>
      <xdr:col>27</xdr:col>
      <xdr:colOff>411480</xdr:colOff>
      <xdr:row>18</xdr:row>
      <xdr:rowOff>144780</xdr:rowOff>
    </xdr:to>
    <xdr:sp macro="" textlink="">
      <xdr:nvSpPr>
        <xdr:cNvPr id="33953" name="Line 161">
          <a:extLst>
            <a:ext uri="{FF2B5EF4-FFF2-40B4-BE49-F238E27FC236}">
              <a16:creationId xmlns:a16="http://schemas.microsoft.com/office/drawing/2014/main" id="{90EAD48E-149B-4705-8AD3-288BD477B401}"/>
            </a:ext>
          </a:extLst>
        </xdr:cNvPr>
        <xdr:cNvSpPr>
          <a:spLocks noChangeShapeType="1"/>
        </xdr:cNvSpPr>
      </xdr:nvSpPr>
      <xdr:spPr bwMode="auto">
        <a:xfrm>
          <a:off x="7193280" y="2758440"/>
          <a:ext cx="0" cy="434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27</xdr:col>
      <xdr:colOff>76200</xdr:colOff>
      <xdr:row>24</xdr:row>
      <xdr:rowOff>0</xdr:rowOff>
    </xdr:from>
    <xdr:to>
      <xdr:col>28</xdr:col>
      <xdr:colOff>137160</xdr:colOff>
      <xdr:row>25</xdr:row>
      <xdr:rowOff>60960</xdr:rowOff>
    </xdr:to>
    <xdr:sp macro="" textlink="">
      <xdr:nvSpPr>
        <xdr:cNvPr id="33954" name="Text Box 162">
          <a:extLst>
            <a:ext uri="{FF2B5EF4-FFF2-40B4-BE49-F238E27FC236}">
              <a16:creationId xmlns:a16="http://schemas.microsoft.com/office/drawing/2014/main" id="{DEA2A3AA-5F08-47A6-8F45-2BD52427F1E6}"/>
            </a:ext>
          </a:extLst>
        </xdr:cNvPr>
        <xdr:cNvSpPr txBox="1">
          <a:spLocks noChangeArrowheads="1"/>
        </xdr:cNvSpPr>
      </xdr:nvSpPr>
      <xdr:spPr bwMode="auto">
        <a:xfrm>
          <a:off x="6858000" y="4053840"/>
          <a:ext cx="685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Elevation</a:t>
          </a:r>
        </a:p>
      </xdr:txBody>
    </xdr:sp>
    <xdr:clientData/>
  </xdr:twoCellAnchor>
  <xdr:twoCellAnchor>
    <xdr:from>
      <xdr:col>27</xdr:col>
      <xdr:colOff>236220</xdr:colOff>
      <xdr:row>14</xdr:row>
      <xdr:rowOff>0</xdr:rowOff>
    </xdr:from>
    <xdr:to>
      <xdr:col>28</xdr:col>
      <xdr:colOff>7620</xdr:colOff>
      <xdr:row>15</xdr:row>
      <xdr:rowOff>38100</xdr:rowOff>
    </xdr:to>
    <xdr:sp macro="" textlink="">
      <xdr:nvSpPr>
        <xdr:cNvPr id="33955" name="Text Box 163">
          <a:extLst>
            <a:ext uri="{FF2B5EF4-FFF2-40B4-BE49-F238E27FC236}">
              <a16:creationId xmlns:a16="http://schemas.microsoft.com/office/drawing/2014/main" id="{8F51F01A-3E0E-418C-A62A-D3F6386DD6A9}"/>
            </a:ext>
          </a:extLst>
        </xdr:cNvPr>
        <xdr:cNvSpPr txBox="1">
          <a:spLocks noChangeArrowheads="1"/>
        </xdr:cNvSpPr>
      </xdr:nvSpPr>
      <xdr:spPr bwMode="auto">
        <a:xfrm>
          <a:off x="7018020" y="2377440"/>
          <a:ext cx="3962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Plan</a:t>
          </a:r>
        </a:p>
      </xdr:txBody>
    </xdr:sp>
    <xdr:clientData/>
  </xdr:twoCellAnchor>
  <xdr:twoCellAnchor>
    <xdr:from>
      <xdr:col>26</xdr:col>
      <xdr:colOff>556260</xdr:colOff>
      <xdr:row>11</xdr:row>
      <xdr:rowOff>129540</xdr:rowOff>
    </xdr:from>
    <xdr:to>
      <xdr:col>27</xdr:col>
      <xdr:colOff>76200</xdr:colOff>
      <xdr:row>12</xdr:row>
      <xdr:rowOff>106680</xdr:rowOff>
    </xdr:to>
    <xdr:sp macro="" textlink="">
      <xdr:nvSpPr>
        <xdr:cNvPr id="33956" name="Oval 164">
          <a:extLst>
            <a:ext uri="{FF2B5EF4-FFF2-40B4-BE49-F238E27FC236}">
              <a16:creationId xmlns:a16="http://schemas.microsoft.com/office/drawing/2014/main" id="{CBEBA2EF-591E-4315-97F8-4B909EC229EE}"/>
            </a:ext>
          </a:extLst>
        </xdr:cNvPr>
        <xdr:cNvSpPr>
          <a:spLocks noChangeArrowheads="1"/>
        </xdr:cNvSpPr>
      </xdr:nvSpPr>
      <xdr:spPr bwMode="auto">
        <a:xfrm>
          <a:off x="6713220" y="2004060"/>
          <a:ext cx="14478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556260</xdr:colOff>
      <xdr:row>7</xdr:row>
      <xdr:rowOff>38100</xdr:rowOff>
    </xdr:from>
    <xdr:to>
      <xdr:col>27</xdr:col>
      <xdr:colOff>76200</xdr:colOff>
      <xdr:row>8</xdr:row>
      <xdr:rowOff>22860</xdr:rowOff>
    </xdr:to>
    <xdr:sp macro="" textlink="">
      <xdr:nvSpPr>
        <xdr:cNvPr id="33957" name="Oval 165">
          <a:extLst>
            <a:ext uri="{FF2B5EF4-FFF2-40B4-BE49-F238E27FC236}">
              <a16:creationId xmlns:a16="http://schemas.microsoft.com/office/drawing/2014/main" id="{B4ACDBEF-B421-4BE7-A16E-9175F1E0DB58}"/>
            </a:ext>
          </a:extLst>
        </xdr:cNvPr>
        <xdr:cNvSpPr>
          <a:spLocks noChangeArrowheads="1"/>
        </xdr:cNvSpPr>
      </xdr:nvSpPr>
      <xdr:spPr bwMode="auto">
        <a:xfrm>
          <a:off x="6713220" y="1242060"/>
          <a:ext cx="14478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114300</xdr:colOff>
      <xdr:row>11</xdr:row>
      <xdr:rowOff>129540</xdr:rowOff>
    </xdr:from>
    <xdr:to>
      <xdr:col>28</xdr:col>
      <xdr:colOff>266700</xdr:colOff>
      <xdr:row>12</xdr:row>
      <xdr:rowOff>106680</xdr:rowOff>
    </xdr:to>
    <xdr:sp macro="" textlink="">
      <xdr:nvSpPr>
        <xdr:cNvPr id="33958" name="Oval 166">
          <a:extLst>
            <a:ext uri="{FF2B5EF4-FFF2-40B4-BE49-F238E27FC236}">
              <a16:creationId xmlns:a16="http://schemas.microsoft.com/office/drawing/2014/main" id="{D8EB6DF2-CB2A-418B-BAA8-7F2DBB2FCA8E}"/>
            </a:ext>
          </a:extLst>
        </xdr:cNvPr>
        <xdr:cNvSpPr>
          <a:spLocks noChangeArrowheads="1"/>
        </xdr:cNvSpPr>
      </xdr:nvSpPr>
      <xdr:spPr bwMode="auto">
        <a:xfrm>
          <a:off x="7520940" y="2004060"/>
          <a:ext cx="15240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114300</xdr:colOff>
      <xdr:row>7</xdr:row>
      <xdr:rowOff>38100</xdr:rowOff>
    </xdr:from>
    <xdr:to>
      <xdr:col>28</xdr:col>
      <xdr:colOff>266700</xdr:colOff>
      <xdr:row>8</xdr:row>
      <xdr:rowOff>22860</xdr:rowOff>
    </xdr:to>
    <xdr:sp macro="" textlink="">
      <xdr:nvSpPr>
        <xdr:cNvPr id="33959" name="Oval 167">
          <a:extLst>
            <a:ext uri="{FF2B5EF4-FFF2-40B4-BE49-F238E27FC236}">
              <a16:creationId xmlns:a16="http://schemas.microsoft.com/office/drawing/2014/main" id="{33A66350-3802-4D61-AC79-7844FFBD0B3B}"/>
            </a:ext>
          </a:extLst>
        </xdr:cNvPr>
        <xdr:cNvSpPr>
          <a:spLocks noChangeArrowheads="1"/>
        </xdr:cNvSpPr>
      </xdr:nvSpPr>
      <xdr:spPr bwMode="auto">
        <a:xfrm>
          <a:off x="7520940" y="124206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251460</xdr:colOff>
      <xdr:row>9</xdr:row>
      <xdr:rowOff>0</xdr:rowOff>
    </xdr:from>
    <xdr:to>
      <xdr:col>27</xdr:col>
      <xdr:colOff>563880</xdr:colOff>
      <xdr:row>10</xdr:row>
      <xdr:rowOff>144780</xdr:rowOff>
    </xdr:to>
    <xdr:sp macro="" textlink="">
      <xdr:nvSpPr>
        <xdr:cNvPr id="33960" name="Rectangle 168">
          <a:extLst>
            <a:ext uri="{FF2B5EF4-FFF2-40B4-BE49-F238E27FC236}">
              <a16:creationId xmlns:a16="http://schemas.microsoft.com/office/drawing/2014/main" id="{059DB953-0B2C-4AA1-8783-F74483EC3291}"/>
            </a:ext>
          </a:extLst>
        </xdr:cNvPr>
        <xdr:cNvSpPr>
          <a:spLocks noChangeArrowheads="1"/>
        </xdr:cNvSpPr>
      </xdr:nvSpPr>
      <xdr:spPr bwMode="auto">
        <a:xfrm>
          <a:off x="7033260" y="1539240"/>
          <a:ext cx="312420" cy="3124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27</xdr:col>
      <xdr:colOff>411480</xdr:colOff>
      <xdr:row>7</xdr:row>
      <xdr:rowOff>129540</xdr:rowOff>
    </xdr:from>
    <xdr:to>
      <xdr:col>27</xdr:col>
      <xdr:colOff>411480</xdr:colOff>
      <xdr:row>9</xdr:row>
      <xdr:rowOff>137160</xdr:rowOff>
    </xdr:to>
    <xdr:sp macro="" textlink="">
      <xdr:nvSpPr>
        <xdr:cNvPr id="33961" name="Line 169">
          <a:extLst>
            <a:ext uri="{FF2B5EF4-FFF2-40B4-BE49-F238E27FC236}">
              <a16:creationId xmlns:a16="http://schemas.microsoft.com/office/drawing/2014/main" id="{84EBF0A9-043A-4258-AD25-FBF58BA51653}"/>
            </a:ext>
          </a:extLst>
        </xdr:cNvPr>
        <xdr:cNvSpPr>
          <a:spLocks noChangeShapeType="1"/>
        </xdr:cNvSpPr>
      </xdr:nvSpPr>
      <xdr:spPr bwMode="auto">
        <a:xfrm flipV="1">
          <a:off x="7193280" y="13335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426720</xdr:colOff>
      <xdr:row>9</xdr:row>
      <xdr:rowOff>160020</xdr:rowOff>
    </xdr:from>
    <xdr:to>
      <xdr:col>28</xdr:col>
      <xdr:colOff>175260</xdr:colOff>
      <xdr:row>9</xdr:row>
      <xdr:rowOff>160020</xdr:rowOff>
    </xdr:to>
    <xdr:sp macro="" textlink="">
      <xdr:nvSpPr>
        <xdr:cNvPr id="33962" name="Line 170">
          <a:extLst>
            <a:ext uri="{FF2B5EF4-FFF2-40B4-BE49-F238E27FC236}">
              <a16:creationId xmlns:a16="http://schemas.microsoft.com/office/drawing/2014/main" id="{BFD0ABD1-E40A-4D68-BD60-43A997A1567D}"/>
            </a:ext>
          </a:extLst>
        </xdr:cNvPr>
        <xdr:cNvSpPr>
          <a:spLocks noChangeShapeType="1"/>
        </xdr:cNvSpPr>
      </xdr:nvSpPr>
      <xdr:spPr bwMode="auto">
        <a:xfrm>
          <a:off x="7208520" y="1699260"/>
          <a:ext cx="373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441960</xdr:colOff>
      <xdr:row>8</xdr:row>
      <xdr:rowOff>68580</xdr:rowOff>
    </xdr:from>
    <xdr:to>
      <xdr:col>27</xdr:col>
      <xdr:colOff>411480</xdr:colOff>
      <xdr:row>8</xdr:row>
      <xdr:rowOff>68580</xdr:rowOff>
    </xdr:to>
    <xdr:sp macro="" textlink="">
      <xdr:nvSpPr>
        <xdr:cNvPr id="33963" name="Line 171">
          <a:extLst>
            <a:ext uri="{FF2B5EF4-FFF2-40B4-BE49-F238E27FC236}">
              <a16:creationId xmlns:a16="http://schemas.microsoft.com/office/drawing/2014/main" id="{6572AB27-BDBB-4ED6-893E-9A2E3677E2BE}"/>
            </a:ext>
          </a:extLst>
        </xdr:cNvPr>
        <xdr:cNvSpPr>
          <a:spLocks noChangeShapeType="1"/>
        </xdr:cNvSpPr>
      </xdr:nvSpPr>
      <xdr:spPr bwMode="auto">
        <a:xfrm>
          <a:off x="6598920" y="1440180"/>
          <a:ext cx="594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28</xdr:col>
      <xdr:colOff>38100</xdr:colOff>
      <xdr:row>9</xdr:row>
      <xdr:rowOff>160020</xdr:rowOff>
    </xdr:from>
    <xdr:to>
      <xdr:col>28</xdr:col>
      <xdr:colOff>38100</xdr:colOff>
      <xdr:row>13</xdr:row>
      <xdr:rowOff>60960</xdr:rowOff>
    </xdr:to>
    <xdr:sp macro="" textlink="">
      <xdr:nvSpPr>
        <xdr:cNvPr id="33964" name="Line 172">
          <a:extLst>
            <a:ext uri="{FF2B5EF4-FFF2-40B4-BE49-F238E27FC236}">
              <a16:creationId xmlns:a16="http://schemas.microsoft.com/office/drawing/2014/main" id="{EBFA1C85-FBDD-4B1D-9BB3-02CB2B68C93A}"/>
            </a:ext>
          </a:extLst>
        </xdr:cNvPr>
        <xdr:cNvSpPr>
          <a:spLocks noChangeShapeType="1"/>
        </xdr:cNvSpPr>
      </xdr:nvSpPr>
      <xdr:spPr bwMode="auto">
        <a:xfrm>
          <a:off x="7444740" y="169926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26</xdr:col>
      <xdr:colOff>457200</xdr:colOff>
      <xdr:row>12</xdr:row>
      <xdr:rowOff>38100</xdr:rowOff>
    </xdr:from>
    <xdr:to>
      <xdr:col>27</xdr:col>
      <xdr:colOff>7620</xdr:colOff>
      <xdr:row>13</xdr:row>
      <xdr:rowOff>68580</xdr:rowOff>
    </xdr:to>
    <xdr:sp macro="" textlink="">
      <xdr:nvSpPr>
        <xdr:cNvPr id="33965" name="Text Box 173">
          <a:extLst>
            <a:ext uri="{FF2B5EF4-FFF2-40B4-BE49-F238E27FC236}">
              <a16:creationId xmlns:a16="http://schemas.microsoft.com/office/drawing/2014/main" id="{8A98C8DE-E511-443B-A1DC-1C0C8A6ED8A1}"/>
            </a:ext>
          </a:extLst>
        </xdr:cNvPr>
        <xdr:cNvSpPr txBox="1">
          <a:spLocks noChangeArrowheads="1"/>
        </xdr:cNvSpPr>
      </xdr:nvSpPr>
      <xdr:spPr bwMode="auto">
        <a:xfrm>
          <a:off x="6614160" y="20802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1</a:t>
          </a:r>
        </a:p>
      </xdr:txBody>
    </xdr:sp>
    <xdr:clientData/>
  </xdr:twoCellAnchor>
  <xdr:twoCellAnchor>
    <xdr:from>
      <xdr:col>28</xdr:col>
      <xdr:colOff>243840</xdr:colOff>
      <xdr:row>12</xdr:row>
      <xdr:rowOff>45720</xdr:rowOff>
    </xdr:from>
    <xdr:to>
      <xdr:col>28</xdr:col>
      <xdr:colOff>419100</xdr:colOff>
      <xdr:row>13</xdr:row>
      <xdr:rowOff>76200</xdr:rowOff>
    </xdr:to>
    <xdr:sp macro="" textlink="">
      <xdr:nvSpPr>
        <xdr:cNvPr id="33966" name="Text Box 174">
          <a:extLst>
            <a:ext uri="{FF2B5EF4-FFF2-40B4-BE49-F238E27FC236}">
              <a16:creationId xmlns:a16="http://schemas.microsoft.com/office/drawing/2014/main" id="{3232B96F-AEF5-40ED-8378-481F9A1630AA}"/>
            </a:ext>
          </a:extLst>
        </xdr:cNvPr>
        <xdr:cNvSpPr txBox="1">
          <a:spLocks noChangeArrowheads="1"/>
        </xdr:cNvSpPr>
      </xdr:nvSpPr>
      <xdr:spPr bwMode="auto">
        <a:xfrm>
          <a:off x="7650480" y="20878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2</a:t>
          </a:r>
        </a:p>
      </xdr:txBody>
    </xdr:sp>
    <xdr:clientData/>
  </xdr:twoCellAnchor>
  <xdr:twoCellAnchor>
    <xdr:from>
      <xdr:col>26</xdr:col>
      <xdr:colOff>449580</xdr:colOff>
      <xdr:row>6</xdr:row>
      <xdr:rowOff>91440</xdr:rowOff>
    </xdr:from>
    <xdr:to>
      <xdr:col>27</xdr:col>
      <xdr:colOff>0</xdr:colOff>
      <xdr:row>7</xdr:row>
      <xdr:rowOff>121920</xdr:rowOff>
    </xdr:to>
    <xdr:sp macro="" textlink="">
      <xdr:nvSpPr>
        <xdr:cNvPr id="33967" name="Text Box 175">
          <a:extLst>
            <a:ext uri="{FF2B5EF4-FFF2-40B4-BE49-F238E27FC236}">
              <a16:creationId xmlns:a16="http://schemas.microsoft.com/office/drawing/2014/main" id="{6C77F924-05F5-48DB-8609-5DAFF9DE9987}"/>
            </a:ext>
          </a:extLst>
        </xdr:cNvPr>
        <xdr:cNvSpPr txBox="1">
          <a:spLocks noChangeArrowheads="1"/>
        </xdr:cNvSpPr>
      </xdr:nvSpPr>
      <xdr:spPr bwMode="auto">
        <a:xfrm>
          <a:off x="6606540" y="11277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3</a:t>
          </a:r>
        </a:p>
      </xdr:txBody>
    </xdr:sp>
    <xdr:clientData/>
  </xdr:twoCellAnchor>
  <xdr:twoCellAnchor>
    <xdr:from>
      <xdr:col>28</xdr:col>
      <xdr:colOff>243840</xdr:colOff>
      <xdr:row>6</xdr:row>
      <xdr:rowOff>99060</xdr:rowOff>
    </xdr:from>
    <xdr:to>
      <xdr:col>28</xdr:col>
      <xdr:colOff>419100</xdr:colOff>
      <xdr:row>7</xdr:row>
      <xdr:rowOff>129540</xdr:rowOff>
    </xdr:to>
    <xdr:sp macro="" textlink="">
      <xdr:nvSpPr>
        <xdr:cNvPr id="33968" name="Text Box 176">
          <a:extLst>
            <a:ext uri="{FF2B5EF4-FFF2-40B4-BE49-F238E27FC236}">
              <a16:creationId xmlns:a16="http://schemas.microsoft.com/office/drawing/2014/main" id="{7CDD0427-8956-4181-B448-51B82567B0BE}"/>
            </a:ext>
          </a:extLst>
        </xdr:cNvPr>
        <xdr:cNvSpPr txBox="1">
          <a:spLocks noChangeArrowheads="1"/>
        </xdr:cNvSpPr>
      </xdr:nvSpPr>
      <xdr:spPr bwMode="auto">
        <a:xfrm>
          <a:off x="7650480" y="11353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4</a:t>
          </a:r>
        </a:p>
      </xdr:txBody>
    </xdr:sp>
    <xdr:clientData/>
  </xdr:twoCellAnchor>
  <xdr:twoCellAnchor>
    <xdr:from>
      <xdr:col>26</xdr:col>
      <xdr:colOff>472440</xdr:colOff>
      <xdr:row>10</xdr:row>
      <xdr:rowOff>30480</xdr:rowOff>
    </xdr:from>
    <xdr:to>
      <xdr:col>27</xdr:col>
      <xdr:colOff>106680</xdr:colOff>
      <xdr:row>11</xdr:row>
      <xdr:rowOff>76200</xdr:rowOff>
    </xdr:to>
    <xdr:sp macro="" textlink="">
      <xdr:nvSpPr>
        <xdr:cNvPr id="33969" name="Text Box 177">
          <a:extLst>
            <a:ext uri="{FF2B5EF4-FFF2-40B4-BE49-F238E27FC236}">
              <a16:creationId xmlns:a16="http://schemas.microsoft.com/office/drawing/2014/main" id="{B7D7C381-8F01-48D3-A890-63EA0B30B987}"/>
            </a:ext>
          </a:extLst>
        </xdr:cNvPr>
        <xdr:cNvSpPr txBox="1">
          <a:spLocks noChangeArrowheads="1"/>
        </xdr:cNvSpPr>
      </xdr:nvSpPr>
      <xdr:spPr bwMode="auto">
        <a:xfrm>
          <a:off x="6629400" y="173736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r>
            <a:rPr lang="en-US" sz="800" b="0" i="0" u="none" strike="noStrike" baseline="0%">
              <a:solidFill>
                <a:srgbClr val="0000FF"/>
              </a:solidFill>
              <a:latin typeface="Arial"/>
              <a:cs typeface="Arial"/>
            </a:rPr>
            <a:t>o</a:t>
          </a:r>
        </a:p>
      </xdr:txBody>
    </xdr:sp>
    <xdr:clientData/>
  </xdr:twoCellAnchor>
  <xdr:twoCellAnchor>
    <xdr:from>
      <xdr:col>27</xdr:col>
      <xdr:colOff>167640</xdr:colOff>
      <xdr:row>12</xdr:row>
      <xdr:rowOff>30480</xdr:rowOff>
    </xdr:from>
    <xdr:to>
      <xdr:col>27</xdr:col>
      <xdr:colOff>426720</xdr:colOff>
      <xdr:row>13</xdr:row>
      <xdr:rowOff>76200</xdr:rowOff>
    </xdr:to>
    <xdr:sp macro="" textlink="">
      <xdr:nvSpPr>
        <xdr:cNvPr id="33970" name="Text Box 178">
          <a:extLst>
            <a:ext uri="{FF2B5EF4-FFF2-40B4-BE49-F238E27FC236}">
              <a16:creationId xmlns:a16="http://schemas.microsoft.com/office/drawing/2014/main" id="{5E8BFD6B-822E-412F-9524-76B84BF414FB}"/>
            </a:ext>
          </a:extLst>
        </xdr:cNvPr>
        <xdr:cNvSpPr txBox="1">
          <a:spLocks noChangeArrowheads="1"/>
        </xdr:cNvSpPr>
      </xdr:nvSpPr>
      <xdr:spPr bwMode="auto">
        <a:xfrm>
          <a:off x="6949440" y="207264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yo</a:t>
          </a:r>
        </a:p>
      </xdr:txBody>
    </xdr:sp>
    <xdr:clientData/>
  </xdr:twoCellAnchor>
  <xdr:twoCellAnchor>
    <xdr:from>
      <xdr:col>27</xdr:col>
      <xdr:colOff>106680</xdr:colOff>
      <xdr:row>7</xdr:row>
      <xdr:rowOff>76200</xdr:rowOff>
    </xdr:from>
    <xdr:to>
      <xdr:col>27</xdr:col>
      <xdr:colOff>373380</xdr:colOff>
      <xdr:row>8</xdr:row>
      <xdr:rowOff>129540</xdr:rowOff>
    </xdr:to>
    <xdr:sp macro="" textlink="">
      <xdr:nvSpPr>
        <xdr:cNvPr id="33971" name="Text Box 179">
          <a:extLst>
            <a:ext uri="{FF2B5EF4-FFF2-40B4-BE49-F238E27FC236}">
              <a16:creationId xmlns:a16="http://schemas.microsoft.com/office/drawing/2014/main" id="{86639462-25A7-4FFD-811C-D14F7FA2B45D}"/>
            </a:ext>
          </a:extLst>
        </xdr:cNvPr>
        <xdr:cNvSpPr txBox="1">
          <a:spLocks noChangeArrowheads="1"/>
        </xdr:cNvSpPr>
      </xdr:nvSpPr>
      <xdr:spPr bwMode="auto">
        <a:xfrm>
          <a:off x="6888480" y="128016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p>
      </xdr:txBody>
    </xdr:sp>
    <xdr:clientData/>
  </xdr:twoCellAnchor>
  <xdr:twoCellAnchor>
    <xdr:from>
      <xdr:col>28</xdr:col>
      <xdr:colOff>45720</xdr:colOff>
      <xdr:row>10</xdr:row>
      <xdr:rowOff>137160</xdr:rowOff>
    </xdr:from>
    <xdr:to>
      <xdr:col>28</xdr:col>
      <xdr:colOff>312420</xdr:colOff>
      <xdr:row>12</xdr:row>
      <xdr:rowOff>22860</xdr:rowOff>
    </xdr:to>
    <xdr:sp macro="" textlink="">
      <xdr:nvSpPr>
        <xdr:cNvPr id="33972" name="Text Box 180">
          <a:extLst>
            <a:ext uri="{FF2B5EF4-FFF2-40B4-BE49-F238E27FC236}">
              <a16:creationId xmlns:a16="http://schemas.microsoft.com/office/drawing/2014/main" id="{F171B5EA-38E0-4777-996B-BF4A69FD9403}"/>
            </a:ext>
          </a:extLst>
        </xdr:cNvPr>
        <xdr:cNvSpPr txBox="1">
          <a:spLocks noChangeArrowheads="1"/>
        </xdr:cNvSpPr>
      </xdr:nvSpPr>
      <xdr:spPr bwMode="auto">
        <a:xfrm>
          <a:off x="7452360" y="184404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Y</a:t>
          </a:r>
        </a:p>
      </xdr:txBody>
    </xdr:sp>
    <xdr:clientData/>
  </xdr:twoCellAnchor>
  <xdr:twoCellAnchor>
    <xdr:from>
      <xdr:col>28</xdr:col>
      <xdr:colOff>548640</xdr:colOff>
      <xdr:row>12</xdr:row>
      <xdr:rowOff>144780</xdr:rowOff>
    </xdr:from>
    <xdr:to>
      <xdr:col>29</xdr:col>
      <xdr:colOff>182880</xdr:colOff>
      <xdr:row>14</xdr:row>
      <xdr:rowOff>30480</xdr:rowOff>
    </xdr:to>
    <xdr:sp macro="" textlink="">
      <xdr:nvSpPr>
        <xdr:cNvPr id="33973" name="Text Box 181">
          <a:extLst>
            <a:ext uri="{FF2B5EF4-FFF2-40B4-BE49-F238E27FC236}">
              <a16:creationId xmlns:a16="http://schemas.microsoft.com/office/drawing/2014/main" id="{B1C432BB-0CF5-462A-88F8-3D4418FA1349}"/>
            </a:ext>
          </a:extLst>
        </xdr:cNvPr>
        <xdr:cNvSpPr txBox="1">
          <a:spLocks noChangeArrowheads="1"/>
        </xdr:cNvSpPr>
      </xdr:nvSpPr>
      <xdr:spPr bwMode="auto">
        <a:xfrm>
          <a:off x="7955280" y="2186940"/>
          <a:ext cx="2590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+X</a:t>
          </a:r>
        </a:p>
      </xdr:txBody>
    </xdr:sp>
    <xdr:clientData/>
  </xdr:twoCellAnchor>
  <xdr:twoCellAnchor>
    <xdr:from>
      <xdr:col>26</xdr:col>
      <xdr:colOff>312420</xdr:colOff>
      <xdr:row>4</xdr:row>
      <xdr:rowOff>99060</xdr:rowOff>
    </xdr:from>
    <xdr:to>
      <xdr:col>26</xdr:col>
      <xdr:colOff>579120</xdr:colOff>
      <xdr:row>5</xdr:row>
      <xdr:rowOff>144780</xdr:rowOff>
    </xdr:to>
    <xdr:sp macro="" textlink="">
      <xdr:nvSpPr>
        <xdr:cNvPr id="33974" name="Text Box 182">
          <a:extLst>
            <a:ext uri="{FF2B5EF4-FFF2-40B4-BE49-F238E27FC236}">
              <a16:creationId xmlns:a16="http://schemas.microsoft.com/office/drawing/2014/main" id="{1BA9FED4-0252-418C-A4A3-5EEC3448CB9A}"/>
            </a:ext>
          </a:extLst>
        </xdr:cNvPr>
        <xdr:cNvSpPr txBox="1">
          <a:spLocks noChangeArrowheads="1"/>
        </xdr:cNvSpPr>
      </xdr:nvSpPr>
      <xdr:spPr bwMode="auto">
        <a:xfrm>
          <a:off x="6469380" y="800100"/>
          <a:ext cx="2667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+Y</a:t>
          </a:r>
        </a:p>
      </xdr:txBody>
    </xdr:sp>
    <xdr:clientData/>
  </xdr:twoCellAnchor>
  <xdr:twoCellAnchor>
    <xdr:from>
      <xdr:col>26</xdr:col>
      <xdr:colOff>144780</xdr:colOff>
      <xdr:row>13</xdr:row>
      <xdr:rowOff>99060</xdr:rowOff>
    </xdr:from>
    <xdr:to>
      <xdr:col>26</xdr:col>
      <xdr:colOff>411480</xdr:colOff>
      <xdr:row>14</xdr:row>
      <xdr:rowOff>144780</xdr:rowOff>
    </xdr:to>
    <xdr:sp macro="" textlink="">
      <xdr:nvSpPr>
        <xdr:cNvPr id="33975" name="Text Box 183">
          <a:extLst>
            <a:ext uri="{FF2B5EF4-FFF2-40B4-BE49-F238E27FC236}">
              <a16:creationId xmlns:a16="http://schemas.microsoft.com/office/drawing/2014/main" id="{6398B06E-AC79-44B1-9C0C-018E38A16BCD}"/>
            </a:ext>
          </a:extLst>
        </xdr:cNvPr>
        <xdr:cNvSpPr txBox="1">
          <a:spLocks noChangeArrowheads="1"/>
        </xdr:cNvSpPr>
      </xdr:nvSpPr>
      <xdr:spPr bwMode="auto">
        <a:xfrm>
          <a:off x="6301740" y="2308860"/>
          <a:ext cx="2667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+Z</a:t>
          </a:r>
        </a:p>
      </xdr:txBody>
    </xdr:sp>
    <xdr:clientData/>
  </xdr:twoCellAnchor>
  <xdr:twoCellAnchor>
    <xdr:from>
      <xdr:col>27</xdr:col>
      <xdr:colOff>419100</xdr:colOff>
      <xdr:row>15</xdr:row>
      <xdr:rowOff>144780</xdr:rowOff>
    </xdr:from>
    <xdr:to>
      <xdr:col>28</xdr:col>
      <xdr:colOff>60960</xdr:colOff>
      <xdr:row>17</xdr:row>
      <xdr:rowOff>30480</xdr:rowOff>
    </xdr:to>
    <xdr:sp macro="" textlink="">
      <xdr:nvSpPr>
        <xdr:cNvPr id="33976" name="Text Box 184">
          <a:extLst>
            <a:ext uri="{FF2B5EF4-FFF2-40B4-BE49-F238E27FC236}">
              <a16:creationId xmlns:a16="http://schemas.microsoft.com/office/drawing/2014/main" id="{F0637523-F51E-4EA4-8415-8C6D0BAA2994}"/>
            </a:ext>
          </a:extLst>
        </xdr:cNvPr>
        <xdr:cNvSpPr txBox="1">
          <a:spLocks noChangeArrowheads="1"/>
        </xdr:cNvSpPr>
      </xdr:nvSpPr>
      <xdr:spPr bwMode="auto">
        <a:xfrm>
          <a:off x="7200900" y="268986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-P</a:t>
          </a:r>
          <a:r>
            <a:rPr lang="en-US" sz="800" b="1" i="0" u="none" strike="noStrike" baseline="0%">
              <a:solidFill>
                <a:srgbClr val="0000FF"/>
              </a:solidFill>
              <a:latin typeface="Arial"/>
              <a:cs typeface="Arial"/>
            </a:rPr>
            <a:t>z</a:t>
          </a:r>
        </a:p>
      </xdr:txBody>
    </xdr:sp>
    <xdr:clientData/>
  </xdr:twoCellAnchor>
  <xdr:twoCellAnchor>
    <xdr:from>
      <xdr:col>27</xdr:col>
      <xdr:colOff>548640</xdr:colOff>
      <xdr:row>18</xdr:row>
      <xdr:rowOff>0</xdr:rowOff>
    </xdr:from>
    <xdr:to>
      <xdr:col>28</xdr:col>
      <xdr:colOff>289560</xdr:colOff>
      <xdr:row>19</xdr:row>
      <xdr:rowOff>76200</xdr:rowOff>
    </xdr:to>
    <xdr:sp macro="" textlink="">
      <xdr:nvSpPr>
        <xdr:cNvPr id="33977" name="Text Box 185">
          <a:extLst>
            <a:ext uri="{FF2B5EF4-FFF2-40B4-BE49-F238E27FC236}">
              <a16:creationId xmlns:a16="http://schemas.microsoft.com/office/drawing/2014/main" id="{31D89AE7-4125-48BF-ADFD-D13CAC6D6FBC}"/>
            </a:ext>
          </a:extLst>
        </xdr:cNvPr>
        <xdr:cNvSpPr txBox="1">
          <a:spLocks noChangeArrowheads="1"/>
        </xdr:cNvSpPr>
      </xdr:nvSpPr>
      <xdr:spPr bwMode="auto">
        <a:xfrm>
          <a:off x="7330440" y="3048000"/>
          <a:ext cx="36576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+M</a:t>
          </a:r>
          <a:r>
            <a:rPr lang="en-US" sz="800" b="1" i="0" u="none" strike="noStrike" baseline="0%">
              <a:solidFill>
                <a:srgbClr val="0000FF"/>
              </a:solidFill>
              <a:latin typeface="Arial"/>
              <a:cs typeface="Arial"/>
            </a:rPr>
            <a:t>y</a:t>
          </a:r>
        </a:p>
      </xdr:txBody>
    </xdr:sp>
    <xdr:clientData/>
  </xdr:twoCellAnchor>
  <xdr:twoCellAnchor>
    <xdr:from>
      <xdr:col>26</xdr:col>
      <xdr:colOff>563880</xdr:colOff>
      <xdr:row>17</xdr:row>
      <xdr:rowOff>144780</xdr:rowOff>
    </xdr:from>
    <xdr:to>
      <xdr:col>27</xdr:col>
      <xdr:colOff>312420</xdr:colOff>
      <xdr:row>19</xdr:row>
      <xdr:rowOff>60960</xdr:rowOff>
    </xdr:to>
    <xdr:sp macro="" textlink="">
      <xdr:nvSpPr>
        <xdr:cNvPr id="33978" name="Text Box 186">
          <a:extLst>
            <a:ext uri="{FF2B5EF4-FFF2-40B4-BE49-F238E27FC236}">
              <a16:creationId xmlns:a16="http://schemas.microsoft.com/office/drawing/2014/main" id="{42596EC0-7C33-4CF1-A0D2-6BEE9214A43D}"/>
            </a:ext>
          </a:extLst>
        </xdr:cNvPr>
        <xdr:cNvSpPr txBox="1">
          <a:spLocks noChangeArrowheads="1"/>
        </xdr:cNvSpPr>
      </xdr:nvSpPr>
      <xdr:spPr bwMode="auto">
        <a:xfrm>
          <a:off x="6720840" y="3025140"/>
          <a:ext cx="373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+H</a:t>
          </a:r>
          <a:r>
            <a:rPr lang="en-US" sz="800" b="1" i="0" u="none" strike="noStrike" baseline="0%">
              <a:solidFill>
                <a:srgbClr val="0000FF"/>
              </a:solidFill>
              <a:latin typeface="Arial"/>
              <a:cs typeface="Arial"/>
            </a:rPr>
            <a:t>x</a:t>
          </a:r>
        </a:p>
      </xdr:txBody>
    </xdr:sp>
    <xdr:clientData/>
  </xdr:twoCellAnchor>
  <xdr:twoCellAnchor>
    <xdr:from>
      <xdr:col>26</xdr:col>
      <xdr:colOff>205740</xdr:colOff>
      <xdr:row>19</xdr:row>
      <xdr:rowOff>76200</xdr:rowOff>
    </xdr:from>
    <xdr:to>
      <xdr:col>26</xdr:col>
      <xdr:colOff>381000</xdr:colOff>
      <xdr:row>20</xdr:row>
      <xdr:rowOff>106680</xdr:rowOff>
    </xdr:to>
    <xdr:sp macro="" textlink="">
      <xdr:nvSpPr>
        <xdr:cNvPr id="33979" name="Text Box 187">
          <a:extLst>
            <a:ext uri="{FF2B5EF4-FFF2-40B4-BE49-F238E27FC236}">
              <a16:creationId xmlns:a16="http://schemas.microsoft.com/office/drawing/2014/main" id="{9C0257D3-32CC-42FC-A563-B595BA564FD6}"/>
            </a:ext>
          </a:extLst>
        </xdr:cNvPr>
        <xdr:cNvSpPr txBox="1">
          <a:spLocks noChangeArrowheads="1"/>
        </xdr:cNvSpPr>
      </xdr:nvSpPr>
      <xdr:spPr bwMode="auto">
        <a:xfrm>
          <a:off x="6362700" y="329184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h</a:t>
          </a:r>
        </a:p>
      </xdr:txBody>
    </xdr:sp>
    <xdr:clientData/>
  </xdr:twoCellAnchor>
  <xdr:twoCellAnchor>
    <xdr:from>
      <xdr:col>27</xdr:col>
      <xdr:colOff>251460</xdr:colOff>
      <xdr:row>17</xdr:row>
      <xdr:rowOff>22860</xdr:rowOff>
    </xdr:from>
    <xdr:to>
      <xdr:col>27</xdr:col>
      <xdr:colOff>563880</xdr:colOff>
      <xdr:row>19</xdr:row>
      <xdr:rowOff>0</xdr:rowOff>
    </xdr:to>
    <xdr:sp macro="" textlink="">
      <xdr:nvSpPr>
        <xdr:cNvPr id="33980" name="Arc 188">
          <a:extLst>
            <a:ext uri="{FF2B5EF4-FFF2-40B4-BE49-F238E27FC236}">
              <a16:creationId xmlns:a16="http://schemas.microsoft.com/office/drawing/2014/main" id="{E8BFE742-1666-452F-8A5F-B0AD5C67AA3F}"/>
            </a:ext>
          </a:extLst>
        </xdr:cNvPr>
        <xdr:cNvSpPr>
          <a:spLocks/>
        </xdr:cNvSpPr>
      </xdr:nvSpPr>
      <xdr:spPr bwMode="auto">
        <a:xfrm rot="18900000">
          <a:off x="7033260" y="2903220"/>
          <a:ext cx="312420" cy="312420"/>
        </a:xfrm>
        <a:custGeom>
          <a:avLst/>
          <a:gdLst>
            <a:gd name="G0" fmla="+- 10424 0 0"/>
            <a:gd name="G1" fmla="+- 21600 0 0"/>
            <a:gd name="G2" fmla="+- 21600 0 0"/>
            <a:gd name="T0" fmla="*/ 0 w 32024"/>
            <a:gd name="T1" fmla="*/ 2682 h 33135"/>
            <a:gd name="T2" fmla="*/ 28686 w 32024"/>
            <a:gd name="T3" fmla="*/ 33135 h 33135"/>
            <a:gd name="T4" fmla="*/ 10424 w 32024"/>
            <a:gd name="T5" fmla="*/ 21600 h 33135"/>
          </a:gdLst>
          <a:ahLst/>
          <a:cxnLst>
            <a:cxn ang="0">
              <a:pos x="T0" y="T1"/>
            </a:cxn>
            <a:cxn ang="0">
              <a:pos x="T2" y="T3"/>
            </a:cxn>
            <a:cxn ang="0">
              <a:pos x="T4" y="T5"/>
            </a:cxn>
          </a:cxnLst>
          <a:rect l="0" t="0" r="r" b="b"/>
          <a:pathLst>
            <a:path w="32024" h="33135" fill="none" extrusionOk="0">
              <a:moveTo>
                <a:pt x="-1" y="2681"/>
              </a:moveTo>
              <a:cubicBezTo>
                <a:pt x="3192" y="922"/>
                <a:pt x="6778" y="0"/>
                <a:pt x="10424" y="0"/>
              </a:cubicBezTo>
              <a:cubicBezTo>
                <a:pt x="22353" y="0"/>
                <a:pt x="32024" y="9670"/>
                <a:pt x="32024" y="21600"/>
              </a:cubicBezTo>
              <a:cubicBezTo>
                <a:pt x="32024" y="25683"/>
                <a:pt x="30866" y="29682"/>
                <a:pt x="28686" y="33135"/>
              </a:cubicBezTo>
            </a:path>
            <a:path w="32024" h="33135" stroke="0" extrusionOk="0">
              <a:moveTo>
                <a:pt x="-1" y="2681"/>
              </a:moveTo>
              <a:cubicBezTo>
                <a:pt x="3192" y="922"/>
                <a:pt x="6778" y="0"/>
                <a:pt x="10424" y="0"/>
              </a:cubicBezTo>
              <a:cubicBezTo>
                <a:pt x="22353" y="0"/>
                <a:pt x="32024" y="9670"/>
                <a:pt x="32024" y="21600"/>
              </a:cubicBezTo>
              <a:cubicBezTo>
                <a:pt x="32024" y="25683"/>
                <a:pt x="30866" y="29682"/>
                <a:pt x="28686" y="33135"/>
              </a:cubicBezTo>
              <a:lnTo>
                <a:pt x="10424"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320040</xdr:colOff>
      <xdr:row>12</xdr:row>
      <xdr:rowOff>99060</xdr:rowOff>
    </xdr:from>
    <xdr:to>
      <xdr:col>26</xdr:col>
      <xdr:colOff>495300</xdr:colOff>
      <xdr:row>13</xdr:row>
      <xdr:rowOff>129540</xdr:rowOff>
    </xdr:to>
    <xdr:sp macro="" textlink="">
      <xdr:nvSpPr>
        <xdr:cNvPr id="33981" name="Text Box 189">
          <a:extLst>
            <a:ext uri="{FF2B5EF4-FFF2-40B4-BE49-F238E27FC236}">
              <a16:creationId xmlns:a16="http://schemas.microsoft.com/office/drawing/2014/main" id="{D78746FE-B076-486E-BCD5-00F124ED350A}"/>
            </a:ext>
          </a:extLst>
        </xdr:cNvPr>
        <xdr:cNvSpPr txBox="1">
          <a:spLocks noChangeArrowheads="1"/>
        </xdr:cNvSpPr>
      </xdr:nvSpPr>
      <xdr:spPr bwMode="auto">
        <a:xfrm>
          <a:off x="6477000" y="214122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0</a:t>
          </a:r>
        </a:p>
      </xdr:txBody>
    </xdr:sp>
    <xdr:clientData/>
  </xdr:twoCellAnchor>
  <xdr:twoCellAnchor>
    <xdr:from>
      <xdr:col>27</xdr:col>
      <xdr:colOff>7620</xdr:colOff>
      <xdr:row>10</xdr:row>
      <xdr:rowOff>160020</xdr:rowOff>
    </xdr:from>
    <xdr:to>
      <xdr:col>27</xdr:col>
      <xdr:colOff>7620</xdr:colOff>
      <xdr:row>12</xdr:row>
      <xdr:rowOff>7620</xdr:rowOff>
    </xdr:to>
    <xdr:sp macro="" textlink="">
      <xdr:nvSpPr>
        <xdr:cNvPr id="33982" name="Line 190">
          <a:extLst>
            <a:ext uri="{FF2B5EF4-FFF2-40B4-BE49-F238E27FC236}">
              <a16:creationId xmlns:a16="http://schemas.microsoft.com/office/drawing/2014/main" id="{280D3B9D-7259-4DD1-9451-B9B2F59AEC8B}"/>
            </a:ext>
          </a:extLst>
        </xdr:cNvPr>
        <xdr:cNvSpPr>
          <a:spLocks noChangeShapeType="1"/>
        </xdr:cNvSpPr>
      </xdr:nvSpPr>
      <xdr:spPr bwMode="auto">
        <a:xfrm flipV="1">
          <a:off x="6789420" y="1866900"/>
          <a:ext cx="0" cy="182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30480</xdr:colOff>
      <xdr:row>12</xdr:row>
      <xdr:rowOff>30480</xdr:rowOff>
    </xdr:from>
    <xdr:to>
      <xdr:col>27</xdr:col>
      <xdr:colOff>198120</xdr:colOff>
      <xdr:row>12</xdr:row>
      <xdr:rowOff>30480</xdr:rowOff>
    </xdr:to>
    <xdr:sp macro="" textlink="">
      <xdr:nvSpPr>
        <xdr:cNvPr id="33983" name="Line 191">
          <a:extLst>
            <a:ext uri="{FF2B5EF4-FFF2-40B4-BE49-F238E27FC236}">
              <a16:creationId xmlns:a16="http://schemas.microsoft.com/office/drawing/2014/main" id="{A6747550-FBE6-4A11-8800-397B1BFF4D88}"/>
            </a:ext>
          </a:extLst>
        </xdr:cNvPr>
        <xdr:cNvSpPr>
          <a:spLocks noChangeShapeType="1"/>
        </xdr:cNvSpPr>
      </xdr:nvSpPr>
      <xdr:spPr bwMode="auto">
        <a:xfrm>
          <a:off x="6812280" y="2072640"/>
          <a:ext cx="167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441960</xdr:colOff>
      <xdr:row>11</xdr:row>
      <xdr:rowOff>38100</xdr:rowOff>
    </xdr:from>
    <xdr:to>
      <xdr:col>27</xdr:col>
      <xdr:colOff>7620</xdr:colOff>
      <xdr:row>11</xdr:row>
      <xdr:rowOff>38100</xdr:rowOff>
    </xdr:to>
    <xdr:sp macro="" textlink="">
      <xdr:nvSpPr>
        <xdr:cNvPr id="33984" name="Line 192">
          <a:extLst>
            <a:ext uri="{FF2B5EF4-FFF2-40B4-BE49-F238E27FC236}">
              <a16:creationId xmlns:a16="http://schemas.microsoft.com/office/drawing/2014/main" id="{2109D70B-80DA-46E8-8D54-BC4D6F9BA11B}"/>
            </a:ext>
          </a:extLst>
        </xdr:cNvPr>
        <xdr:cNvSpPr>
          <a:spLocks noChangeShapeType="1"/>
        </xdr:cNvSpPr>
      </xdr:nvSpPr>
      <xdr:spPr bwMode="auto">
        <a:xfrm>
          <a:off x="6598920" y="191262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144780</xdr:colOff>
      <xdr:row>12</xdr:row>
      <xdr:rowOff>30480</xdr:rowOff>
    </xdr:from>
    <xdr:to>
      <xdr:col>27</xdr:col>
      <xdr:colOff>144780</xdr:colOff>
      <xdr:row>13</xdr:row>
      <xdr:rowOff>60960</xdr:rowOff>
    </xdr:to>
    <xdr:sp macro="" textlink="">
      <xdr:nvSpPr>
        <xdr:cNvPr id="33985" name="Line 193">
          <a:extLst>
            <a:ext uri="{FF2B5EF4-FFF2-40B4-BE49-F238E27FC236}">
              <a16:creationId xmlns:a16="http://schemas.microsoft.com/office/drawing/2014/main" id="{1A373C2A-5EE2-4BEE-9068-59121EDDC1CB}"/>
            </a:ext>
          </a:extLst>
        </xdr:cNvPr>
        <xdr:cNvSpPr>
          <a:spLocks noChangeShapeType="1"/>
        </xdr:cNvSpPr>
      </xdr:nvSpPr>
      <xdr:spPr bwMode="auto">
        <a:xfrm>
          <a:off x="6926580" y="2072640"/>
          <a:ext cx="0" cy="198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251460</xdr:colOff>
      <xdr:row>21</xdr:row>
      <xdr:rowOff>121920</xdr:rowOff>
    </xdr:from>
    <xdr:to>
      <xdr:col>27</xdr:col>
      <xdr:colOff>601980</xdr:colOff>
      <xdr:row>22</xdr:row>
      <xdr:rowOff>160020</xdr:rowOff>
    </xdr:to>
    <xdr:sp macro="" textlink="">
      <xdr:nvSpPr>
        <xdr:cNvPr id="33986" name="Text Box 194">
          <a:extLst>
            <a:ext uri="{FF2B5EF4-FFF2-40B4-BE49-F238E27FC236}">
              <a16:creationId xmlns:a16="http://schemas.microsoft.com/office/drawing/2014/main" id="{78FE0525-0084-434E-B509-CC1D957FB5DD}"/>
            </a:ext>
          </a:extLst>
        </xdr:cNvPr>
        <xdr:cNvSpPr txBox="1">
          <a:spLocks noChangeArrowheads="1"/>
        </xdr:cNvSpPr>
      </xdr:nvSpPr>
      <xdr:spPr bwMode="auto">
        <a:xfrm>
          <a:off x="7033260" y="3672840"/>
          <a:ext cx="35052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Piles</a:t>
          </a:r>
        </a:p>
      </xdr:txBody>
    </xdr:sp>
    <xdr:clientData/>
  </xdr:twoCellAnchor>
  <xdr:twoCellAnchor>
    <xdr:from>
      <xdr:col>27</xdr:col>
      <xdr:colOff>76200</xdr:colOff>
      <xdr:row>22</xdr:row>
      <xdr:rowOff>30480</xdr:rowOff>
    </xdr:from>
    <xdr:to>
      <xdr:col>27</xdr:col>
      <xdr:colOff>213360</xdr:colOff>
      <xdr:row>22</xdr:row>
      <xdr:rowOff>30480</xdr:rowOff>
    </xdr:to>
    <xdr:sp macro="" textlink="">
      <xdr:nvSpPr>
        <xdr:cNvPr id="33987" name="Line 195">
          <a:extLst>
            <a:ext uri="{FF2B5EF4-FFF2-40B4-BE49-F238E27FC236}">
              <a16:creationId xmlns:a16="http://schemas.microsoft.com/office/drawing/2014/main" id="{A8A78E34-0F09-419E-A4DC-094AFE15AC30}"/>
            </a:ext>
          </a:extLst>
        </xdr:cNvPr>
        <xdr:cNvSpPr>
          <a:spLocks noChangeShapeType="1"/>
        </xdr:cNvSpPr>
      </xdr:nvSpPr>
      <xdr:spPr bwMode="auto">
        <a:xfrm flipH="1">
          <a:off x="685800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601980</xdr:colOff>
      <xdr:row>22</xdr:row>
      <xdr:rowOff>30480</xdr:rowOff>
    </xdr:from>
    <xdr:to>
      <xdr:col>28</xdr:col>
      <xdr:colOff>114300</xdr:colOff>
      <xdr:row>22</xdr:row>
      <xdr:rowOff>30480</xdr:rowOff>
    </xdr:to>
    <xdr:sp macro="" textlink="">
      <xdr:nvSpPr>
        <xdr:cNvPr id="33988" name="Line 196">
          <a:extLst>
            <a:ext uri="{FF2B5EF4-FFF2-40B4-BE49-F238E27FC236}">
              <a16:creationId xmlns:a16="http://schemas.microsoft.com/office/drawing/2014/main" id="{574DB124-3C29-4F27-80F4-3C22BCDA7A5F}"/>
            </a:ext>
          </a:extLst>
        </xdr:cNvPr>
        <xdr:cNvSpPr>
          <a:spLocks noChangeShapeType="1"/>
        </xdr:cNvSpPr>
      </xdr:nvSpPr>
      <xdr:spPr bwMode="auto">
        <a:xfrm>
          <a:off x="738378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sm"/>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v="urn:schemas-microsoft-com:vml" Requires="v"/>
    <mc:Fallback>
      <xdr:twoCellAnchor editAs="absolute">
        <xdr:from>
          <xdr:col>27</xdr:col>
          <xdr:colOff>144780</xdr:colOff>
          <xdr:row>0</xdr:row>
          <xdr:rowOff>15240</xdr:rowOff>
        </xdr:from>
        <xdr:to>
          <xdr:col>29</xdr:col>
          <xdr:colOff>579120</xdr:colOff>
          <xdr:row>1</xdr:row>
          <xdr:rowOff>106680</xdr:rowOff>
        </xdr:to>
        <xdr:sp macro="" textlink="">
          <xdr:nvSpPr>
            <xdr:cNvPr id="33793" name="Comment 1" hidden="1">
              <a:extLst>
                <a:ext uri="{FF2B5EF4-FFF2-40B4-BE49-F238E27FC236}">
                  <a16:creationId xmlns:a16="http://schemas.microsoft.com/office/drawing/2014/main" id="{BCA2FE6F-B519-4E52-AE6F-EDCB16F39A24}"/>
                </a:ext>
              </a:extLst>
            </xdr:cNvPr>
            <xdr:cNvSpPr txBox="1">
              <a:spLocks noChangeArrowheads="1"/>
            </xdr:cNvSpPr>
          </xdr:nvSpPr>
          <xdr:spPr bwMode="auto">
            <a:xfrm>
              <a:off x="6926580" y="15240"/>
              <a:ext cx="1684020" cy="2895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              "</a:t>
              </a:r>
              <a:r>
                <a:rPr lang="en-US" sz="800" b="1" i="0" u="none" strike="noStrike" baseline="0%">
                  <a:solidFill>
                    <a:srgbClr val="000000"/>
                  </a:solidFill>
                  <a:latin typeface="Tahoma"/>
                  <a:ea typeface="Tahoma"/>
                  <a:cs typeface="Tahoma"/>
                </a:rPr>
                <a:t>PILEGRP.xls</a:t>
              </a:r>
              <a:r>
                <a:rPr lang="en-US" sz="800" b="0" i="0" u="none" strike="noStrike" baseline="0%">
                  <a:solidFill>
                    <a:srgbClr val="000000"/>
                  </a:solidFill>
                  <a:latin typeface="Tahoma"/>
                  <a:ea typeface="Tahoma"/>
                  <a:cs typeface="Tahoma"/>
                </a:rPr>
                <a:t>"</a:t>
              </a:r>
            </a:p>
            <a:p>
              <a:pPr algn="l" rtl="0">
                <a:defRPr sz="1000"/>
              </a:pPr>
              <a:r>
                <a:rPr lang="en-US" sz="800" b="0" i="0" u="none" strike="noStrike" baseline="0%">
                  <a:solidFill>
                    <a:srgbClr val="000000"/>
                  </a:solidFill>
                  <a:latin typeface="Tahoma"/>
                  <a:ea typeface="Tahoma"/>
                  <a:cs typeface="Tahoma"/>
                </a:rPr>
                <a:t>written by:  Alex Tomanovich, P.E.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28</xdr:row>
          <xdr:rowOff>68580</xdr:rowOff>
        </xdr:from>
        <xdr:to>
          <xdr:col>27</xdr:col>
          <xdr:colOff>617220</xdr:colOff>
          <xdr:row>32</xdr:row>
          <xdr:rowOff>129540</xdr:rowOff>
        </xdr:to>
        <xdr:sp macro="" textlink="">
          <xdr:nvSpPr>
            <xdr:cNvPr id="33794" name="Comment 2" hidden="1">
              <a:extLst>
                <a:ext uri="{FF2B5EF4-FFF2-40B4-BE49-F238E27FC236}">
                  <a16:creationId xmlns:a16="http://schemas.microsoft.com/office/drawing/2014/main" id="{1E85BB25-9927-4C0B-A439-565961BDE85E}"/>
                </a:ext>
              </a:extLst>
            </xdr:cNvPr>
            <xdr:cNvSpPr txBox="1">
              <a:spLocks noChangeArrowheads="1"/>
            </xdr:cNvSpPr>
          </xdr:nvSpPr>
          <xdr:spPr bwMode="auto">
            <a:xfrm>
              <a:off x="5402580" y="4792980"/>
              <a:ext cx="199644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Y-axis from the origin Y-axis is calculated as follows:</a:t>
              </a:r>
            </a:p>
            <a:p>
              <a:pPr algn="l" rtl="0">
                <a:defRPr sz="1000"/>
              </a:pPr>
              <a:r>
                <a:rPr lang="en-US" sz="800" b="0" i="0" u="none" strike="noStrike" baseline="0%">
                  <a:solidFill>
                    <a:srgbClr val="000000"/>
                  </a:solidFill>
                  <a:latin typeface="Tahoma"/>
                  <a:ea typeface="Tahoma"/>
                  <a:cs typeface="Tahoma"/>
                </a:rPr>
                <a:t>   Xc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(Xo)/Np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29</xdr:row>
          <xdr:rowOff>68580</xdr:rowOff>
        </xdr:from>
        <xdr:to>
          <xdr:col>27</xdr:col>
          <xdr:colOff>617220</xdr:colOff>
          <xdr:row>33</xdr:row>
          <xdr:rowOff>129540</xdr:rowOff>
        </xdr:to>
        <xdr:sp macro="" textlink="">
          <xdr:nvSpPr>
            <xdr:cNvPr id="33799" name="Comment 7" hidden="1">
              <a:extLst>
                <a:ext uri="{FF2B5EF4-FFF2-40B4-BE49-F238E27FC236}">
                  <a16:creationId xmlns:a16="http://schemas.microsoft.com/office/drawing/2014/main" id="{B4C1FF31-5EDA-4FCC-A700-7CA7284F28E3}"/>
                </a:ext>
              </a:extLst>
            </xdr:cNvPr>
            <xdr:cNvSpPr txBox="1">
              <a:spLocks noChangeArrowheads="1"/>
            </xdr:cNvSpPr>
          </xdr:nvSpPr>
          <xdr:spPr bwMode="auto">
            <a:xfrm>
              <a:off x="5402580" y="4960620"/>
              <a:ext cx="199644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X-axis from the origin X-axis is calculated as follows:</a:t>
              </a:r>
            </a:p>
            <a:p>
              <a:pPr algn="l" rtl="0">
                <a:defRPr sz="1000"/>
              </a:pPr>
              <a:r>
                <a:rPr lang="en-US" sz="800" b="0" i="0" u="none" strike="noStrike" baseline="0%">
                  <a:solidFill>
                    <a:srgbClr val="000000"/>
                  </a:solidFill>
                  <a:latin typeface="Tahoma"/>
                  <a:ea typeface="Tahoma"/>
                  <a:cs typeface="Tahoma"/>
                </a:rPr>
                <a:t>   Yc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(Yo)/Np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34</xdr:row>
          <xdr:rowOff>68580</xdr:rowOff>
        </xdr:from>
        <xdr:to>
          <xdr:col>28</xdr:col>
          <xdr:colOff>403860</xdr:colOff>
          <xdr:row>40</xdr:row>
          <xdr:rowOff>68580</xdr:rowOff>
        </xdr:to>
        <xdr:sp macro="" textlink="">
          <xdr:nvSpPr>
            <xdr:cNvPr id="33800" name="Comment 8" hidden="1">
              <a:extLst>
                <a:ext uri="{FF2B5EF4-FFF2-40B4-BE49-F238E27FC236}">
                  <a16:creationId xmlns:a16="http://schemas.microsoft.com/office/drawing/2014/main" id="{10207D86-7006-4F91-8F9D-AB6BD5FB2562}"/>
                </a:ext>
              </a:extLst>
            </xdr:cNvPr>
            <xdr:cNvSpPr txBox="1">
              <a:spLocks noChangeArrowheads="1"/>
            </xdr:cNvSpPr>
          </xdr:nvSpPr>
          <xdr:spPr bwMode="auto">
            <a:xfrm>
              <a:off x="5402580" y="5798820"/>
              <a:ext cx="2407920" cy="9982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orientation of the principal axes, is defined by the rotation angle,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from the centroidal axes and is calculated as follows:</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a:t>
              </a:r>
              <a:r>
                <a:rPr lang="en-US" sz="800" b="0" i="0" u="none" strike="noStrike" baseline="0%">
                  <a:solidFill>
                    <a:srgbClr val="000000"/>
                  </a:solidFill>
                  <a:latin typeface="Tahoma"/>
                  <a:ea typeface="Tahoma"/>
                  <a:cs typeface="Tahoma"/>
                </a:rPr>
                <a:t> = (ATAN(-2*Ixy/(Ix-Iy)))/2</a:t>
              </a:r>
            </a:p>
            <a:p>
              <a:pPr algn="l" rtl="0">
                <a:defRPr sz="1000"/>
              </a:pPr>
              <a:r>
                <a:rPr lang="en-US" sz="800" b="0" i="0" u="none" strike="noStrike" baseline="0%">
                  <a:solidFill>
                    <a:srgbClr val="000000"/>
                  </a:solidFill>
                  <a:latin typeface="Tahoma"/>
                  <a:ea typeface="Tahoma"/>
                  <a:cs typeface="Tahoma"/>
                </a:rPr>
                <a:t>Note: sign convention is positive (+) ccw.</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 0  for a pile group with at least one</a:t>
              </a:r>
            </a:p>
            <a:p>
              <a:pPr algn="l" rtl="0">
                <a:defRPr sz="1000"/>
              </a:pPr>
              <a:r>
                <a:rPr lang="en-US" sz="800" b="0" i="0" u="none" strike="noStrike" baseline="0%">
                  <a:solidFill>
                    <a:srgbClr val="000000"/>
                  </a:solidFill>
                  <a:latin typeface="Tahoma"/>
                  <a:ea typeface="Tahoma"/>
                  <a:cs typeface="Tahoma"/>
                </a:rPr>
                <a:t>          axis of symmetry.</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38</xdr:row>
          <xdr:rowOff>68580</xdr:rowOff>
        </xdr:from>
        <xdr:to>
          <xdr:col>6</xdr:col>
          <xdr:colOff>449580</xdr:colOff>
          <xdr:row>42</xdr:row>
          <xdr:rowOff>121920</xdr:rowOff>
        </xdr:to>
        <xdr:sp macro="" textlink="">
          <xdr:nvSpPr>
            <xdr:cNvPr id="33801" name="Comment 9" hidden="1">
              <a:extLst>
                <a:ext uri="{FF2B5EF4-FFF2-40B4-BE49-F238E27FC236}">
                  <a16:creationId xmlns:a16="http://schemas.microsoft.com/office/drawing/2014/main" id="{93A8CD37-BE6D-48E3-A49D-A98DBBCD950E}"/>
                </a:ext>
              </a:extLst>
            </xdr:cNvPr>
            <xdr:cNvSpPr txBox="1">
              <a:spLocks noChangeArrowheads="1"/>
            </xdr:cNvSpPr>
          </xdr:nvSpPr>
          <xdr:spPr bwMode="auto">
            <a:xfrm>
              <a:off x="1546860" y="6461760"/>
              <a:ext cx="2979420" cy="723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piers must be located in the positive 1st quadrant.  That is, all pier X, Y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pier coordinates, or those cell values should be input = 0.</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39</xdr:row>
          <xdr:rowOff>68580</xdr:rowOff>
        </xdr:from>
        <xdr:to>
          <xdr:col>5</xdr:col>
          <xdr:colOff>99060</xdr:colOff>
          <xdr:row>41</xdr:row>
          <xdr:rowOff>45720</xdr:rowOff>
        </xdr:to>
        <xdr:sp macro="" textlink="">
          <xdr:nvSpPr>
            <xdr:cNvPr id="33802" name="Comment 10" hidden="1">
              <a:extLst>
                <a:ext uri="{FF2B5EF4-FFF2-40B4-BE49-F238E27FC236}">
                  <a16:creationId xmlns:a16="http://schemas.microsoft.com/office/drawing/2014/main" id="{5E7E6126-FC9D-44A4-8345-28AA97C29B27}"/>
                </a:ext>
              </a:extLst>
            </xdr:cNvPr>
            <xdr:cNvSpPr txBox="1">
              <a:spLocks noChangeArrowheads="1"/>
            </xdr:cNvSpPr>
          </xdr:nvSpPr>
          <xdr:spPr bwMode="auto">
            <a:xfrm>
              <a:off x="1546860" y="6629400"/>
              <a:ext cx="20040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 coordinate is the x-distance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40</xdr:row>
          <xdr:rowOff>68580</xdr:rowOff>
        </xdr:from>
        <xdr:to>
          <xdr:col>5</xdr:col>
          <xdr:colOff>99060</xdr:colOff>
          <xdr:row>42</xdr:row>
          <xdr:rowOff>45720</xdr:rowOff>
        </xdr:to>
        <xdr:sp macro="" textlink="">
          <xdr:nvSpPr>
            <xdr:cNvPr id="33803" name="Comment 11" hidden="1">
              <a:extLst>
                <a:ext uri="{FF2B5EF4-FFF2-40B4-BE49-F238E27FC236}">
                  <a16:creationId xmlns:a16="http://schemas.microsoft.com/office/drawing/2014/main" id="{FC08F9D8-08CA-44E7-9303-174109C3BBA3}"/>
                </a:ext>
              </a:extLst>
            </xdr:cNvPr>
            <xdr:cNvSpPr txBox="1">
              <a:spLocks noChangeArrowheads="1"/>
            </xdr:cNvSpPr>
          </xdr:nvSpPr>
          <xdr:spPr bwMode="auto">
            <a:xfrm>
              <a:off x="1546860" y="6797040"/>
              <a:ext cx="20040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 coordinate is the y-distance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41</xdr:row>
          <xdr:rowOff>68580</xdr:rowOff>
        </xdr:from>
        <xdr:to>
          <xdr:col>6</xdr:col>
          <xdr:colOff>274320</xdr:colOff>
          <xdr:row>47</xdr:row>
          <xdr:rowOff>68580</xdr:rowOff>
        </xdr:to>
        <xdr:sp macro="" textlink="">
          <xdr:nvSpPr>
            <xdr:cNvPr id="33804" name="Comment 12" hidden="1">
              <a:extLst>
                <a:ext uri="{FF2B5EF4-FFF2-40B4-BE49-F238E27FC236}">
                  <a16:creationId xmlns:a16="http://schemas.microsoft.com/office/drawing/2014/main" id="{79382062-CF01-4D1D-A967-64BF33224490}"/>
                </a:ext>
              </a:extLst>
            </xdr:cNvPr>
            <xdr:cNvSpPr txBox="1">
              <a:spLocks noChangeArrowheads="1"/>
            </xdr:cNvSpPr>
          </xdr:nvSpPr>
          <xdr:spPr bwMode="auto">
            <a:xfrm>
              <a:off x="1546860" y="6964680"/>
              <a:ext cx="280416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42</xdr:row>
          <xdr:rowOff>68580</xdr:rowOff>
        </xdr:from>
        <xdr:to>
          <xdr:col>6</xdr:col>
          <xdr:colOff>525780</xdr:colOff>
          <xdr:row>45</xdr:row>
          <xdr:rowOff>7620</xdr:rowOff>
        </xdr:to>
        <xdr:sp macro="" textlink="">
          <xdr:nvSpPr>
            <xdr:cNvPr id="33805" name="Comment 13" hidden="1">
              <a:extLst>
                <a:ext uri="{FF2B5EF4-FFF2-40B4-BE49-F238E27FC236}">
                  <a16:creationId xmlns:a16="http://schemas.microsoft.com/office/drawing/2014/main" id="{36B39283-EB30-46E9-9F01-D0E03FC625C4}"/>
                </a:ext>
              </a:extLst>
            </xdr:cNvPr>
            <xdr:cNvSpPr txBox="1">
              <a:spLocks noChangeArrowheads="1"/>
            </xdr:cNvSpPr>
          </xdr:nvSpPr>
          <xdr:spPr bwMode="auto">
            <a:xfrm>
              <a:off x="1546860" y="7132320"/>
              <a:ext cx="3055620" cy="4419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'Pz' is the vertical (Z-axis)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upward (out of page)</a:t>
              </a:r>
            </a:p>
            <a:p>
              <a:pPr algn="l" rtl="0">
                <a:defRPr sz="1000"/>
              </a:pPr>
              <a:r>
                <a:rPr lang="en-US" sz="800" b="0" i="0" u="none" strike="noStrike" baseline="0%">
                  <a:solidFill>
                    <a:srgbClr val="000000"/>
                  </a:solidFill>
                  <a:latin typeface="Tahoma"/>
                  <a:ea typeface="Tahoma"/>
                  <a:cs typeface="Tahoma"/>
                </a:rPr>
                <a:t>                            -  = downward (into page) for gravity loads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43</xdr:row>
          <xdr:rowOff>68580</xdr:rowOff>
        </xdr:from>
        <xdr:to>
          <xdr:col>7</xdr:col>
          <xdr:colOff>45720</xdr:colOff>
          <xdr:row>45</xdr:row>
          <xdr:rowOff>45720</xdr:rowOff>
        </xdr:to>
        <xdr:sp macro="" textlink="">
          <xdr:nvSpPr>
            <xdr:cNvPr id="33806" name="Comment 14" hidden="1">
              <a:extLst>
                <a:ext uri="{FF2B5EF4-FFF2-40B4-BE49-F238E27FC236}">
                  <a16:creationId xmlns:a16="http://schemas.microsoft.com/office/drawing/2014/main" id="{0840CAA6-701D-4568-ADC1-6625E7893C7A}"/>
                </a:ext>
              </a:extLst>
            </xdr:cNvPr>
            <xdr:cNvSpPr txBox="1">
              <a:spLocks noChangeArrowheads="1"/>
            </xdr:cNvSpPr>
          </xdr:nvSpPr>
          <xdr:spPr bwMode="auto">
            <a:xfrm>
              <a:off x="1546860" y="7299960"/>
              <a:ext cx="32004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'Hx' is the horizontal (X-axis) load to be applied at the pier location.</a:t>
              </a:r>
            </a:p>
            <a:p>
              <a:pPr algn="l" rtl="0">
                <a:defRPr sz="1000"/>
              </a:pPr>
              <a:r>
                <a:rPr lang="en-US" sz="800" b="0" i="0" u="none" strike="noStrike" baseline="0%">
                  <a:solidFill>
                    <a:srgbClr val="000000"/>
                  </a:solidFill>
                  <a:latin typeface="Tahoma"/>
                  <a:ea typeface="Tahoma"/>
                  <a:cs typeface="Tahoma"/>
                </a:rPr>
                <a:t>Sign convention: + = to right</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44</xdr:row>
          <xdr:rowOff>68580</xdr:rowOff>
        </xdr:from>
        <xdr:to>
          <xdr:col>7</xdr:col>
          <xdr:colOff>45720</xdr:colOff>
          <xdr:row>46</xdr:row>
          <xdr:rowOff>45720</xdr:rowOff>
        </xdr:to>
        <xdr:sp macro="" textlink="">
          <xdr:nvSpPr>
            <xdr:cNvPr id="33807" name="Comment 15" hidden="1">
              <a:extLst>
                <a:ext uri="{FF2B5EF4-FFF2-40B4-BE49-F238E27FC236}">
                  <a16:creationId xmlns:a16="http://schemas.microsoft.com/office/drawing/2014/main" id="{006BCC1F-E7FF-48B3-8E00-51AFF581F1BE}"/>
                </a:ext>
              </a:extLst>
            </xdr:cNvPr>
            <xdr:cNvSpPr txBox="1">
              <a:spLocks noChangeArrowheads="1"/>
            </xdr:cNvSpPr>
          </xdr:nvSpPr>
          <xdr:spPr bwMode="auto">
            <a:xfrm>
              <a:off x="1546860" y="7467600"/>
              <a:ext cx="32004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'Hy' is the horizontal (Y-axis)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 the page</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45</xdr:row>
          <xdr:rowOff>68580</xdr:rowOff>
        </xdr:from>
        <xdr:to>
          <xdr:col>6</xdr:col>
          <xdr:colOff>274320</xdr:colOff>
          <xdr:row>47</xdr:row>
          <xdr:rowOff>45720</xdr:rowOff>
        </xdr:to>
        <xdr:sp macro="" textlink="">
          <xdr:nvSpPr>
            <xdr:cNvPr id="33808" name="Comment 16" hidden="1">
              <a:extLst>
                <a:ext uri="{FF2B5EF4-FFF2-40B4-BE49-F238E27FC236}">
                  <a16:creationId xmlns:a16="http://schemas.microsoft.com/office/drawing/2014/main" id="{99A3BE79-50B1-4C5E-8794-FAB4C1A8F873}"/>
                </a:ext>
              </a:extLst>
            </xdr:cNvPr>
            <xdr:cNvSpPr txBox="1">
              <a:spLocks noChangeArrowheads="1"/>
            </xdr:cNvSpPr>
          </xdr:nvSpPr>
          <xdr:spPr bwMode="auto">
            <a:xfrm>
              <a:off x="1546860" y="7635240"/>
              <a:ext cx="28041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'Mx' is the X-axis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46</xdr:row>
          <xdr:rowOff>68580</xdr:rowOff>
        </xdr:from>
        <xdr:to>
          <xdr:col>6</xdr:col>
          <xdr:colOff>274320</xdr:colOff>
          <xdr:row>48</xdr:row>
          <xdr:rowOff>45720</xdr:rowOff>
        </xdr:to>
        <xdr:sp macro="" textlink="">
          <xdr:nvSpPr>
            <xdr:cNvPr id="33809" name="Comment 17" hidden="1">
              <a:extLst>
                <a:ext uri="{FF2B5EF4-FFF2-40B4-BE49-F238E27FC236}">
                  <a16:creationId xmlns:a16="http://schemas.microsoft.com/office/drawing/2014/main" id="{E9217008-7A0B-401D-A437-0AB7AE3C20A3}"/>
                </a:ext>
              </a:extLst>
            </xdr:cNvPr>
            <xdr:cNvSpPr txBox="1">
              <a:spLocks noChangeArrowheads="1"/>
            </xdr:cNvSpPr>
          </xdr:nvSpPr>
          <xdr:spPr bwMode="auto">
            <a:xfrm>
              <a:off x="1546860" y="7802880"/>
              <a:ext cx="28041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'My' is the Y-axis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47</xdr:row>
          <xdr:rowOff>68580</xdr:rowOff>
        </xdr:from>
        <xdr:to>
          <xdr:col>6</xdr:col>
          <xdr:colOff>274320</xdr:colOff>
          <xdr:row>49</xdr:row>
          <xdr:rowOff>45720</xdr:rowOff>
        </xdr:to>
        <xdr:sp macro="" textlink="">
          <xdr:nvSpPr>
            <xdr:cNvPr id="33810" name="Comment 18" hidden="1">
              <a:extLst>
                <a:ext uri="{FF2B5EF4-FFF2-40B4-BE49-F238E27FC236}">
                  <a16:creationId xmlns:a16="http://schemas.microsoft.com/office/drawing/2014/main" id="{D916C02E-3932-4E1B-A9F9-70555BAA677C}"/>
                </a:ext>
              </a:extLst>
            </xdr:cNvPr>
            <xdr:cNvSpPr txBox="1">
              <a:spLocks noChangeArrowheads="1"/>
            </xdr:cNvSpPr>
          </xdr:nvSpPr>
          <xdr:spPr bwMode="auto">
            <a:xfrm>
              <a:off x="1546860" y="7970520"/>
              <a:ext cx="28041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'Mz' is the Z-axis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37</xdr:row>
          <xdr:rowOff>68580</xdr:rowOff>
        </xdr:from>
        <xdr:to>
          <xdr:col>28</xdr:col>
          <xdr:colOff>236220</xdr:colOff>
          <xdr:row>40</xdr:row>
          <xdr:rowOff>22860</xdr:rowOff>
        </xdr:to>
        <xdr:sp macro="" textlink="">
          <xdr:nvSpPr>
            <xdr:cNvPr id="33811" name="Comment 19" hidden="1">
              <a:extLst>
                <a:ext uri="{FF2B5EF4-FFF2-40B4-BE49-F238E27FC236}">
                  <a16:creationId xmlns:a16="http://schemas.microsoft.com/office/drawing/2014/main" id="{CB61F027-3FBD-43F5-9D08-52E554ADE60F}"/>
                </a:ext>
              </a:extLst>
            </xdr:cNvPr>
            <xdr:cNvSpPr txBox="1">
              <a:spLocks noChangeArrowheads="1"/>
            </xdr:cNvSpPr>
          </xdr:nvSpPr>
          <xdr:spPr bwMode="auto">
            <a:xfrm>
              <a:off x="5402580" y="6301740"/>
              <a:ext cx="2240280" cy="4495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Pz = sum of all applied vertical (Z-axis)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+Z-axis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38</xdr:row>
          <xdr:rowOff>68580</xdr:rowOff>
        </xdr:from>
        <xdr:to>
          <xdr:col>28</xdr:col>
          <xdr:colOff>388620</xdr:colOff>
          <xdr:row>41</xdr:row>
          <xdr:rowOff>7620</xdr:rowOff>
        </xdr:to>
        <xdr:sp macro="" textlink="">
          <xdr:nvSpPr>
            <xdr:cNvPr id="33812" name="Comment 20" hidden="1">
              <a:extLst>
                <a:ext uri="{FF2B5EF4-FFF2-40B4-BE49-F238E27FC236}">
                  <a16:creationId xmlns:a16="http://schemas.microsoft.com/office/drawing/2014/main" id="{0DEF6993-1872-4500-9A7F-AC71A970F54C}"/>
                </a:ext>
              </a:extLst>
            </xdr:cNvPr>
            <xdr:cNvSpPr txBox="1">
              <a:spLocks noChangeArrowheads="1"/>
            </xdr:cNvSpPr>
          </xdr:nvSpPr>
          <xdr:spPr bwMode="auto">
            <a:xfrm>
              <a:off x="5402580" y="6461760"/>
              <a:ext cx="2392680" cy="4419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Hx = sum of all applied horizontal (X-axis)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+X-axis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39</xdr:row>
          <xdr:rowOff>68580</xdr:rowOff>
        </xdr:from>
        <xdr:to>
          <xdr:col>28</xdr:col>
          <xdr:colOff>388620</xdr:colOff>
          <xdr:row>42</xdr:row>
          <xdr:rowOff>7620</xdr:rowOff>
        </xdr:to>
        <xdr:sp macro="" textlink="">
          <xdr:nvSpPr>
            <xdr:cNvPr id="33813" name="Comment 21" hidden="1">
              <a:extLst>
                <a:ext uri="{FF2B5EF4-FFF2-40B4-BE49-F238E27FC236}">
                  <a16:creationId xmlns:a16="http://schemas.microsoft.com/office/drawing/2014/main" id="{04EA4F25-0618-4650-A9B4-EEFF47F7D148}"/>
                </a:ext>
              </a:extLst>
            </xdr:cNvPr>
            <xdr:cNvSpPr txBox="1">
              <a:spLocks noChangeArrowheads="1"/>
            </xdr:cNvSpPr>
          </xdr:nvSpPr>
          <xdr:spPr bwMode="auto">
            <a:xfrm>
              <a:off x="5402580" y="6629400"/>
              <a:ext cx="2392680" cy="4419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Hy = sum of all applied horizontal (Y-axis)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+Y-axis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40</xdr:row>
          <xdr:rowOff>68580</xdr:rowOff>
        </xdr:from>
        <xdr:to>
          <xdr:col>28</xdr:col>
          <xdr:colOff>335280</xdr:colOff>
          <xdr:row>44</xdr:row>
          <xdr:rowOff>129540</xdr:rowOff>
        </xdr:to>
        <xdr:sp macro="" textlink="">
          <xdr:nvSpPr>
            <xdr:cNvPr id="33814" name="Comment 22" hidden="1">
              <a:extLst>
                <a:ext uri="{FF2B5EF4-FFF2-40B4-BE49-F238E27FC236}">
                  <a16:creationId xmlns:a16="http://schemas.microsoft.com/office/drawing/2014/main" id="{FB12B2BA-08F2-4873-A63A-EA6FDD106DDA}"/>
                </a:ext>
              </a:extLst>
            </xdr:cNvPr>
            <xdr:cNvSpPr txBox="1">
              <a:spLocks noChangeArrowheads="1"/>
            </xdr:cNvSpPr>
          </xdr:nvSpPr>
          <xdr:spPr bwMode="auto">
            <a:xfrm>
              <a:off x="5402580" y="6797040"/>
              <a:ext cx="233934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Mx = sum of all applied X-axis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a:t>
              </a:r>
            </a:p>
            <a:p>
              <a:pPr algn="l" rtl="0">
                <a:defRPr sz="1000"/>
              </a:pPr>
              <a:r>
                <a:rPr lang="en-US" sz="800" b="0" i="0" u="none" strike="noStrike" baseline="0%">
                  <a:solidFill>
                    <a:srgbClr val="000000"/>
                  </a:solidFill>
                  <a:latin typeface="Tahoma"/>
                  <a:ea typeface="Tahoma"/>
                  <a:cs typeface="Tahoma"/>
                </a:rPr>
                <a:t>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41</xdr:row>
          <xdr:rowOff>68580</xdr:rowOff>
        </xdr:from>
        <xdr:to>
          <xdr:col>28</xdr:col>
          <xdr:colOff>335280</xdr:colOff>
          <xdr:row>45</xdr:row>
          <xdr:rowOff>129540</xdr:rowOff>
        </xdr:to>
        <xdr:sp macro="" textlink="">
          <xdr:nvSpPr>
            <xdr:cNvPr id="33815" name="Comment 23" hidden="1">
              <a:extLst>
                <a:ext uri="{FF2B5EF4-FFF2-40B4-BE49-F238E27FC236}">
                  <a16:creationId xmlns:a16="http://schemas.microsoft.com/office/drawing/2014/main" id="{8671EDE1-87AF-43FC-86AE-D1F3737E7736}"/>
                </a:ext>
              </a:extLst>
            </xdr:cNvPr>
            <xdr:cNvSpPr txBox="1">
              <a:spLocks noChangeArrowheads="1"/>
            </xdr:cNvSpPr>
          </xdr:nvSpPr>
          <xdr:spPr bwMode="auto">
            <a:xfrm>
              <a:off x="5402580" y="6964680"/>
              <a:ext cx="233934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My = sum of all applied Y-axis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a:t>
              </a:r>
            </a:p>
            <a:p>
              <a:pPr algn="l" rtl="0">
                <a:defRPr sz="1000"/>
              </a:pPr>
              <a:r>
                <a:rPr lang="en-US" sz="800" b="0" i="0" u="none" strike="noStrike" baseline="0%">
                  <a:solidFill>
                    <a:srgbClr val="000000"/>
                  </a:solidFill>
                  <a:latin typeface="Tahoma"/>
                  <a:ea typeface="Tahoma"/>
                  <a:cs typeface="Tahoma"/>
                </a:rPr>
                <a:t>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42</xdr:row>
          <xdr:rowOff>68580</xdr:rowOff>
        </xdr:from>
        <xdr:to>
          <xdr:col>28</xdr:col>
          <xdr:colOff>266700</xdr:colOff>
          <xdr:row>45</xdr:row>
          <xdr:rowOff>129540</xdr:rowOff>
        </xdr:to>
        <xdr:sp macro="" textlink="">
          <xdr:nvSpPr>
            <xdr:cNvPr id="33816" name="Comment 24" hidden="1">
              <a:extLst>
                <a:ext uri="{FF2B5EF4-FFF2-40B4-BE49-F238E27FC236}">
                  <a16:creationId xmlns:a16="http://schemas.microsoft.com/office/drawing/2014/main" id="{B7934C8C-A364-4FD6-BBE0-0CE3EC7F7E8C}"/>
                </a:ext>
              </a:extLst>
            </xdr:cNvPr>
            <xdr:cNvSpPr txBox="1">
              <a:spLocks noChangeArrowheads="1"/>
            </xdr:cNvSpPr>
          </xdr:nvSpPr>
          <xdr:spPr bwMode="auto">
            <a:xfrm>
              <a:off x="5402580" y="7132320"/>
              <a:ext cx="2270760" cy="5638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Mz = sum of all applied Z-axis moments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t>
              </a:r>
            </a:p>
            <a:p>
              <a:pPr algn="l" rtl="0">
                <a:defRPr sz="1000"/>
              </a:pPr>
              <a:r>
                <a:rPr lang="en-US" sz="800" b="0" i="0" u="none" strike="noStrike" baseline="0%">
                  <a:solidFill>
                    <a:srgbClr val="000000"/>
                  </a:solidFill>
                  <a:latin typeface="Tahoma"/>
                  <a:ea typeface="Tahoma"/>
                  <a:cs typeface="Tahoma"/>
                </a:rPr>
                <a:t>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76200</xdr:colOff>
          <xdr:row>9</xdr:row>
          <xdr:rowOff>68580</xdr:rowOff>
        </xdr:from>
        <xdr:to>
          <xdr:col>29</xdr:col>
          <xdr:colOff>617220</xdr:colOff>
          <xdr:row>16</xdr:row>
          <xdr:rowOff>60960</xdr:rowOff>
        </xdr:to>
        <xdr:sp macro="" textlink="">
          <xdr:nvSpPr>
            <xdr:cNvPr id="33817" name="Comment 25" hidden="1">
              <a:extLst>
                <a:ext uri="{FF2B5EF4-FFF2-40B4-BE49-F238E27FC236}">
                  <a16:creationId xmlns:a16="http://schemas.microsoft.com/office/drawing/2014/main" id="{057CD360-02D6-4904-99C3-EB4E18CF901E}"/>
                </a:ext>
              </a:extLst>
            </xdr:cNvPr>
            <xdr:cNvSpPr txBox="1">
              <a:spLocks noChangeArrowheads="1"/>
            </xdr:cNvSpPr>
          </xdr:nvSpPr>
          <xdr:spPr bwMode="auto">
            <a:xfrm>
              <a:off x="3528060" y="1607820"/>
              <a:ext cx="5120640" cy="11658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Pile Reaction, 'Rz', at each pile is calculated as follows:</a:t>
              </a:r>
            </a:p>
            <a:p>
              <a:pPr algn="l" rtl="0">
                <a:defRPr sz="1000"/>
              </a:pPr>
              <a:r>
                <a:rPr lang="en-US" sz="800" b="0" i="0" u="none" strike="noStrike" baseline="0%">
                  <a:solidFill>
                    <a:srgbClr val="000000"/>
                  </a:solidFill>
                  <a:latin typeface="Tahoma"/>
                  <a:ea typeface="Tahoma"/>
                  <a:cs typeface="Tahoma"/>
                </a:rPr>
                <a:t>   Rz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Pz)/Np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My)*Ix-(-</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Mx)*Ixy)/(Ix*Iy-Ixy^2)*Xp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Mx)*Iy-(</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My)*Ixy)/(Ix*Iy-Ixy^2)*Yp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Sign convention for 'Rz'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76200</xdr:colOff>
          <xdr:row>9</xdr:row>
          <xdr:rowOff>68580</xdr:rowOff>
        </xdr:from>
        <xdr:to>
          <xdr:col>28</xdr:col>
          <xdr:colOff>411480</xdr:colOff>
          <xdr:row>15</xdr:row>
          <xdr:rowOff>60960</xdr:rowOff>
        </xdr:to>
        <xdr:sp macro="" textlink="">
          <xdr:nvSpPr>
            <xdr:cNvPr id="33818" name="Comment 26" hidden="1">
              <a:extLst>
                <a:ext uri="{FF2B5EF4-FFF2-40B4-BE49-F238E27FC236}">
                  <a16:creationId xmlns:a16="http://schemas.microsoft.com/office/drawing/2014/main" id="{CCB6792E-DCCD-45EC-93F0-948766D42A98}"/>
                </a:ext>
              </a:extLst>
            </xdr:cNvPr>
            <xdr:cNvSpPr txBox="1">
              <a:spLocks noChangeArrowheads="1"/>
            </xdr:cNvSpPr>
          </xdr:nvSpPr>
          <xdr:spPr bwMode="auto">
            <a:xfrm>
              <a:off x="4152900" y="1607820"/>
              <a:ext cx="3665220" cy="9982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Horizontal Pile Reaction, 'Rh', at each pile is calculated as follows:</a:t>
              </a:r>
            </a:p>
            <a:p>
              <a:pPr algn="l" rtl="0">
                <a:defRPr sz="1000"/>
              </a:pPr>
              <a:r>
                <a:rPr lang="en-US" sz="800" b="0" i="0" u="none" strike="noStrike" baseline="0%">
                  <a:solidFill>
                    <a:srgbClr val="000000"/>
                  </a:solidFill>
                  <a:latin typeface="Tahoma"/>
                  <a:ea typeface="Tahoma"/>
                  <a:cs typeface="Tahoma"/>
                </a:rPr>
                <a:t>   Rh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Hx)/Np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Mz)*Yp/J)^2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Hy)/Np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Mz)*Xp/J)^2)^(1/2)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Note: 'Rh' is an "absolute" value with no particular sign convention, thus no</a:t>
              </a:r>
            </a:p>
            <a:p>
              <a:pPr algn="l" rtl="0">
                <a:defRPr sz="1000"/>
              </a:pPr>
              <a:r>
                <a:rPr lang="en-US" sz="800" b="0" i="0" u="none" strike="noStrike" baseline="0%">
                  <a:solidFill>
                    <a:srgbClr val="000000"/>
                  </a:solidFill>
                  <a:latin typeface="Tahoma"/>
                  <a:ea typeface="Tahoma"/>
                  <a:cs typeface="Tahoma"/>
                </a:rPr>
                <a:t>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106680</xdr:colOff>
          <xdr:row>8</xdr:row>
          <xdr:rowOff>68580</xdr:rowOff>
        </xdr:from>
        <xdr:to>
          <xdr:col>7</xdr:col>
          <xdr:colOff>114300</xdr:colOff>
          <xdr:row>13</xdr:row>
          <xdr:rowOff>91440</xdr:rowOff>
        </xdr:to>
        <xdr:sp macro="" textlink="">
          <xdr:nvSpPr>
            <xdr:cNvPr id="33819" name="Comment 27" hidden="1">
              <a:extLst>
                <a:ext uri="{FF2B5EF4-FFF2-40B4-BE49-F238E27FC236}">
                  <a16:creationId xmlns:a16="http://schemas.microsoft.com/office/drawing/2014/main" id="{8B944FA7-2646-4CBF-96AA-17A1D0215E11}"/>
                </a:ext>
              </a:extLst>
            </xdr:cNvPr>
            <xdr:cNvSpPr txBox="1">
              <a:spLocks noChangeArrowheads="1"/>
            </xdr:cNvSpPr>
          </xdr:nvSpPr>
          <xdr:spPr bwMode="auto">
            <a:xfrm>
              <a:off x="2171700" y="1440180"/>
              <a:ext cx="2644140" cy="8610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piles must be located in the positive 1st quadrant.  That is, all pile Xo, Yo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pile coordinates, or those cell values should be input = 0.</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9</xdr:row>
          <xdr:rowOff>68580</xdr:rowOff>
        </xdr:from>
        <xdr:to>
          <xdr:col>5</xdr:col>
          <xdr:colOff>76200</xdr:colOff>
          <xdr:row>11</xdr:row>
          <xdr:rowOff>45720</xdr:rowOff>
        </xdr:to>
        <xdr:sp macro="" textlink="">
          <xdr:nvSpPr>
            <xdr:cNvPr id="33820" name="Comment 28" hidden="1">
              <a:extLst>
                <a:ext uri="{FF2B5EF4-FFF2-40B4-BE49-F238E27FC236}">
                  <a16:creationId xmlns:a16="http://schemas.microsoft.com/office/drawing/2014/main" id="{2850977E-C3C6-4A9B-949D-A97E2322A9E3}"/>
                </a:ext>
              </a:extLst>
            </xdr:cNvPr>
            <xdr:cNvSpPr txBox="1">
              <a:spLocks noChangeArrowheads="1"/>
            </xdr:cNvSpPr>
          </xdr:nvSpPr>
          <xdr:spPr bwMode="auto">
            <a:xfrm>
              <a:off x="1546860" y="1607820"/>
              <a:ext cx="19812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'Xo' coordinate is the x-distance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106680</xdr:colOff>
          <xdr:row>9</xdr:row>
          <xdr:rowOff>68580</xdr:rowOff>
        </xdr:from>
        <xdr:to>
          <xdr:col>6</xdr:col>
          <xdr:colOff>76200</xdr:colOff>
          <xdr:row>11</xdr:row>
          <xdr:rowOff>45720</xdr:rowOff>
        </xdr:to>
        <xdr:sp macro="" textlink="">
          <xdr:nvSpPr>
            <xdr:cNvPr id="33821" name="Comment 29" hidden="1">
              <a:extLst>
                <a:ext uri="{FF2B5EF4-FFF2-40B4-BE49-F238E27FC236}">
                  <a16:creationId xmlns:a16="http://schemas.microsoft.com/office/drawing/2014/main" id="{ADFFD74B-1F02-461B-AC48-E659B37C434F}"/>
                </a:ext>
              </a:extLst>
            </xdr:cNvPr>
            <xdr:cNvSpPr txBox="1">
              <a:spLocks noChangeArrowheads="1"/>
            </xdr:cNvSpPr>
          </xdr:nvSpPr>
          <xdr:spPr bwMode="auto">
            <a:xfrm>
              <a:off x="2171700" y="1607820"/>
              <a:ext cx="19812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'Yo' coordinate is the y-distance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68580</xdr:colOff>
          <xdr:row>43</xdr:row>
          <xdr:rowOff>68580</xdr:rowOff>
        </xdr:from>
        <xdr:to>
          <xdr:col>28</xdr:col>
          <xdr:colOff>114300</xdr:colOff>
          <xdr:row>46</xdr:row>
          <xdr:rowOff>30480</xdr:rowOff>
        </xdr:to>
        <xdr:sp macro="" textlink="">
          <xdr:nvSpPr>
            <xdr:cNvPr id="33822" name="Comment 30" hidden="1">
              <a:extLst>
                <a:ext uri="{FF2B5EF4-FFF2-40B4-BE49-F238E27FC236}">
                  <a16:creationId xmlns:a16="http://schemas.microsoft.com/office/drawing/2014/main" id="{63CACBBE-FB25-4D0A-81ED-D964E160A23A}"/>
                </a:ext>
              </a:extLst>
            </xdr:cNvPr>
            <xdr:cNvSpPr txBox="1">
              <a:spLocks noChangeArrowheads="1"/>
            </xdr:cNvSpPr>
          </xdr:nvSpPr>
          <xdr:spPr bwMode="auto">
            <a:xfrm>
              <a:off x="5394960" y="7299960"/>
              <a:ext cx="212598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'Rz(max)'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46</xdr:row>
          <xdr:rowOff>68580</xdr:rowOff>
        </xdr:from>
        <xdr:to>
          <xdr:col>28</xdr:col>
          <xdr:colOff>129540</xdr:colOff>
          <xdr:row>49</xdr:row>
          <xdr:rowOff>30480</xdr:rowOff>
        </xdr:to>
        <xdr:sp macro="" textlink="">
          <xdr:nvSpPr>
            <xdr:cNvPr id="33823" name="Comment 31" hidden="1">
              <a:extLst>
                <a:ext uri="{FF2B5EF4-FFF2-40B4-BE49-F238E27FC236}">
                  <a16:creationId xmlns:a16="http://schemas.microsoft.com/office/drawing/2014/main" id="{8B26CEF1-2551-41FE-840A-A03A4894282B}"/>
                </a:ext>
              </a:extLst>
            </xdr:cNvPr>
            <xdr:cNvSpPr txBox="1">
              <a:spLocks noChangeArrowheads="1"/>
            </xdr:cNvSpPr>
          </xdr:nvSpPr>
          <xdr:spPr bwMode="auto">
            <a:xfrm>
              <a:off x="5402580" y="7802880"/>
              <a:ext cx="213360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'Rz(min)'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76200</xdr:colOff>
          <xdr:row>47</xdr:row>
          <xdr:rowOff>68580</xdr:rowOff>
        </xdr:from>
        <xdr:to>
          <xdr:col>27</xdr:col>
          <xdr:colOff>586740</xdr:colOff>
          <xdr:row>50</xdr:row>
          <xdr:rowOff>22860</xdr:rowOff>
        </xdr:to>
        <xdr:sp macro="" textlink="">
          <xdr:nvSpPr>
            <xdr:cNvPr id="33824" name="Comment 32" hidden="1">
              <a:extLst>
                <a:ext uri="{FF2B5EF4-FFF2-40B4-BE49-F238E27FC236}">
                  <a16:creationId xmlns:a16="http://schemas.microsoft.com/office/drawing/2014/main" id="{C0958D4A-48D2-4736-BE0C-E4A9B0C0C56C}"/>
                </a:ext>
              </a:extLst>
            </xdr:cNvPr>
            <xdr:cNvSpPr txBox="1">
              <a:spLocks noChangeArrowheads="1"/>
            </xdr:cNvSpPr>
          </xdr:nvSpPr>
          <xdr:spPr bwMode="auto">
            <a:xfrm>
              <a:off x="5402580" y="7970520"/>
              <a:ext cx="196596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Note: 'Rh(max)' is an "absolute" value</a:t>
              </a:r>
            </a:p>
            <a:p>
              <a:pPr algn="l" rtl="0">
                <a:defRPr sz="1000"/>
              </a:pPr>
              <a:r>
                <a:rPr lang="en-US" sz="800" b="0" i="0" u="none" strike="noStrike" baseline="0%">
                  <a:solidFill>
                    <a:srgbClr val="000000"/>
                  </a:solidFill>
                  <a:latin typeface="Tahoma"/>
                  <a:ea typeface="Tahoma"/>
                  <a:cs typeface="Tahoma"/>
                </a:rPr>
                <a:t>          with no particular sign convention,</a:t>
              </a:r>
            </a:p>
            <a:p>
              <a:pPr algn="l" rtl="0">
                <a:defRPr sz="1000"/>
              </a:pPr>
              <a:r>
                <a:rPr lang="en-US" sz="800" b="0" i="0" u="none" strike="noStrike" baseline="0%">
                  <a:solidFill>
                    <a:srgbClr val="000000"/>
                  </a:solidFill>
                  <a:latin typeface="Tahoma"/>
                  <a:ea typeface="Tahoma"/>
                  <a:cs typeface="Tahoma"/>
                </a:rPr>
                <a:t>          thus no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29</xdr:col>
          <xdr:colOff>213360</xdr:colOff>
          <xdr:row>0</xdr:row>
          <xdr:rowOff>106680</xdr:rowOff>
        </xdr:from>
        <xdr:to>
          <xdr:col>31</xdr:col>
          <xdr:colOff>175260</xdr:colOff>
          <xdr:row>7</xdr:row>
          <xdr:rowOff>38100</xdr:rowOff>
        </xdr:to>
        <xdr:sp macro="" textlink="">
          <xdr:nvSpPr>
            <xdr:cNvPr id="33828" name="Comment 36" hidden="1">
              <a:extLst>
                <a:ext uri="{FF2B5EF4-FFF2-40B4-BE49-F238E27FC236}">
                  <a16:creationId xmlns:a16="http://schemas.microsoft.com/office/drawing/2014/main" id="{A34D803F-9FC4-4327-A673-A619882CD6CB}"/>
                </a:ext>
              </a:extLst>
            </xdr:cNvPr>
            <xdr:cNvSpPr txBox="1">
              <a:spLocks noChangeArrowheads="1"/>
            </xdr:cNvSpPr>
          </xdr:nvSpPr>
          <xdr:spPr bwMode="auto">
            <a:xfrm>
              <a:off x="8244840" y="106680"/>
              <a:ext cx="1211580" cy="11353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user may manually adjust the scaling of the plotted pile group by adjusting the "X" and "Y" plot scale factors below.  The object is to try to equalize the maximum X-axis and Y-axis values which are shown.</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144780</xdr:colOff>
          <xdr:row>7</xdr:row>
          <xdr:rowOff>68580</xdr:rowOff>
        </xdr:from>
        <xdr:to>
          <xdr:col>6</xdr:col>
          <xdr:colOff>205740</xdr:colOff>
          <xdr:row>9</xdr:row>
          <xdr:rowOff>60960</xdr:rowOff>
        </xdr:to>
        <xdr:sp macro="" textlink="">
          <xdr:nvSpPr>
            <xdr:cNvPr id="33849" name="Comment 57" hidden="1">
              <a:extLst>
                <a:ext uri="{FF2B5EF4-FFF2-40B4-BE49-F238E27FC236}">
                  <a16:creationId xmlns:a16="http://schemas.microsoft.com/office/drawing/2014/main" id="{99F7BD79-37B2-4D2B-83B1-D5FB6E894C0F}"/>
                </a:ext>
              </a:extLst>
            </xdr:cNvPr>
            <xdr:cNvSpPr txBox="1">
              <a:spLocks noChangeArrowheads="1"/>
            </xdr:cNvSpPr>
          </xdr:nvSpPr>
          <xdr:spPr bwMode="auto">
            <a:xfrm>
              <a:off x="2209800" y="1272540"/>
              <a:ext cx="2072640" cy="3276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2.</a:t>
              </a:r>
            </a:p>
            <a:p>
              <a:pPr algn="l" rtl="0">
                <a:defRPr sz="1000"/>
              </a:pPr>
              <a:r>
                <a:rPr lang="en-US" sz="800" b="1" i="0" u="none" strike="noStrike" baseline="0%">
                  <a:solidFill>
                    <a:srgbClr val="000000"/>
                  </a:solidFill>
                  <a:latin typeface="Tahoma"/>
                  <a:ea typeface="Tahoma"/>
                  <a:cs typeface="Tahoma"/>
                </a:rPr>
                <a:t>The maximum number of piles = 25.</a:t>
              </a:r>
            </a:p>
          </xdr:txBody>
        </xdr:sp>
        <xdr:clientData/>
      </xdr:twoCellAnchor>
    </mc:Fallback>
  </mc:AlternateContent>
  <mc:AlternateContent xmlns:mc="http://schemas.openxmlformats.org/markup-compatibility/2006">
    <mc:Choice xmlns:v="urn:schemas-microsoft-com:vml" Requires="v"/>
    <mc:Fallback>
      <xdr:twoCellAnchor editAs="absolute">
        <xdr:from>
          <xdr:col>33</xdr:col>
          <xdr:colOff>213360</xdr:colOff>
          <xdr:row>56</xdr:row>
          <xdr:rowOff>68580</xdr:rowOff>
        </xdr:from>
        <xdr:to>
          <xdr:col>36</xdr:col>
          <xdr:colOff>449580</xdr:colOff>
          <xdr:row>58</xdr:row>
          <xdr:rowOff>60960</xdr:rowOff>
        </xdr:to>
        <xdr:sp macro="" textlink="">
          <xdr:nvSpPr>
            <xdr:cNvPr id="33854" name="Comment 62" hidden="1">
              <a:extLst>
                <a:ext uri="{FF2B5EF4-FFF2-40B4-BE49-F238E27FC236}">
                  <a16:creationId xmlns:a16="http://schemas.microsoft.com/office/drawing/2014/main" id="{3C6680E8-EE6F-4957-9BE3-7BCFABDC144C}"/>
                </a:ext>
              </a:extLst>
            </xdr:cNvPr>
            <xdr:cNvSpPr txBox="1">
              <a:spLocks noChangeArrowheads="1"/>
            </xdr:cNvSpPr>
          </xdr:nvSpPr>
          <xdr:spPr bwMode="auto">
            <a:xfrm>
              <a:off x="10744200" y="9479280"/>
              <a:ext cx="2110740" cy="3276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3.</a:t>
              </a:r>
            </a:p>
            <a:p>
              <a:pPr algn="l" rtl="0">
                <a:defRPr sz="1000"/>
              </a:pPr>
              <a:r>
                <a:rPr lang="en-US" sz="800" b="1" i="0" u="none" strike="noStrike" baseline="0%">
                  <a:solidFill>
                    <a:srgbClr val="000000"/>
                  </a:solidFill>
                  <a:latin typeface="Tahoma"/>
                  <a:ea typeface="Tahoma"/>
                  <a:cs typeface="Tahoma"/>
                </a:rPr>
                <a:t>The maximum number of piles = 25.</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144780</xdr:colOff>
          <xdr:row>30</xdr:row>
          <xdr:rowOff>68580</xdr:rowOff>
        </xdr:from>
        <xdr:to>
          <xdr:col>28</xdr:col>
          <xdr:colOff>7620</xdr:colOff>
          <xdr:row>36</xdr:row>
          <xdr:rowOff>99060</xdr:rowOff>
        </xdr:to>
        <xdr:sp macro="" textlink="">
          <xdr:nvSpPr>
            <xdr:cNvPr id="33989" name="Comment 197" hidden="1">
              <a:extLst>
                <a:ext uri="{FF2B5EF4-FFF2-40B4-BE49-F238E27FC236}">
                  <a16:creationId xmlns:a16="http://schemas.microsoft.com/office/drawing/2014/main" id="{1C0828CF-B82E-4948-ABB8-FE5D2FE95DB3}"/>
                </a:ext>
              </a:extLst>
            </xdr:cNvPr>
            <xdr:cNvSpPr txBox="1">
              <a:spLocks noChangeArrowheads="1"/>
            </xdr:cNvSpPr>
          </xdr:nvSpPr>
          <xdr:spPr bwMode="auto">
            <a:xfrm>
              <a:off x="5471160" y="5128260"/>
              <a:ext cx="1943100" cy="10363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X-axis Moment of Inertia, 'Ix',  for the pile group is calculated as follows:</a:t>
              </a:r>
            </a:p>
            <a:p>
              <a:pPr algn="l" rtl="0">
                <a:defRPr sz="1000"/>
              </a:pPr>
              <a:r>
                <a:rPr lang="en-US" sz="800" b="0" i="0" u="none" strike="noStrike" baseline="0%">
                  <a:solidFill>
                    <a:srgbClr val="000000"/>
                  </a:solidFill>
                  <a:latin typeface="Tahoma"/>
                  <a:ea typeface="Tahoma"/>
                  <a:cs typeface="Tahoma"/>
                </a:rPr>
                <a:t>   Ix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(dy)^2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 </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144780</xdr:colOff>
          <xdr:row>31</xdr:row>
          <xdr:rowOff>68580</xdr:rowOff>
        </xdr:from>
        <xdr:to>
          <xdr:col>28</xdr:col>
          <xdr:colOff>7620</xdr:colOff>
          <xdr:row>37</xdr:row>
          <xdr:rowOff>76200</xdr:rowOff>
        </xdr:to>
        <xdr:sp macro="" textlink="">
          <xdr:nvSpPr>
            <xdr:cNvPr id="33990" name="Comment 198" hidden="1">
              <a:extLst>
                <a:ext uri="{FF2B5EF4-FFF2-40B4-BE49-F238E27FC236}">
                  <a16:creationId xmlns:a16="http://schemas.microsoft.com/office/drawing/2014/main" id="{4923C790-EBAA-4F26-9C2F-4CD6AA5160C2}"/>
                </a:ext>
              </a:extLst>
            </xdr:cNvPr>
            <xdr:cNvSpPr txBox="1">
              <a:spLocks noChangeArrowheads="1"/>
            </xdr:cNvSpPr>
          </xdr:nvSpPr>
          <xdr:spPr bwMode="auto">
            <a:xfrm>
              <a:off x="5471160" y="5295900"/>
              <a:ext cx="1943100" cy="10134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Y-axis Moment of Inertia, 'Iy',  for the pile group is calculated as follows:</a:t>
              </a:r>
            </a:p>
            <a:p>
              <a:pPr algn="l" rtl="0">
                <a:defRPr sz="1000"/>
              </a:pPr>
              <a:r>
                <a:rPr lang="en-US" sz="800" b="0" i="0" u="none" strike="noStrike" baseline="0%">
                  <a:solidFill>
                    <a:srgbClr val="000000"/>
                  </a:solidFill>
                  <a:latin typeface="Tahoma"/>
                  <a:ea typeface="Tahoma"/>
                  <a:cs typeface="Tahoma"/>
                </a:rPr>
                <a:t>   Iy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 </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144780</xdr:colOff>
          <xdr:row>32</xdr:row>
          <xdr:rowOff>68580</xdr:rowOff>
        </xdr:from>
        <xdr:to>
          <xdr:col>28</xdr:col>
          <xdr:colOff>7620</xdr:colOff>
          <xdr:row>35</xdr:row>
          <xdr:rowOff>22860</xdr:rowOff>
        </xdr:to>
        <xdr:sp macro="" textlink="">
          <xdr:nvSpPr>
            <xdr:cNvPr id="33991" name="Comment 199" hidden="1">
              <a:extLst>
                <a:ext uri="{FF2B5EF4-FFF2-40B4-BE49-F238E27FC236}">
                  <a16:creationId xmlns:a16="http://schemas.microsoft.com/office/drawing/2014/main" id="{B538BF57-C502-490D-99E8-5AF4155D7A38}"/>
                </a:ext>
              </a:extLst>
            </xdr:cNvPr>
            <xdr:cNvSpPr txBox="1">
              <a:spLocks noChangeArrowheads="1"/>
            </xdr:cNvSpPr>
          </xdr:nvSpPr>
          <xdr:spPr bwMode="auto">
            <a:xfrm>
              <a:off x="5471160" y="5463540"/>
              <a:ext cx="194310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Polar Moment of Inertia for the pile group is calculated as follows:</a:t>
              </a:r>
            </a:p>
            <a:p>
              <a:pPr algn="l" rtl="0">
                <a:defRPr sz="1000"/>
              </a:pPr>
              <a:r>
                <a:rPr lang="en-US" sz="800" b="0" i="0" u="none" strike="noStrike" baseline="0%">
                  <a:solidFill>
                    <a:srgbClr val="000000"/>
                  </a:solidFill>
                  <a:latin typeface="Tahoma"/>
                  <a:ea typeface="Tahoma"/>
                  <a:cs typeface="Tahoma"/>
                </a:rPr>
                <a:t>   J = Ix+Iy</a:t>
              </a: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144780</xdr:colOff>
          <xdr:row>33</xdr:row>
          <xdr:rowOff>68580</xdr:rowOff>
        </xdr:from>
        <xdr:to>
          <xdr:col>28</xdr:col>
          <xdr:colOff>45720</xdr:colOff>
          <xdr:row>42</xdr:row>
          <xdr:rowOff>137160</xdr:rowOff>
        </xdr:to>
        <xdr:sp macro="" textlink="">
          <xdr:nvSpPr>
            <xdr:cNvPr id="33992" name="Comment 200" hidden="1">
              <a:extLst>
                <a:ext uri="{FF2B5EF4-FFF2-40B4-BE49-F238E27FC236}">
                  <a16:creationId xmlns:a16="http://schemas.microsoft.com/office/drawing/2014/main" id="{F64D995A-7D55-4278-8B45-69291CD0A042}"/>
                </a:ext>
              </a:extLst>
            </xdr:cNvPr>
            <xdr:cNvSpPr txBox="1">
              <a:spLocks noChangeArrowheads="1"/>
            </xdr:cNvSpPr>
          </xdr:nvSpPr>
          <xdr:spPr bwMode="auto">
            <a:xfrm>
              <a:off x="5471160" y="5631180"/>
              <a:ext cx="1981200" cy="15697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Product Moment of Inertia, 'Ixy', for the pile group is calculated as follows:</a:t>
              </a:r>
            </a:p>
            <a:p>
              <a:pPr algn="l" rtl="0">
                <a:defRPr sz="1000"/>
              </a:pPr>
              <a:r>
                <a:rPr lang="en-US" sz="800" b="0" i="0" u="none" strike="noStrike" baseline="0%">
                  <a:solidFill>
                    <a:srgbClr val="000000"/>
                  </a:solidFill>
                  <a:latin typeface="Tahoma"/>
                  <a:ea typeface="Tahoma"/>
                  <a:cs typeface="Tahoma"/>
                </a:rPr>
                <a:t>   Ixy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(dx*dy)</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a:t>
              </a:r>
            </a:p>
            <a:p>
              <a:pPr algn="l" rtl="0">
                <a:defRPr sz="1000"/>
              </a:pPr>
              <a:r>
                <a:rPr lang="en-US" sz="800" b="0" i="0" u="none" strike="noStrike" baseline="0%">
                  <a:solidFill>
                    <a:srgbClr val="000000"/>
                  </a:solidFill>
                  <a:latin typeface="Tahoma"/>
                  <a:ea typeface="Tahoma"/>
                  <a:cs typeface="Tahoma"/>
                </a:rPr>
                <a:t>Note:  'Ixy' = 0  for a pile group with at</a:t>
              </a:r>
            </a:p>
            <a:p>
              <a:pPr algn="l" rtl="0">
                <a:defRPr sz="1000"/>
              </a:pPr>
              <a:r>
                <a:rPr lang="en-US" sz="800" b="0" i="0" u="none" strike="noStrike" baseline="0%">
                  <a:solidFill>
                    <a:srgbClr val="000000"/>
                  </a:solidFill>
                  <a:latin typeface="Tahoma"/>
                  <a:ea typeface="Tahoma"/>
                  <a:cs typeface="Tahoma"/>
                </a:rPr>
                <a:t>           least one axis of symmetry.</a:t>
              </a:r>
            </a:p>
          </xdr:txBody>
        </xdr:sp>
        <xdr:clientData/>
      </xdr:twoCellAnchor>
    </mc:Fallback>
  </mc:AlternateContent>
</xdr:wsDr>
</file>

<file path=xl/drawings/drawing3.xml><?xml version="1.0" encoding="utf-8"?>
<xdr:wsDr xmlns:xdr="http://purl.oclc.org/ooxml/drawingml/spreadsheetDrawing" xmlns:a="http://purl.oclc.org/ooxml/drawingml/main">
  <xdr:twoCellAnchor>
    <xdr:from>
      <xdr:col>27</xdr:col>
      <xdr:colOff>0</xdr:colOff>
      <xdr:row>1</xdr:row>
      <xdr:rowOff>0</xdr:rowOff>
    </xdr:from>
    <xdr:to>
      <xdr:col>29</xdr:col>
      <xdr:colOff>0</xdr:colOff>
      <xdr:row>4</xdr:row>
      <xdr:rowOff>0</xdr:rowOff>
    </xdr:to>
    <xdr:sp macro="" textlink="">
      <xdr:nvSpPr>
        <xdr:cNvPr id="9417" name="Rectangle 201">
          <a:extLst>
            <a:ext uri="{FF2B5EF4-FFF2-40B4-BE49-F238E27FC236}">
              <a16:creationId xmlns:a16="http://schemas.microsoft.com/office/drawing/2014/main" id="{9CD74A64-C94D-40CA-9D84-7C35C870D0B2}"/>
            </a:ext>
          </a:extLst>
        </xdr:cNvPr>
        <xdr:cNvSpPr>
          <a:spLocks noChangeArrowheads="1"/>
        </xdr:cNvSpPr>
      </xdr:nvSpPr>
      <xdr:spPr bwMode="auto">
        <a:xfrm>
          <a:off x="6819900" y="198120"/>
          <a:ext cx="1249680" cy="50292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ffectLst>
          <a:outerShdw dist="107763"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3</xdr:col>
      <xdr:colOff>182880</xdr:colOff>
      <xdr:row>52</xdr:row>
      <xdr:rowOff>38100</xdr:rowOff>
    </xdr:from>
    <xdr:to>
      <xdr:col>8</xdr:col>
      <xdr:colOff>807720</xdr:colOff>
      <xdr:row>70</xdr:row>
      <xdr:rowOff>137160</xdr:rowOff>
    </xdr:to>
    <xdr:graphicFrame macro="">
      <xdr:nvGraphicFramePr>
        <xdr:cNvPr id="9419" name="Chart 203">
          <a:extLst>
            <a:ext uri="{FF2B5EF4-FFF2-40B4-BE49-F238E27FC236}">
              <a16:creationId xmlns:a16="http://schemas.microsoft.com/office/drawing/2014/main" id="{60201E0F-79A1-466B-9B6F-71AF473D37D7}"/>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3</xdr:col>
      <xdr:colOff>320040</xdr:colOff>
      <xdr:row>56</xdr:row>
      <xdr:rowOff>91440</xdr:rowOff>
    </xdr:from>
    <xdr:to>
      <xdr:col>3</xdr:col>
      <xdr:colOff>320040</xdr:colOff>
      <xdr:row>58</xdr:row>
      <xdr:rowOff>129540</xdr:rowOff>
    </xdr:to>
    <xdr:sp macro="" textlink="">
      <xdr:nvSpPr>
        <xdr:cNvPr id="9420" name="Line 204">
          <a:extLst>
            <a:ext uri="{FF2B5EF4-FFF2-40B4-BE49-F238E27FC236}">
              <a16:creationId xmlns:a16="http://schemas.microsoft.com/office/drawing/2014/main" id="{AA8E7FB6-26F9-4154-9FF9-A61D6683EFBF}"/>
            </a:ext>
          </a:extLst>
        </xdr:cNvPr>
        <xdr:cNvSpPr>
          <a:spLocks noChangeShapeType="1"/>
        </xdr:cNvSpPr>
      </xdr:nvSpPr>
      <xdr:spPr bwMode="auto">
        <a:xfrm flipV="1">
          <a:off x="2529840" y="9509760"/>
          <a:ext cx="0" cy="3733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69</xdr:row>
      <xdr:rowOff>160020</xdr:rowOff>
    </xdr:from>
    <xdr:to>
      <xdr:col>7</xdr:col>
      <xdr:colOff>411480</xdr:colOff>
      <xdr:row>69</xdr:row>
      <xdr:rowOff>160020</xdr:rowOff>
    </xdr:to>
    <xdr:sp macro="" textlink="">
      <xdr:nvSpPr>
        <xdr:cNvPr id="9421" name="Line 205">
          <a:extLst>
            <a:ext uri="{FF2B5EF4-FFF2-40B4-BE49-F238E27FC236}">
              <a16:creationId xmlns:a16="http://schemas.microsoft.com/office/drawing/2014/main" id="{BF6CBFA0-AEA6-4D3E-8907-DCF090D1BD4E}"/>
            </a:ext>
          </a:extLst>
        </xdr:cNvPr>
        <xdr:cNvSpPr>
          <a:spLocks noChangeShapeType="1"/>
        </xdr:cNvSpPr>
      </xdr:nvSpPr>
      <xdr:spPr bwMode="auto">
        <a:xfrm>
          <a:off x="4777740" y="11757660"/>
          <a:ext cx="373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38100</xdr:colOff>
      <xdr:row>65</xdr:row>
      <xdr:rowOff>76200</xdr:rowOff>
    </xdr:from>
    <xdr:to>
      <xdr:col>39</xdr:col>
      <xdr:colOff>350520</xdr:colOff>
      <xdr:row>65</xdr:row>
      <xdr:rowOff>76200</xdr:rowOff>
    </xdr:to>
    <xdr:sp macro="" textlink="">
      <xdr:nvSpPr>
        <xdr:cNvPr id="9458" name="Line 242">
          <a:extLst>
            <a:ext uri="{FF2B5EF4-FFF2-40B4-BE49-F238E27FC236}">
              <a16:creationId xmlns:a16="http://schemas.microsoft.com/office/drawing/2014/main" id="{DEFFCAE0-C60B-436C-9E28-1CDD438DCEE1}"/>
            </a:ext>
          </a:extLst>
        </xdr:cNvPr>
        <xdr:cNvSpPr>
          <a:spLocks noChangeShapeType="1"/>
        </xdr:cNvSpPr>
      </xdr:nvSpPr>
      <xdr:spPr bwMode="auto">
        <a:xfrm flipH="1">
          <a:off x="14409420" y="11003280"/>
          <a:ext cx="3124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38100</xdr:colOff>
      <xdr:row>89</xdr:row>
      <xdr:rowOff>68580</xdr:rowOff>
    </xdr:from>
    <xdr:to>
      <xdr:col>39</xdr:col>
      <xdr:colOff>350520</xdr:colOff>
      <xdr:row>89</xdr:row>
      <xdr:rowOff>68580</xdr:rowOff>
    </xdr:to>
    <xdr:sp macro="" textlink="">
      <xdr:nvSpPr>
        <xdr:cNvPr id="9459" name="Line 243">
          <a:extLst>
            <a:ext uri="{FF2B5EF4-FFF2-40B4-BE49-F238E27FC236}">
              <a16:creationId xmlns:a16="http://schemas.microsoft.com/office/drawing/2014/main" id="{2AD5E3BF-6C83-47AC-9141-5D20EAAA5673}"/>
            </a:ext>
          </a:extLst>
        </xdr:cNvPr>
        <xdr:cNvSpPr>
          <a:spLocks noChangeShapeType="1"/>
        </xdr:cNvSpPr>
      </xdr:nvSpPr>
      <xdr:spPr bwMode="auto">
        <a:xfrm flipH="1">
          <a:off x="14409420" y="15019020"/>
          <a:ext cx="3124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350520</xdr:colOff>
      <xdr:row>65</xdr:row>
      <xdr:rowOff>76200</xdr:rowOff>
    </xdr:from>
    <xdr:to>
      <xdr:col>39</xdr:col>
      <xdr:colOff>350520</xdr:colOff>
      <xdr:row>89</xdr:row>
      <xdr:rowOff>68580</xdr:rowOff>
    </xdr:to>
    <xdr:sp macro="" textlink="">
      <xdr:nvSpPr>
        <xdr:cNvPr id="9460" name="Line 244">
          <a:extLst>
            <a:ext uri="{FF2B5EF4-FFF2-40B4-BE49-F238E27FC236}">
              <a16:creationId xmlns:a16="http://schemas.microsoft.com/office/drawing/2014/main" id="{E03DE360-2C99-47FC-A007-609C89436882}"/>
            </a:ext>
          </a:extLst>
        </xdr:cNvPr>
        <xdr:cNvSpPr>
          <a:spLocks noChangeShapeType="1"/>
        </xdr:cNvSpPr>
      </xdr:nvSpPr>
      <xdr:spPr bwMode="auto">
        <a:xfrm>
          <a:off x="14721840" y="11003280"/>
          <a:ext cx="0" cy="40157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350520</xdr:colOff>
      <xdr:row>77</xdr:row>
      <xdr:rowOff>0</xdr:rowOff>
    </xdr:from>
    <xdr:to>
      <xdr:col>39</xdr:col>
      <xdr:colOff>594360</xdr:colOff>
      <xdr:row>77</xdr:row>
      <xdr:rowOff>0</xdr:rowOff>
    </xdr:to>
    <xdr:sp macro="" textlink="">
      <xdr:nvSpPr>
        <xdr:cNvPr id="9461" name="Line 245">
          <a:extLst>
            <a:ext uri="{FF2B5EF4-FFF2-40B4-BE49-F238E27FC236}">
              <a16:creationId xmlns:a16="http://schemas.microsoft.com/office/drawing/2014/main" id="{7AB1E302-4771-4E8B-91FE-AB5E4F349009}"/>
            </a:ext>
          </a:extLst>
        </xdr:cNvPr>
        <xdr:cNvSpPr>
          <a:spLocks noChangeShapeType="1"/>
        </xdr:cNvSpPr>
      </xdr:nvSpPr>
      <xdr:spPr bwMode="auto">
        <a:xfrm>
          <a:off x="14721840" y="1293876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68580</xdr:colOff>
      <xdr:row>7</xdr:row>
      <xdr:rowOff>38100</xdr:rowOff>
    </xdr:from>
    <xdr:to>
      <xdr:col>27</xdr:col>
      <xdr:colOff>167640</xdr:colOff>
      <xdr:row>7</xdr:row>
      <xdr:rowOff>137160</xdr:rowOff>
    </xdr:to>
    <xdr:sp macro="" textlink="">
      <xdr:nvSpPr>
        <xdr:cNvPr id="9532" name="Oval 316">
          <a:extLst>
            <a:ext uri="{FF2B5EF4-FFF2-40B4-BE49-F238E27FC236}">
              <a16:creationId xmlns:a16="http://schemas.microsoft.com/office/drawing/2014/main" id="{12420AE3-03D1-473E-A225-B25E5DF67774}"/>
            </a:ext>
          </a:extLst>
        </xdr:cNvPr>
        <xdr:cNvSpPr>
          <a:spLocks noChangeArrowheads="1"/>
        </xdr:cNvSpPr>
      </xdr:nvSpPr>
      <xdr:spPr bwMode="auto">
        <a:xfrm>
          <a:off x="6888480" y="1242060"/>
          <a:ext cx="99060" cy="990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round/>
          <a:headEnd/>
          <a:tailEnd/>
        </a:ln>
      </xdr:spPr>
    </xdr:sp>
    <xdr:clientData/>
  </xdr:twoCellAnchor>
  <xdr:twoCellAnchor>
    <xdr:from>
      <xdr:col>26</xdr:col>
      <xdr:colOff>441960</xdr:colOff>
      <xdr:row>6</xdr:row>
      <xdr:rowOff>91440</xdr:rowOff>
    </xdr:from>
    <xdr:to>
      <xdr:col>28</xdr:col>
      <xdr:colOff>381000</xdr:colOff>
      <xdr:row>13</xdr:row>
      <xdr:rowOff>60960</xdr:rowOff>
    </xdr:to>
    <xdr:sp macro="" textlink="">
      <xdr:nvSpPr>
        <xdr:cNvPr id="9533" name="Rectangle 317">
          <a:extLst>
            <a:ext uri="{FF2B5EF4-FFF2-40B4-BE49-F238E27FC236}">
              <a16:creationId xmlns:a16="http://schemas.microsoft.com/office/drawing/2014/main" id="{EC4E2636-F977-40BA-BF57-6A251A7F3F17}"/>
            </a:ext>
          </a:extLst>
        </xdr:cNvPr>
        <xdr:cNvSpPr>
          <a:spLocks noChangeArrowheads="1"/>
        </xdr:cNvSpPr>
      </xdr:nvSpPr>
      <xdr:spPr bwMode="auto">
        <a:xfrm>
          <a:off x="6637020" y="1127760"/>
          <a:ext cx="118872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26</xdr:col>
      <xdr:colOff>441960</xdr:colOff>
      <xdr:row>5</xdr:row>
      <xdr:rowOff>91440</xdr:rowOff>
    </xdr:from>
    <xdr:to>
      <xdr:col>26</xdr:col>
      <xdr:colOff>441960</xdr:colOff>
      <xdr:row>6</xdr:row>
      <xdr:rowOff>76200</xdr:rowOff>
    </xdr:to>
    <xdr:sp macro="" textlink="">
      <xdr:nvSpPr>
        <xdr:cNvPr id="9534" name="Line 318">
          <a:extLst>
            <a:ext uri="{FF2B5EF4-FFF2-40B4-BE49-F238E27FC236}">
              <a16:creationId xmlns:a16="http://schemas.microsoft.com/office/drawing/2014/main" id="{8A0C3243-905C-4E68-A4BE-A5BE0E0137D6}"/>
            </a:ext>
          </a:extLst>
        </xdr:cNvPr>
        <xdr:cNvSpPr>
          <a:spLocks noChangeShapeType="1"/>
        </xdr:cNvSpPr>
      </xdr:nvSpPr>
      <xdr:spPr bwMode="auto">
        <a:xfrm flipV="1">
          <a:off x="6637020" y="96012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26</xdr:col>
      <xdr:colOff>320040</xdr:colOff>
      <xdr:row>13</xdr:row>
      <xdr:rowOff>60960</xdr:rowOff>
    </xdr:from>
    <xdr:to>
      <xdr:col>26</xdr:col>
      <xdr:colOff>441960</xdr:colOff>
      <xdr:row>14</xdr:row>
      <xdr:rowOff>7620</xdr:rowOff>
    </xdr:to>
    <xdr:sp macro="" textlink="">
      <xdr:nvSpPr>
        <xdr:cNvPr id="9535" name="Line 319">
          <a:extLst>
            <a:ext uri="{FF2B5EF4-FFF2-40B4-BE49-F238E27FC236}">
              <a16:creationId xmlns:a16="http://schemas.microsoft.com/office/drawing/2014/main" id="{328666C7-C277-40D0-8CE6-EFBC6AEE8615}"/>
            </a:ext>
          </a:extLst>
        </xdr:cNvPr>
        <xdr:cNvSpPr>
          <a:spLocks noChangeShapeType="1"/>
        </xdr:cNvSpPr>
      </xdr:nvSpPr>
      <xdr:spPr bwMode="auto">
        <a:xfrm flipH="1">
          <a:off x="6515100" y="2270760"/>
          <a:ext cx="12192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28</xdr:col>
      <xdr:colOff>388620</xdr:colOff>
      <xdr:row>13</xdr:row>
      <xdr:rowOff>60960</xdr:rowOff>
    </xdr:from>
    <xdr:to>
      <xdr:col>28</xdr:col>
      <xdr:colOff>548640</xdr:colOff>
      <xdr:row>13</xdr:row>
      <xdr:rowOff>60960</xdr:rowOff>
    </xdr:to>
    <xdr:sp macro="" textlink="">
      <xdr:nvSpPr>
        <xdr:cNvPr id="9536" name="Line 320">
          <a:extLst>
            <a:ext uri="{FF2B5EF4-FFF2-40B4-BE49-F238E27FC236}">
              <a16:creationId xmlns:a16="http://schemas.microsoft.com/office/drawing/2014/main" id="{8FEF2CD0-FDF1-48CA-87B8-064567E6D7E6}"/>
            </a:ext>
          </a:extLst>
        </xdr:cNvPr>
        <xdr:cNvSpPr>
          <a:spLocks noChangeShapeType="1"/>
        </xdr:cNvSpPr>
      </xdr:nvSpPr>
      <xdr:spPr bwMode="auto">
        <a:xfrm flipV="1">
          <a:off x="7833360" y="2270760"/>
          <a:ext cx="1600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26</xdr:col>
      <xdr:colOff>441960</xdr:colOff>
      <xdr:row>19</xdr:row>
      <xdr:rowOff>144780</xdr:rowOff>
    </xdr:from>
    <xdr:to>
      <xdr:col>28</xdr:col>
      <xdr:colOff>381000</xdr:colOff>
      <xdr:row>21</xdr:row>
      <xdr:rowOff>45720</xdr:rowOff>
    </xdr:to>
    <xdr:sp macro="" textlink="">
      <xdr:nvSpPr>
        <xdr:cNvPr id="9537" name="Rectangle 321">
          <a:extLst>
            <a:ext uri="{FF2B5EF4-FFF2-40B4-BE49-F238E27FC236}">
              <a16:creationId xmlns:a16="http://schemas.microsoft.com/office/drawing/2014/main" id="{CF078112-801D-4D14-B364-7BB12CFDD520}"/>
            </a:ext>
          </a:extLst>
        </xdr:cNvPr>
        <xdr:cNvSpPr>
          <a:spLocks noChangeArrowheads="1"/>
        </xdr:cNvSpPr>
      </xdr:nvSpPr>
      <xdr:spPr bwMode="auto">
        <a:xfrm>
          <a:off x="6637020" y="3360420"/>
          <a:ext cx="1188720" cy="2362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27</xdr:col>
      <xdr:colOff>251460</xdr:colOff>
      <xdr:row>18</xdr:row>
      <xdr:rowOff>160020</xdr:rowOff>
    </xdr:from>
    <xdr:to>
      <xdr:col>27</xdr:col>
      <xdr:colOff>563880</xdr:colOff>
      <xdr:row>19</xdr:row>
      <xdr:rowOff>144780</xdr:rowOff>
    </xdr:to>
    <xdr:sp macro="" textlink="">
      <xdr:nvSpPr>
        <xdr:cNvPr id="9538" name="Rectangle 322">
          <a:extLst>
            <a:ext uri="{FF2B5EF4-FFF2-40B4-BE49-F238E27FC236}">
              <a16:creationId xmlns:a16="http://schemas.microsoft.com/office/drawing/2014/main" id="{D1414F85-F4FD-4D3B-A995-407B0C2E2699}"/>
            </a:ext>
          </a:extLst>
        </xdr:cNvPr>
        <xdr:cNvSpPr>
          <a:spLocks noChangeArrowheads="1"/>
        </xdr:cNvSpPr>
      </xdr:nvSpPr>
      <xdr:spPr bwMode="auto">
        <a:xfrm>
          <a:off x="7071360" y="3208020"/>
          <a:ext cx="31242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26</xdr:col>
      <xdr:colOff>556260</xdr:colOff>
      <xdr:row>21</xdr:row>
      <xdr:rowOff>45720</xdr:rowOff>
    </xdr:from>
    <xdr:to>
      <xdr:col>26</xdr:col>
      <xdr:colOff>556260</xdr:colOff>
      <xdr:row>23</xdr:row>
      <xdr:rowOff>76200</xdr:rowOff>
    </xdr:to>
    <xdr:sp macro="" textlink="">
      <xdr:nvSpPr>
        <xdr:cNvPr id="9539" name="Line 323">
          <a:extLst>
            <a:ext uri="{FF2B5EF4-FFF2-40B4-BE49-F238E27FC236}">
              <a16:creationId xmlns:a16="http://schemas.microsoft.com/office/drawing/2014/main" id="{26BF3457-6E21-4F48-9C82-E2209157DD21}"/>
            </a:ext>
          </a:extLst>
        </xdr:cNvPr>
        <xdr:cNvSpPr>
          <a:spLocks noChangeShapeType="1"/>
        </xdr:cNvSpPr>
      </xdr:nvSpPr>
      <xdr:spPr bwMode="auto">
        <a:xfrm>
          <a:off x="675132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76200</xdr:colOff>
      <xdr:row>21</xdr:row>
      <xdr:rowOff>45720</xdr:rowOff>
    </xdr:from>
    <xdr:to>
      <xdr:col>27</xdr:col>
      <xdr:colOff>76200</xdr:colOff>
      <xdr:row>23</xdr:row>
      <xdr:rowOff>76200</xdr:rowOff>
    </xdr:to>
    <xdr:sp macro="" textlink="">
      <xdr:nvSpPr>
        <xdr:cNvPr id="9540" name="Line 324">
          <a:extLst>
            <a:ext uri="{FF2B5EF4-FFF2-40B4-BE49-F238E27FC236}">
              <a16:creationId xmlns:a16="http://schemas.microsoft.com/office/drawing/2014/main" id="{FA217D06-C26A-4A51-A754-867095B2A4BA}"/>
            </a:ext>
          </a:extLst>
        </xdr:cNvPr>
        <xdr:cNvSpPr>
          <a:spLocks noChangeShapeType="1"/>
        </xdr:cNvSpPr>
      </xdr:nvSpPr>
      <xdr:spPr bwMode="auto">
        <a:xfrm>
          <a:off x="689610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480060</xdr:colOff>
      <xdr:row>23</xdr:row>
      <xdr:rowOff>76200</xdr:rowOff>
    </xdr:from>
    <xdr:to>
      <xdr:col>26</xdr:col>
      <xdr:colOff>586740</xdr:colOff>
      <xdr:row>23</xdr:row>
      <xdr:rowOff>76200</xdr:rowOff>
    </xdr:to>
    <xdr:sp macro="" textlink="">
      <xdr:nvSpPr>
        <xdr:cNvPr id="9541" name="Line 325">
          <a:extLst>
            <a:ext uri="{FF2B5EF4-FFF2-40B4-BE49-F238E27FC236}">
              <a16:creationId xmlns:a16="http://schemas.microsoft.com/office/drawing/2014/main" id="{3D59BF93-421D-49DE-AB4E-9D8BEDA3C0CE}"/>
            </a:ext>
          </a:extLst>
        </xdr:cNvPr>
        <xdr:cNvSpPr>
          <a:spLocks noChangeShapeType="1"/>
        </xdr:cNvSpPr>
      </xdr:nvSpPr>
      <xdr:spPr bwMode="auto">
        <a:xfrm>
          <a:off x="667512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38100</xdr:colOff>
      <xdr:row>23</xdr:row>
      <xdr:rowOff>76200</xdr:rowOff>
    </xdr:from>
    <xdr:to>
      <xdr:col>27</xdr:col>
      <xdr:colOff>144780</xdr:colOff>
      <xdr:row>23</xdr:row>
      <xdr:rowOff>76200</xdr:rowOff>
    </xdr:to>
    <xdr:sp macro="" textlink="">
      <xdr:nvSpPr>
        <xdr:cNvPr id="9542" name="Line 326">
          <a:extLst>
            <a:ext uri="{FF2B5EF4-FFF2-40B4-BE49-F238E27FC236}">
              <a16:creationId xmlns:a16="http://schemas.microsoft.com/office/drawing/2014/main" id="{215E765C-08F2-4C08-B034-77E05573D369}"/>
            </a:ext>
          </a:extLst>
        </xdr:cNvPr>
        <xdr:cNvSpPr>
          <a:spLocks noChangeShapeType="1"/>
        </xdr:cNvSpPr>
      </xdr:nvSpPr>
      <xdr:spPr bwMode="auto">
        <a:xfrm>
          <a:off x="685800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586740</xdr:colOff>
      <xdr:row>23</xdr:row>
      <xdr:rowOff>76200</xdr:rowOff>
    </xdr:from>
    <xdr:to>
      <xdr:col>26</xdr:col>
      <xdr:colOff>609600</xdr:colOff>
      <xdr:row>23</xdr:row>
      <xdr:rowOff>99060</xdr:rowOff>
    </xdr:to>
    <xdr:sp macro="" textlink="">
      <xdr:nvSpPr>
        <xdr:cNvPr id="9543" name="Line 327">
          <a:extLst>
            <a:ext uri="{FF2B5EF4-FFF2-40B4-BE49-F238E27FC236}">
              <a16:creationId xmlns:a16="http://schemas.microsoft.com/office/drawing/2014/main" id="{DE8C275E-D4D6-4B87-A702-85611C18AA4F}"/>
            </a:ext>
          </a:extLst>
        </xdr:cNvPr>
        <xdr:cNvSpPr>
          <a:spLocks noChangeShapeType="1"/>
        </xdr:cNvSpPr>
      </xdr:nvSpPr>
      <xdr:spPr bwMode="auto">
        <a:xfrm>
          <a:off x="678180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22860</xdr:colOff>
      <xdr:row>23</xdr:row>
      <xdr:rowOff>60960</xdr:rowOff>
    </xdr:from>
    <xdr:to>
      <xdr:col>27</xdr:col>
      <xdr:colOff>45720</xdr:colOff>
      <xdr:row>23</xdr:row>
      <xdr:rowOff>83820</xdr:rowOff>
    </xdr:to>
    <xdr:sp macro="" textlink="">
      <xdr:nvSpPr>
        <xdr:cNvPr id="9544" name="Line 328">
          <a:extLst>
            <a:ext uri="{FF2B5EF4-FFF2-40B4-BE49-F238E27FC236}">
              <a16:creationId xmlns:a16="http://schemas.microsoft.com/office/drawing/2014/main" id="{02EEB117-344A-420A-A8BC-A2E3671FD836}"/>
            </a:ext>
          </a:extLst>
        </xdr:cNvPr>
        <xdr:cNvSpPr>
          <a:spLocks noChangeShapeType="1"/>
        </xdr:cNvSpPr>
      </xdr:nvSpPr>
      <xdr:spPr bwMode="auto">
        <a:xfrm flipH="1" flipV="1">
          <a:off x="684276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601980</xdr:colOff>
      <xdr:row>23</xdr:row>
      <xdr:rowOff>60960</xdr:rowOff>
    </xdr:from>
    <xdr:to>
      <xdr:col>27</xdr:col>
      <xdr:colOff>22860</xdr:colOff>
      <xdr:row>23</xdr:row>
      <xdr:rowOff>99060</xdr:rowOff>
    </xdr:to>
    <xdr:sp macro="" textlink="">
      <xdr:nvSpPr>
        <xdr:cNvPr id="9545" name="Line 329">
          <a:extLst>
            <a:ext uri="{FF2B5EF4-FFF2-40B4-BE49-F238E27FC236}">
              <a16:creationId xmlns:a16="http://schemas.microsoft.com/office/drawing/2014/main" id="{6820790C-F246-4A55-8BD5-55CF8D7E8B1B}"/>
            </a:ext>
          </a:extLst>
        </xdr:cNvPr>
        <xdr:cNvSpPr>
          <a:spLocks noChangeShapeType="1"/>
        </xdr:cNvSpPr>
      </xdr:nvSpPr>
      <xdr:spPr bwMode="auto">
        <a:xfrm flipV="1">
          <a:off x="6797040" y="3947160"/>
          <a:ext cx="4572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114300</xdr:colOff>
      <xdr:row>21</xdr:row>
      <xdr:rowOff>45720</xdr:rowOff>
    </xdr:from>
    <xdr:to>
      <xdr:col>28</xdr:col>
      <xdr:colOff>114300</xdr:colOff>
      <xdr:row>23</xdr:row>
      <xdr:rowOff>76200</xdr:rowOff>
    </xdr:to>
    <xdr:sp macro="" textlink="">
      <xdr:nvSpPr>
        <xdr:cNvPr id="9546" name="Line 330">
          <a:extLst>
            <a:ext uri="{FF2B5EF4-FFF2-40B4-BE49-F238E27FC236}">
              <a16:creationId xmlns:a16="http://schemas.microsoft.com/office/drawing/2014/main" id="{B0DC7245-E708-43B7-8410-648E296E9741}"/>
            </a:ext>
          </a:extLst>
        </xdr:cNvPr>
        <xdr:cNvSpPr>
          <a:spLocks noChangeShapeType="1"/>
        </xdr:cNvSpPr>
      </xdr:nvSpPr>
      <xdr:spPr bwMode="auto">
        <a:xfrm>
          <a:off x="755904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21</xdr:row>
      <xdr:rowOff>45720</xdr:rowOff>
    </xdr:from>
    <xdr:to>
      <xdr:col>28</xdr:col>
      <xdr:colOff>266700</xdr:colOff>
      <xdr:row>23</xdr:row>
      <xdr:rowOff>76200</xdr:rowOff>
    </xdr:to>
    <xdr:sp macro="" textlink="">
      <xdr:nvSpPr>
        <xdr:cNvPr id="9547" name="Line 331">
          <a:extLst>
            <a:ext uri="{FF2B5EF4-FFF2-40B4-BE49-F238E27FC236}">
              <a16:creationId xmlns:a16="http://schemas.microsoft.com/office/drawing/2014/main" id="{87DC6BCF-DBEF-44C4-A285-9CD30E383079}"/>
            </a:ext>
          </a:extLst>
        </xdr:cNvPr>
        <xdr:cNvSpPr>
          <a:spLocks noChangeShapeType="1"/>
        </xdr:cNvSpPr>
      </xdr:nvSpPr>
      <xdr:spPr bwMode="auto">
        <a:xfrm>
          <a:off x="771144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23</xdr:row>
      <xdr:rowOff>76200</xdr:rowOff>
    </xdr:from>
    <xdr:to>
      <xdr:col>28</xdr:col>
      <xdr:colOff>144780</xdr:colOff>
      <xdr:row>23</xdr:row>
      <xdr:rowOff>76200</xdr:rowOff>
    </xdr:to>
    <xdr:sp macro="" textlink="">
      <xdr:nvSpPr>
        <xdr:cNvPr id="9548" name="Line 332">
          <a:extLst>
            <a:ext uri="{FF2B5EF4-FFF2-40B4-BE49-F238E27FC236}">
              <a16:creationId xmlns:a16="http://schemas.microsoft.com/office/drawing/2014/main" id="{5E985E72-E7EF-48D0-BC57-AAA166F6679B}"/>
            </a:ext>
          </a:extLst>
        </xdr:cNvPr>
        <xdr:cNvSpPr>
          <a:spLocks noChangeShapeType="1"/>
        </xdr:cNvSpPr>
      </xdr:nvSpPr>
      <xdr:spPr bwMode="auto">
        <a:xfrm>
          <a:off x="748284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220980</xdr:colOff>
      <xdr:row>23</xdr:row>
      <xdr:rowOff>76200</xdr:rowOff>
    </xdr:from>
    <xdr:to>
      <xdr:col>28</xdr:col>
      <xdr:colOff>327660</xdr:colOff>
      <xdr:row>23</xdr:row>
      <xdr:rowOff>76200</xdr:rowOff>
    </xdr:to>
    <xdr:sp macro="" textlink="">
      <xdr:nvSpPr>
        <xdr:cNvPr id="9549" name="Line 333">
          <a:extLst>
            <a:ext uri="{FF2B5EF4-FFF2-40B4-BE49-F238E27FC236}">
              <a16:creationId xmlns:a16="http://schemas.microsoft.com/office/drawing/2014/main" id="{ABE7FE1F-2253-4512-A456-AF0570B60243}"/>
            </a:ext>
          </a:extLst>
        </xdr:cNvPr>
        <xdr:cNvSpPr>
          <a:spLocks noChangeShapeType="1"/>
        </xdr:cNvSpPr>
      </xdr:nvSpPr>
      <xdr:spPr bwMode="auto">
        <a:xfrm>
          <a:off x="766572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144780</xdr:colOff>
      <xdr:row>23</xdr:row>
      <xdr:rowOff>76200</xdr:rowOff>
    </xdr:from>
    <xdr:to>
      <xdr:col>28</xdr:col>
      <xdr:colOff>167640</xdr:colOff>
      <xdr:row>23</xdr:row>
      <xdr:rowOff>99060</xdr:rowOff>
    </xdr:to>
    <xdr:sp macro="" textlink="">
      <xdr:nvSpPr>
        <xdr:cNvPr id="9550" name="Line 334">
          <a:extLst>
            <a:ext uri="{FF2B5EF4-FFF2-40B4-BE49-F238E27FC236}">
              <a16:creationId xmlns:a16="http://schemas.microsoft.com/office/drawing/2014/main" id="{B498A85C-99B1-4D06-8206-DFD37DB98E3D}"/>
            </a:ext>
          </a:extLst>
        </xdr:cNvPr>
        <xdr:cNvSpPr>
          <a:spLocks noChangeShapeType="1"/>
        </xdr:cNvSpPr>
      </xdr:nvSpPr>
      <xdr:spPr bwMode="auto">
        <a:xfrm>
          <a:off x="758952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205740</xdr:colOff>
      <xdr:row>23</xdr:row>
      <xdr:rowOff>60960</xdr:rowOff>
    </xdr:from>
    <xdr:to>
      <xdr:col>28</xdr:col>
      <xdr:colOff>228600</xdr:colOff>
      <xdr:row>23</xdr:row>
      <xdr:rowOff>83820</xdr:rowOff>
    </xdr:to>
    <xdr:sp macro="" textlink="">
      <xdr:nvSpPr>
        <xdr:cNvPr id="9551" name="Line 335">
          <a:extLst>
            <a:ext uri="{FF2B5EF4-FFF2-40B4-BE49-F238E27FC236}">
              <a16:creationId xmlns:a16="http://schemas.microsoft.com/office/drawing/2014/main" id="{25E71722-A633-46EC-AD7F-D52AB557C432}"/>
            </a:ext>
          </a:extLst>
        </xdr:cNvPr>
        <xdr:cNvSpPr>
          <a:spLocks noChangeShapeType="1"/>
        </xdr:cNvSpPr>
      </xdr:nvSpPr>
      <xdr:spPr bwMode="auto">
        <a:xfrm flipH="1" flipV="1">
          <a:off x="765048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167640</xdr:colOff>
      <xdr:row>23</xdr:row>
      <xdr:rowOff>60960</xdr:rowOff>
    </xdr:from>
    <xdr:to>
      <xdr:col>28</xdr:col>
      <xdr:colOff>205740</xdr:colOff>
      <xdr:row>23</xdr:row>
      <xdr:rowOff>99060</xdr:rowOff>
    </xdr:to>
    <xdr:sp macro="" textlink="">
      <xdr:nvSpPr>
        <xdr:cNvPr id="9552" name="Line 336">
          <a:extLst>
            <a:ext uri="{FF2B5EF4-FFF2-40B4-BE49-F238E27FC236}">
              <a16:creationId xmlns:a16="http://schemas.microsoft.com/office/drawing/2014/main" id="{FE940A2C-C957-496E-90A3-2ACEEB706DB1}"/>
            </a:ext>
          </a:extLst>
        </xdr:cNvPr>
        <xdr:cNvSpPr>
          <a:spLocks noChangeShapeType="1"/>
        </xdr:cNvSpPr>
      </xdr:nvSpPr>
      <xdr:spPr bwMode="auto">
        <a:xfrm flipV="1">
          <a:off x="7612380" y="3947160"/>
          <a:ext cx="3810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556260</xdr:colOff>
      <xdr:row>20</xdr:row>
      <xdr:rowOff>160020</xdr:rowOff>
    </xdr:from>
    <xdr:to>
      <xdr:col>26</xdr:col>
      <xdr:colOff>556260</xdr:colOff>
      <xdr:row>21</xdr:row>
      <xdr:rowOff>45720</xdr:rowOff>
    </xdr:to>
    <xdr:sp macro="" textlink="">
      <xdr:nvSpPr>
        <xdr:cNvPr id="9553" name="Line 337">
          <a:extLst>
            <a:ext uri="{FF2B5EF4-FFF2-40B4-BE49-F238E27FC236}">
              <a16:creationId xmlns:a16="http://schemas.microsoft.com/office/drawing/2014/main" id="{6D9650EA-E8BF-4D1E-86FD-7CF0C12C2230}"/>
            </a:ext>
          </a:extLst>
        </xdr:cNvPr>
        <xdr:cNvSpPr>
          <a:spLocks noChangeShapeType="1"/>
        </xdr:cNvSpPr>
      </xdr:nvSpPr>
      <xdr:spPr bwMode="auto">
        <a:xfrm flipV="1">
          <a:off x="675132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76200</xdr:colOff>
      <xdr:row>20</xdr:row>
      <xdr:rowOff>160020</xdr:rowOff>
    </xdr:from>
    <xdr:to>
      <xdr:col>27</xdr:col>
      <xdr:colOff>76200</xdr:colOff>
      <xdr:row>21</xdr:row>
      <xdr:rowOff>45720</xdr:rowOff>
    </xdr:to>
    <xdr:sp macro="" textlink="">
      <xdr:nvSpPr>
        <xdr:cNvPr id="9554" name="Line 338">
          <a:extLst>
            <a:ext uri="{FF2B5EF4-FFF2-40B4-BE49-F238E27FC236}">
              <a16:creationId xmlns:a16="http://schemas.microsoft.com/office/drawing/2014/main" id="{971C1253-0321-426F-88CD-FFC53A85B319}"/>
            </a:ext>
          </a:extLst>
        </xdr:cNvPr>
        <xdr:cNvSpPr>
          <a:spLocks noChangeShapeType="1"/>
        </xdr:cNvSpPr>
      </xdr:nvSpPr>
      <xdr:spPr bwMode="auto">
        <a:xfrm flipV="1">
          <a:off x="689610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114300</xdr:colOff>
      <xdr:row>20</xdr:row>
      <xdr:rowOff>160020</xdr:rowOff>
    </xdr:from>
    <xdr:to>
      <xdr:col>28</xdr:col>
      <xdr:colOff>114300</xdr:colOff>
      <xdr:row>21</xdr:row>
      <xdr:rowOff>45720</xdr:rowOff>
    </xdr:to>
    <xdr:sp macro="" textlink="">
      <xdr:nvSpPr>
        <xdr:cNvPr id="9555" name="Line 339">
          <a:extLst>
            <a:ext uri="{FF2B5EF4-FFF2-40B4-BE49-F238E27FC236}">
              <a16:creationId xmlns:a16="http://schemas.microsoft.com/office/drawing/2014/main" id="{CF6D43FE-2FFC-447C-A2A7-37120754F7FF}"/>
            </a:ext>
          </a:extLst>
        </xdr:cNvPr>
        <xdr:cNvSpPr>
          <a:spLocks noChangeShapeType="1"/>
        </xdr:cNvSpPr>
      </xdr:nvSpPr>
      <xdr:spPr bwMode="auto">
        <a:xfrm flipV="1">
          <a:off x="755904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20</xdr:row>
      <xdr:rowOff>160020</xdr:rowOff>
    </xdr:from>
    <xdr:to>
      <xdr:col>28</xdr:col>
      <xdr:colOff>266700</xdr:colOff>
      <xdr:row>21</xdr:row>
      <xdr:rowOff>45720</xdr:rowOff>
    </xdr:to>
    <xdr:sp macro="" textlink="">
      <xdr:nvSpPr>
        <xdr:cNvPr id="9556" name="Line 340">
          <a:extLst>
            <a:ext uri="{FF2B5EF4-FFF2-40B4-BE49-F238E27FC236}">
              <a16:creationId xmlns:a16="http://schemas.microsoft.com/office/drawing/2014/main" id="{E4FE0355-341E-4379-AE73-6A26B9EBE8E4}"/>
            </a:ext>
          </a:extLst>
        </xdr:cNvPr>
        <xdr:cNvSpPr>
          <a:spLocks noChangeShapeType="1"/>
        </xdr:cNvSpPr>
      </xdr:nvSpPr>
      <xdr:spPr bwMode="auto">
        <a:xfrm flipV="1">
          <a:off x="771144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556260</xdr:colOff>
      <xdr:row>21</xdr:row>
      <xdr:rowOff>0</xdr:rowOff>
    </xdr:from>
    <xdr:to>
      <xdr:col>27</xdr:col>
      <xdr:colOff>76200</xdr:colOff>
      <xdr:row>21</xdr:row>
      <xdr:rowOff>0</xdr:rowOff>
    </xdr:to>
    <xdr:sp macro="" textlink="">
      <xdr:nvSpPr>
        <xdr:cNvPr id="9557" name="Line 341">
          <a:extLst>
            <a:ext uri="{FF2B5EF4-FFF2-40B4-BE49-F238E27FC236}">
              <a16:creationId xmlns:a16="http://schemas.microsoft.com/office/drawing/2014/main" id="{98D18898-D258-4A8F-94ED-6B713E28AC61}"/>
            </a:ext>
          </a:extLst>
        </xdr:cNvPr>
        <xdr:cNvSpPr>
          <a:spLocks noChangeShapeType="1"/>
        </xdr:cNvSpPr>
      </xdr:nvSpPr>
      <xdr:spPr bwMode="auto">
        <a:xfrm>
          <a:off x="675132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114300</xdr:colOff>
      <xdr:row>21</xdr:row>
      <xdr:rowOff>0</xdr:rowOff>
    </xdr:from>
    <xdr:to>
      <xdr:col>28</xdr:col>
      <xdr:colOff>259080</xdr:colOff>
      <xdr:row>21</xdr:row>
      <xdr:rowOff>0</xdr:rowOff>
    </xdr:to>
    <xdr:sp macro="" textlink="">
      <xdr:nvSpPr>
        <xdr:cNvPr id="9558" name="Line 342">
          <a:extLst>
            <a:ext uri="{FF2B5EF4-FFF2-40B4-BE49-F238E27FC236}">
              <a16:creationId xmlns:a16="http://schemas.microsoft.com/office/drawing/2014/main" id="{26C214BE-0682-4503-9DB1-5487A4F2F65D}"/>
            </a:ext>
          </a:extLst>
        </xdr:cNvPr>
        <xdr:cNvSpPr>
          <a:spLocks noChangeShapeType="1"/>
        </xdr:cNvSpPr>
      </xdr:nvSpPr>
      <xdr:spPr bwMode="auto">
        <a:xfrm>
          <a:off x="755904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617220</xdr:colOff>
      <xdr:row>18</xdr:row>
      <xdr:rowOff>160020</xdr:rowOff>
    </xdr:from>
    <xdr:to>
      <xdr:col>27</xdr:col>
      <xdr:colOff>213360</xdr:colOff>
      <xdr:row>18</xdr:row>
      <xdr:rowOff>160020</xdr:rowOff>
    </xdr:to>
    <xdr:sp macro="" textlink="">
      <xdr:nvSpPr>
        <xdr:cNvPr id="9559" name="Line 343">
          <a:extLst>
            <a:ext uri="{FF2B5EF4-FFF2-40B4-BE49-F238E27FC236}">
              <a16:creationId xmlns:a16="http://schemas.microsoft.com/office/drawing/2014/main" id="{1E74FF57-1AB4-4D36-B12C-D868B83456CD}"/>
            </a:ext>
          </a:extLst>
        </xdr:cNvPr>
        <xdr:cNvSpPr>
          <a:spLocks noChangeShapeType="1"/>
        </xdr:cNvSpPr>
      </xdr:nvSpPr>
      <xdr:spPr bwMode="auto">
        <a:xfrm>
          <a:off x="6812280" y="3208020"/>
          <a:ext cx="2209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26</xdr:col>
      <xdr:colOff>236220</xdr:colOff>
      <xdr:row>21</xdr:row>
      <xdr:rowOff>0</xdr:rowOff>
    </xdr:from>
    <xdr:to>
      <xdr:col>26</xdr:col>
      <xdr:colOff>518160</xdr:colOff>
      <xdr:row>21</xdr:row>
      <xdr:rowOff>0</xdr:rowOff>
    </xdr:to>
    <xdr:sp macro="" textlink="">
      <xdr:nvSpPr>
        <xdr:cNvPr id="9560" name="Line 344">
          <a:extLst>
            <a:ext uri="{FF2B5EF4-FFF2-40B4-BE49-F238E27FC236}">
              <a16:creationId xmlns:a16="http://schemas.microsoft.com/office/drawing/2014/main" id="{7C506606-72C8-41DC-BCAC-C7A0DAE24523}"/>
            </a:ext>
          </a:extLst>
        </xdr:cNvPr>
        <xdr:cNvSpPr>
          <a:spLocks noChangeShapeType="1"/>
        </xdr:cNvSpPr>
      </xdr:nvSpPr>
      <xdr:spPr bwMode="auto">
        <a:xfrm>
          <a:off x="6431280" y="355092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236220</xdr:colOff>
      <xdr:row>18</xdr:row>
      <xdr:rowOff>160020</xdr:rowOff>
    </xdr:from>
    <xdr:to>
      <xdr:col>26</xdr:col>
      <xdr:colOff>579120</xdr:colOff>
      <xdr:row>18</xdr:row>
      <xdr:rowOff>160020</xdr:rowOff>
    </xdr:to>
    <xdr:sp macro="" textlink="">
      <xdr:nvSpPr>
        <xdr:cNvPr id="9561" name="Line 345">
          <a:extLst>
            <a:ext uri="{FF2B5EF4-FFF2-40B4-BE49-F238E27FC236}">
              <a16:creationId xmlns:a16="http://schemas.microsoft.com/office/drawing/2014/main" id="{85D61D42-111C-4797-A0ED-DDF9A9292D13}"/>
            </a:ext>
          </a:extLst>
        </xdr:cNvPr>
        <xdr:cNvSpPr>
          <a:spLocks noChangeShapeType="1"/>
        </xdr:cNvSpPr>
      </xdr:nvSpPr>
      <xdr:spPr bwMode="auto">
        <a:xfrm>
          <a:off x="6431280" y="320802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320040</xdr:colOff>
      <xdr:row>18</xdr:row>
      <xdr:rowOff>160020</xdr:rowOff>
    </xdr:from>
    <xdr:to>
      <xdr:col>26</xdr:col>
      <xdr:colOff>320040</xdr:colOff>
      <xdr:row>21</xdr:row>
      <xdr:rowOff>0</xdr:rowOff>
    </xdr:to>
    <xdr:sp macro="" textlink="">
      <xdr:nvSpPr>
        <xdr:cNvPr id="9562" name="Line 346">
          <a:extLst>
            <a:ext uri="{FF2B5EF4-FFF2-40B4-BE49-F238E27FC236}">
              <a16:creationId xmlns:a16="http://schemas.microsoft.com/office/drawing/2014/main" id="{328CE883-D956-480C-91D5-B036046BBDC7}"/>
            </a:ext>
          </a:extLst>
        </xdr:cNvPr>
        <xdr:cNvSpPr>
          <a:spLocks noChangeShapeType="1"/>
        </xdr:cNvSpPr>
      </xdr:nvSpPr>
      <xdr:spPr bwMode="auto">
        <a:xfrm>
          <a:off x="6515100" y="320802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411480</xdr:colOff>
      <xdr:row>16</xdr:row>
      <xdr:rowOff>45720</xdr:rowOff>
    </xdr:from>
    <xdr:to>
      <xdr:col>27</xdr:col>
      <xdr:colOff>411480</xdr:colOff>
      <xdr:row>18</xdr:row>
      <xdr:rowOff>144780</xdr:rowOff>
    </xdr:to>
    <xdr:sp macro="" textlink="">
      <xdr:nvSpPr>
        <xdr:cNvPr id="9563" name="Line 347">
          <a:extLst>
            <a:ext uri="{FF2B5EF4-FFF2-40B4-BE49-F238E27FC236}">
              <a16:creationId xmlns:a16="http://schemas.microsoft.com/office/drawing/2014/main" id="{AA9787B9-3E24-4DEA-BB3D-86033700E921}"/>
            </a:ext>
          </a:extLst>
        </xdr:cNvPr>
        <xdr:cNvSpPr>
          <a:spLocks noChangeShapeType="1"/>
        </xdr:cNvSpPr>
      </xdr:nvSpPr>
      <xdr:spPr bwMode="auto">
        <a:xfrm>
          <a:off x="7231380" y="2758440"/>
          <a:ext cx="0" cy="434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27</xdr:col>
      <xdr:colOff>76200</xdr:colOff>
      <xdr:row>24</xdr:row>
      <xdr:rowOff>0</xdr:rowOff>
    </xdr:from>
    <xdr:to>
      <xdr:col>28</xdr:col>
      <xdr:colOff>137160</xdr:colOff>
      <xdr:row>25</xdr:row>
      <xdr:rowOff>60960</xdr:rowOff>
    </xdr:to>
    <xdr:sp macro="" textlink="">
      <xdr:nvSpPr>
        <xdr:cNvPr id="9564" name="Text Box 348">
          <a:extLst>
            <a:ext uri="{FF2B5EF4-FFF2-40B4-BE49-F238E27FC236}">
              <a16:creationId xmlns:a16="http://schemas.microsoft.com/office/drawing/2014/main" id="{E681060D-7F8E-4DA4-A451-D46305FDB287}"/>
            </a:ext>
          </a:extLst>
        </xdr:cNvPr>
        <xdr:cNvSpPr txBox="1">
          <a:spLocks noChangeArrowheads="1"/>
        </xdr:cNvSpPr>
      </xdr:nvSpPr>
      <xdr:spPr bwMode="auto">
        <a:xfrm>
          <a:off x="6896100" y="4053840"/>
          <a:ext cx="685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Elevation</a:t>
          </a:r>
        </a:p>
      </xdr:txBody>
    </xdr:sp>
    <xdr:clientData/>
  </xdr:twoCellAnchor>
  <xdr:twoCellAnchor>
    <xdr:from>
      <xdr:col>27</xdr:col>
      <xdr:colOff>236220</xdr:colOff>
      <xdr:row>14</xdr:row>
      <xdr:rowOff>0</xdr:rowOff>
    </xdr:from>
    <xdr:to>
      <xdr:col>28</xdr:col>
      <xdr:colOff>7620</xdr:colOff>
      <xdr:row>15</xdr:row>
      <xdr:rowOff>38100</xdr:rowOff>
    </xdr:to>
    <xdr:sp macro="" textlink="">
      <xdr:nvSpPr>
        <xdr:cNvPr id="9565" name="Text Box 349">
          <a:extLst>
            <a:ext uri="{FF2B5EF4-FFF2-40B4-BE49-F238E27FC236}">
              <a16:creationId xmlns:a16="http://schemas.microsoft.com/office/drawing/2014/main" id="{D6DC5F69-165A-44AE-9084-7EE71F202A8F}"/>
            </a:ext>
          </a:extLst>
        </xdr:cNvPr>
        <xdr:cNvSpPr txBox="1">
          <a:spLocks noChangeArrowheads="1"/>
        </xdr:cNvSpPr>
      </xdr:nvSpPr>
      <xdr:spPr bwMode="auto">
        <a:xfrm>
          <a:off x="7056120" y="2377440"/>
          <a:ext cx="3962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Plan</a:t>
          </a:r>
        </a:p>
      </xdr:txBody>
    </xdr:sp>
    <xdr:clientData/>
  </xdr:twoCellAnchor>
  <xdr:twoCellAnchor>
    <xdr:from>
      <xdr:col>26</xdr:col>
      <xdr:colOff>556260</xdr:colOff>
      <xdr:row>11</xdr:row>
      <xdr:rowOff>129540</xdr:rowOff>
    </xdr:from>
    <xdr:to>
      <xdr:col>27</xdr:col>
      <xdr:colOff>76200</xdr:colOff>
      <xdr:row>12</xdr:row>
      <xdr:rowOff>106680</xdr:rowOff>
    </xdr:to>
    <xdr:sp macro="" textlink="">
      <xdr:nvSpPr>
        <xdr:cNvPr id="9566" name="Oval 350">
          <a:extLst>
            <a:ext uri="{FF2B5EF4-FFF2-40B4-BE49-F238E27FC236}">
              <a16:creationId xmlns:a16="http://schemas.microsoft.com/office/drawing/2014/main" id="{92599FD4-372F-4306-9C8B-09A944C25719}"/>
            </a:ext>
          </a:extLst>
        </xdr:cNvPr>
        <xdr:cNvSpPr>
          <a:spLocks noChangeArrowheads="1"/>
        </xdr:cNvSpPr>
      </xdr:nvSpPr>
      <xdr:spPr bwMode="auto">
        <a:xfrm>
          <a:off x="6751320" y="2004060"/>
          <a:ext cx="14478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556260</xdr:colOff>
      <xdr:row>7</xdr:row>
      <xdr:rowOff>38100</xdr:rowOff>
    </xdr:from>
    <xdr:to>
      <xdr:col>27</xdr:col>
      <xdr:colOff>76200</xdr:colOff>
      <xdr:row>8</xdr:row>
      <xdr:rowOff>22860</xdr:rowOff>
    </xdr:to>
    <xdr:sp macro="" textlink="">
      <xdr:nvSpPr>
        <xdr:cNvPr id="9567" name="Oval 351">
          <a:extLst>
            <a:ext uri="{FF2B5EF4-FFF2-40B4-BE49-F238E27FC236}">
              <a16:creationId xmlns:a16="http://schemas.microsoft.com/office/drawing/2014/main" id="{AD7B1128-81B6-4374-9EC0-3F62BC0C5F29}"/>
            </a:ext>
          </a:extLst>
        </xdr:cNvPr>
        <xdr:cNvSpPr>
          <a:spLocks noChangeArrowheads="1"/>
        </xdr:cNvSpPr>
      </xdr:nvSpPr>
      <xdr:spPr bwMode="auto">
        <a:xfrm>
          <a:off x="6751320" y="1242060"/>
          <a:ext cx="14478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114300</xdr:colOff>
      <xdr:row>11</xdr:row>
      <xdr:rowOff>129540</xdr:rowOff>
    </xdr:from>
    <xdr:to>
      <xdr:col>28</xdr:col>
      <xdr:colOff>266700</xdr:colOff>
      <xdr:row>12</xdr:row>
      <xdr:rowOff>106680</xdr:rowOff>
    </xdr:to>
    <xdr:sp macro="" textlink="">
      <xdr:nvSpPr>
        <xdr:cNvPr id="9568" name="Oval 352">
          <a:extLst>
            <a:ext uri="{FF2B5EF4-FFF2-40B4-BE49-F238E27FC236}">
              <a16:creationId xmlns:a16="http://schemas.microsoft.com/office/drawing/2014/main" id="{E342B173-2365-4132-A8ED-E52D386EDA4B}"/>
            </a:ext>
          </a:extLst>
        </xdr:cNvPr>
        <xdr:cNvSpPr>
          <a:spLocks noChangeArrowheads="1"/>
        </xdr:cNvSpPr>
      </xdr:nvSpPr>
      <xdr:spPr bwMode="auto">
        <a:xfrm>
          <a:off x="7559040" y="2004060"/>
          <a:ext cx="15240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114300</xdr:colOff>
      <xdr:row>7</xdr:row>
      <xdr:rowOff>38100</xdr:rowOff>
    </xdr:from>
    <xdr:to>
      <xdr:col>28</xdr:col>
      <xdr:colOff>266700</xdr:colOff>
      <xdr:row>8</xdr:row>
      <xdr:rowOff>22860</xdr:rowOff>
    </xdr:to>
    <xdr:sp macro="" textlink="">
      <xdr:nvSpPr>
        <xdr:cNvPr id="9569" name="Oval 353">
          <a:extLst>
            <a:ext uri="{FF2B5EF4-FFF2-40B4-BE49-F238E27FC236}">
              <a16:creationId xmlns:a16="http://schemas.microsoft.com/office/drawing/2014/main" id="{AD91B86F-2CAC-42A8-B075-6734320073CC}"/>
            </a:ext>
          </a:extLst>
        </xdr:cNvPr>
        <xdr:cNvSpPr>
          <a:spLocks noChangeArrowheads="1"/>
        </xdr:cNvSpPr>
      </xdr:nvSpPr>
      <xdr:spPr bwMode="auto">
        <a:xfrm>
          <a:off x="7559040" y="124206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251460</xdr:colOff>
      <xdr:row>9</xdr:row>
      <xdr:rowOff>0</xdr:rowOff>
    </xdr:from>
    <xdr:to>
      <xdr:col>27</xdr:col>
      <xdr:colOff>563880</xdr:colOff>
      <xdr:row>10</xdr:row>
      <xdr:rowOff>144780</xdr:rowOff>
    </xdr:to>
    <xdr:sp macro="" textlink="">
      <xdr:nvSpPr>
        <xdr:cNvPr id="9570" name="Rectangle 354">
          <a:extLst>
            <a:ext uri="{FF2B5EF4-FFF2-40B4-BE49-F238E27FC236}">
              <a16:creationId xmlns:a16="http://schemas.microsoft.com/office/drawing/2014/main" id="{58F72E91-1E8C-42A8-AE44-2D39BD5E52C2}"/>
            </a:ext>
          </a:extLst>
        </xdr:cNvPr>
        <xdr:cNvSpPr>
          <a:spLocks noChangeArrowheads="1"/>
        </xdr:cNvSpPr>
      </xdr:nvSpPr>
      <xdr:spPr bwMode="auto">
        <a:xfrm>
          <a:off x="7071360" y="1539240"/>
          <a:ext cx="312420" cy="3124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27</xdr:col>
      <xdr:colOff>411480</xdr:colOff>
      <xdr:row>7</xdr:row>
      <xdr:rowOff>129540</xdr:rowOff>
    </xdr:from>
    <xdr:to>
      <xdr:col>27</xdr:col>
      <xdr:colOff>411480</xdr:colOff>
      <xdr:row>9</xdr:row>
      <xdr:rowOff>137160</xdr:rowOff>
    </xdr:to>
    <xdr:sp macro="" textlink="">
      <xdr:nvSpPr>
        <xdr:cNvPr id="9571" name="Line 355">
          <a:extLst>
            <a:ext uri="{FF2B5EF4-FFF2-40B4-BE49-F238E27FC236}">
              <a16:creationId xmlns:a16="http://schemas.microsoft.com/office/drawing/2014/main" id="{FF42406A-7C55-4792-8EB5-6BCD1E0C1708}"/>
            </a:ext>
          </a:extLst>
        </xdr:cNvPr>
        <xdr:cNvSpPr>
          <a:spLocks noChangeShapeType="1"/>
        </xdr:cNvSpPr>
      </xdr:nvSpPr>
      <xdr:spPr bwMode="auto">
        <a:xfrm flipV="1">
          <a:off x="7231380" y="13335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426720</xdr:colOff>
      <xdr:row>9</xdr:row>
      <xdr:rowOff>160020</xdr:rowOff>
    </xdr:from>
    <xdr:to>
      <xdr:col>28</xdr:col>
      <xdr:colOff>175260</xdr:colOff>
      <xdr:row>9</xdr:row>
      <xdr:rowOff>160020</xdr:rowOff>
    </xdr:to>
    <xdr:sp macro="" textlink="">
      <xdr:nvSpPr>
        <xdr:cNvPr id="9572" name="Line 356">
          <a:extLst>
            <a:ext uri="{FF2B5EF4-FFF2-40B4-BE49-F238E27FC236}">
              <a16:creationId xmlns:a16="http://schemas.microsoft.com/office/drawing/2014/main" id="{84DE9BD4-82B6-447E-8E4E-0782435DA37B}"/>
            </a:ext>
          </a:extLst>
        </xdr:cNvPr>
        <xdr:cNvSpPr>
          <a:spLocks noChangeShapeType="1"/>
        </xdr:cNvSpPr>
      </xdr:nvSpPr>
      <xdr:spPr bwMode="auto">
        <a:xfrm>
          <a:off x="7246620" y="1699260"/>
          <a:ext cx="373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441960</xdr:colOff>
      <xdr:row>8</xdr:row>
      <xdr:rowOff>68580</xdr:rowOff>
    </xdr:from>
    <xdr:to>
      <xdr:col>27</xdr:col>
      <xdr:colOff>411480</xdr:colOff>
      <xdr:row>8</xdr:row>
      <xdr:rowOff>68580</xdr:rowOff>
    </xdr:to>
    <xdr:sp macro="" textlink="">
      <xdr:nvSpPr>
        <xdr:cNvPr id="9573" name="Line 357">
          <a:extLst>
            <a:ext uri="{FF2B5EF4-FFF2-40B4-BE49-F238E27FC236}">
              <a16:creationId xmlns:a16="http://schemas.microsoft.com/office/drawing/2014/main" id="{CE9A2E6E-D952-4BD0-905A-D3FE290E7C06}"/>
            </a:ext>
          </a:extLst>
        </xdr:cNvPr>
        <xdr:cNvSpPr>
          <a:spLocks noChangeShapeType="1"/>
        </xdr:cNvSpPr>
      </xdr:nvSpPr>
      <xdr:spPr bwMode="auto">
        <a:xfrm>
          <a:off x="6637020" y="1440180"/>
          <a:ext cx="594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28</xdr:col>
      <xdr:colOff>38100</xdr:colOff>
      <xdr:row>9</xdr:row>
      <xdr:rowOff>160020</xdr:rowOff>
    </xdr:from>
    <xdr:to>
      <xdr:col>28</xdr:col>
      <xdr:colOff>38100</xdr:colOff>
      <xdr:row>13</xdr:row>
      <xdr:rowOff>60960</xdr:rowOff>
    </xdr:to>
    <xdr:sp macro="" textlink="">
      <xdr:nvSpPr>
        <xdr:cNvPr id="9574" name="Line 358">
          <a:extLst>
            <a:ext uri="{FF2B5EF4-FFF2-40B4-BE49-F238E27FC236}">
              <a16:creationId xmlns:a16="http://schemas.microsoft.com/office/drawing/2014/main" id="{2309B742-0461-4F8D-B115-B384249DBCAE}"/>
            </a:ext>
          </a:extLst>
        </xdr:cNvPr>
        <xdr:cNvSpPr>
          <a:spLocks noChangeShapeType="1"/>
        </xdr:cNvSpPr>
      </xdr:nvSpPr>
      <xdr:spPr bwMode="auto">
        <a:xfrm>
          <a:off x="7482840" y="169926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26</xdr:col>
      <xdr:colOff>457200</xdr:colOff>
      <xdr:row>12</xdr:row>
      <xdr:rowOff>38100</xdr:rowOff>
    </xdr:from>
    <xdr:to>
      <xdr:col>27</xdr:col>
      <xdr:colOff>7620</xdr:colOff>
      <xdr:row>13</xdr:row>
      <xdr:rowOff>68580</xdr:rowOff>
    </xdr:to>
    <xdr:sp macro="" textlink="">
      <xdr:nvSpPr>
        <xdr:cNvPr id="9575" name="Text Box 359">
          <a:extLst>
            <a:ext uri="{FF2B5EF4-FFF2-40B4-BE49-F238E27FC236}">
              <a16:creationId xmlns:a16="http://schemas.microsoft.com/office/drawing/2014/main" id="{CE2F4363-9BAC-4ACA-8F1B-4A43F601031C}"/>
            </a:ext>
          </a:extLst>
        </xdr:cNvPr>
        <xdr:cNvSpPr txBox="1">
          <a:spLocks noChangeArrowheads="1"/>
        </xdr:cNvSpPr>
      </xdr:nvSpPr>
      <xdr:spPr bwMode="auto">
        <a:xfrm>
          <a:off x="6652260" y="20802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1</a:t>
          </a:r>
        </a:p>
      </xdr:txBody>
    </xdr:sp>
    <xdr:clientData/>
  </xdr:twoCellAnchor>
  <xdr:twoCellAnchor>
    <xdr:from>
      <xdr:col>28</xdr:col>
      <xdr:colOff>243840</xdr:colOff>
      <xdr:row>12</xdr:row>
      <xdr:rowOff>45720</xdr:rowOff>
    </xdr:from>
    <xdr:to>
      <xdr:col>28</xdr:col>
      <xdr:colOff>419100</xdr:colOff>
      <xdr:row>13</xdr:row>
      <xdr:rowOff>76200</xdr:rowOff>
    </xdr:to>
    <xdr:sp macro="" textlink="">
      <xdr:nvSpPr>
        <xdr:cNvPr id="9576" name="Text Box 360">
          <a:extLst>
            <a:ext uri="{FF2B5EF4-FFF2-40B4-BE49-F238E27FC236}">
              <a16:creationId xmlns:a16="http://schemas.microsoft.com/office/drawing/2014/main" id="{E628FCFD-6165-4352-A0E1-59878C576E03}"/>
            </a:ext>
          </a:extLst>
        </xdr:cNvPr>
        <xdr:cNvSpPr txBox="1">
          <a:spLocks noChangeArrowheads="1"/>
        </xdr:cNvSpPr>
      </xdr:nvSpPr>
      <xdr:spPr bwMode="auto">
        <a:xfrm>
          <a:off x="7688580" y="20878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2</a:t>
          </a:r>
        </a:p>
      </xdr:txBody>
    </xdr:sp>
    <xdr:clientData/>
  </xdr:twoCellAnchor>
  <xdr:twoCellAnchor>
    <xdr:from>
      <xdr:col>26</xdr:col>
      <xdr:colOff>449580</xdr:colOff>
      <xdr:row>6</xdr:row>
      <xdr:rowOff>91440</xdr:rowOff>
    </xdr:from>
    <xdr:to>
      <xdr:col>27</xdr:col>
      <xdr:colOff>0</xdr:colOff>
      <xdr:row>7</xdr:row>
      <xdr:rowOff>121920</xdr:rowOff>
    </xdr:to>
    <xdr:sp macro="" textlink="">
      <xdr:nvSpPr>
        <xdr:cNvPr id="9577" name="Text Box 361">
          <a:extLst>
            <a:ext uri="{FF2B5EF4-FFF2-40B4-BE49-F238E27FC236}">
              <a16:creationId xmlns:a16="http://schemas.microsoft.com/office/drawing/2014/main" id="{7C834C3D-A383-4D22-B762-4B3D1EFDBBC3}"/>
            </a:ext>
          </a:extLst>
        </xdr:cNvPr>
        <xdr:cNvSpPr txBox="1">
          <a:spLocks noChangeArrowheads="1"/>
        </xdr:cNvSpPr>
      </xdr:nvSpPr>
      <xdr:spPr bwMode="auto">
        <a:xfrm>
          <a:off x="6644640" y="11277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3</a:t>
          </a:r>
        </a:p>
      </xdr:txBody>
    </xdr:sp>
    <xdr:clientData/>
  </xdr:twoCellAnchor>
  <xdr:twoCellAnchor>
    <xdr:from>
      <xdr:col>28</xdr:col>
      <xdr:colOff>243840</xdr:colOff>
      <xdr:row>6</xdr:row>
      <xdr:rowOff>99060</xdr:rowOff>
    </xdr:from>
    <xdr:to>
      <xdr:col>28</xdr:col>
      <xdr:colOff>419100</xdr:colOff>
      <xdr:row>7</xdr:row>
      <xdr:rowOff>129540</xdr:rowOff>
    </xdr:to>
    <xdr:sp macro="" textlink="">
      <xdr:nvSpPr>
        <xdr:cNvPr id="9578" name="Text Box 362">
          <a:extLst>
            <a:ext uri="{FF2B5EF4-FFF2-40B4-BE49-F238E27FC236}">
              <a16:creationId xmlns:a16="http://schemas.microsoft.com/office/drawing/2014/main" id="{887742E7-5BF8-4498-9E99-99D233AB5760}"/>
            </a:ext>
          </a:extLst>
        </xdr:cNvPr>
        <xdr:cNvSpPr txBox="1">
          <a:spLocks noChangeArrowheads="1"/>
        </xdr:cNvSpPr>
      </xdr:nvSpPr>
      <xdr:spPr bwMode="auto">
        <a:xfrm>
          <a:off x="7688580" y="11353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4</a:t>
          </a:r>
        </a:p>
      </xdr:txBody>
    </xdr:sp>
    <xdr:clientData/>
  </xdr:twoCellAnchor>
  <xdr:twoCellAnchor>
    <xdr:from>
      <xdr:col>26</xdr:col>
      <xdr:colOff>472440</xdr:colOff>
      <xdr:row>10</xdr:row>
      <xdr:rowOff>30480</xdr:rowOff>
    </xdr:from>
    <xdr:to>
      <xdr:col>27</xdr:col>
      <xdr:colOff>106680</xdr:colOff>
      <xdr:row>11</xdr:row>
      <xdr:rowOff>76200</xdr:rowOff>
    </xdr:to>
    <xdr:sp macro="" textlink="">
      <xdr:nvSpPr>
        <xdr:cNvPr id="9579" name="Text Box 363">
          <a:extLst>
            <a:ext uri="{FF2B5EF4-FFF2-40B4-BE49-F238E27FC236}">
              <a16:creationId xmlns:a16="http://schemas.microsoft.com/office/drawing/2014/main" id="{39E4E613-D51C-46E6-8165-6FE3875E2410}"/>
            </a:ext>
          </a:extLst>
        </xdr:cNvPr>
        <xdr:cNvSpPr txBox="1">
          <a:spLocks noChangeArrowheads="1"/>
        </xdr:cNvSpPr>
      </xdr:nvSpPr>
      <xdr:spPr bwMode="auto">
        <a:xfrm>
          <a:off x="6667500" y="173736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r>
            <a:rPr lang="en-US" sz="800" b="0" i="0" u="none" strike="noStrike" baseline="0%">
              <a:solidFill>
                <a:srgbClr val="0000FF"/>
              </a:solidFill>
              <a:latin typeface="Arial"/>
              <a:cs typeface="Arial"/>
            </a:rPr>
            <a:t>o</a:t>
          </a:r>
        </a:p>
      </xdr:txBody>
    </xdr:sp>
    <xdr:clientData/>
  </xdr:twoCellAnchor>
  <xdr:twoCellAnchor>
    <xdr:from>
      <xdr:col>27</xdr:col>
      <xdr:colOff>167640</xdr:colOff>
      <xdr:row>12</xdr:row>
      <xdr:rowOff>30480</xdr:rowOff>
    </xdr:from>
    <xdr:to>
      <xdr:col>27</xdr:col>
      <xdr:colOff>426720</xdr:colOff>
      <xdr:row>13</xdr:row>
      <xdr:rowOff>76200</xdr:rowOff>
    </xdr:to>
    <xdr:sp macro="" textlink="">
      <xdr:nvSpPr>
        <xdr:cNvPr id="9580" name="Text Box 364">
          <a:extLst>
            <a:ext uri="{FF2B5EF4-FFF2-40B4-BE49-F238E27FC236}">
              <a16:creationId xmlns:a16="http://schemas.microsoft.com/office/drawing/2014/main" id="{E7959214-CFFA-4647-9082-2EFD8D079B60}"/>
            </a:ext>
          </a:extLst>
        </xdr:cNvPr>
        <xdr:cNvSpPr txBox="1">
          <a:spLocks noChangeArrowheads="1"/>
        </xdr:cNvSpPr>
      </xdr:nvSpPr>
      <xdr:spPr bwMode="auto">
        <a:xfrm>
          <a:off x="6987540" y="207264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yo</a:t>
          </a:r>
        </a:p>
      </xdr:txBody>
    </xdr:sp>
    <xdr:clientData/>
  </xdr:twoCellAnchor>
  <xdr:twoCellAnchor>
    <xdr:from>
      <xdr:col>27</xdr:col>
      <xdr:colOff>106680</xdr:colOff>
      <xdr:row>7</xdr:row>
      <xdr:rowOff>76200</xdr:rowOff>
    </xdr:from>
    <xdr:to>
      <xdr:col>27</xdr:col>
      <xdr:colOff>373380</xdr:colOff>
      <xdr:row>8</xdr:row>
      <xdr:rowOff>129540</xdr:rowOff>
    </xdr:to>
    <xdr:sp macro="" textlink="">
      <xdr:nvSpPr>
        <xdr:cNvPr id="9581" name="Text Box 365">
          <a:extLst>
            <a:ext uri="{FF2B5EF4-FFF2-40B4-BE49-F238E27FC236}">
              <a16:creationId xmlns:a16="http://schemas.microsoft.com/office/drawing/2014/main" id="{3CD88A0D-37D6-4ED8-A7D9-6D8AC1649331}"/>
            </a:ext>
          </a:extLst>
        </xdr:cNvPr>
        <xdr:cNvSpPr txBox="1">
          <a:spLocks noChangeArrowheads="1"/>
        </xdr:cNvSpPr>
      </xdr:nvSpPr>
      <xdr:spPr bwMode="auto">
        <a:xfrm>
          <a:off x="6926580" y="128016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p>
      </xdr:txBody>
    </xdr:sp>
    <xdr:clientData/>
  </xdr:twoCellAnchor>
  <xdr:twoCellAnchor>
    <xdr:from>
      <xdr:col>28</xdr:col>
      <xdr:colOff>45720</xdr:colOff>
      <xdr:row>10</xdr:row>
      <xdr:rowOff>137160</xdr:rowOff>
    </xdr:from>
    <xdr:to>
      <xdr:col>28</xdr:col>
      <xdr:colOff>312420</xdr:colOff>
      <xdr:row>12</xdr:row>
      <xdr:rowOff>22860</xdr:rowOff>
    </xdr:to>
    <xdr:sp macro="" textlink="">
      <xdr:nvSpPr>
        <xdr:cNvPr id="9582" name="Text Box 366">
          <a:extLst>
            <a:ext uri="{FF2B5EF4-FFF2-40B4-BE49-F238E27FC236}">
              <a16:creationId xmlns:a16="http://schemas.microsoft.com/office/drawing/2014/main" id="{A6EBBE62-55E6-44AB-A5E9-0EAB56BB3B2C}"/>
            </a:ext>
          </a:extLst>
        </xdr:cNvPr>
        <xdr:cNvSpPr txBox="1">
          <a:spLocks noChangeArrowheads="1"/>
        </xdr:cNvSpPr>
      </xdr:nvSpPr>
      <xdr:spPr bwMode="auto">
        <a:xfrm>
          <a:off x="7490460" y="184404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Y</a:t>
          </a:r>
        </a:p>
      </xdr:txBody>
    </xdr:sp>
    <xdr:clientData/>
  </xdr:twoCellAnchor>
  <xdr:twoCellAnchor>
    <xdr:from>
      <xdr:col>28</xdr:col>
      <xdr:colOff>548640</xdr:colOff>
      <xdr:row>12</xdr:row>
      <xdr:rowOff>144780</xdr:rowOff>
    </xdr:from>
    <xdr:to>
      <xdr:col>29</xdr:col>
      <xdr:colOff>182880</xdr:colOff>
      <xdr:row>14</xdr:row>
      <xdr:rowOff>30480</xdr:rowOff>
    </xdr:to>
    <xdr:sp macro="" textlink="">
      <xdr:nvSpPr>
        <xdr:cNvPr id="9583" name="Text Box 367">
          <a:extLst>
            <a:ext uri="{FF2B5EF4-FFF2-40B4-BE49-F238E27FC236}">
              <a16:creationId xmlns:a16="http://schemas.microsoft.com/office/drawing/2014/main" id="{4813FAF7-913E-4A3C-8B43-186BDEBD5333}"/>
            </a:ext>
          </a:extLst>
        </xdr:cNvPr>
        <xdr:cNvSpPr txBox="1">
          <a:spLocks noChangeArrowheads="1"/>
        </xdr:cNvSpPr>
      </xdr:nvSpPr>
      <xdr:spPr bwMode="auto">
        <a:xfrm>
          <a:off x="7993380" y="2186940"/>
          <a:ext cx="2590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+X</a:t>
          </a:r>
        </a:p>
      </xdr:txBody>
    </xdr:sp>
    <xdr:clientData/>
  </xdr:twoCellAnchor>
  <xdr:twoCellAnchor>
    <xdr:from>
      <xdr:col>26</xdr:col>
      <xdr:colOff>312420</xdr:colOff>
      <xdr:row>4</xdr:row>
      <xdr:rowOff>99060</xdr:rowOff>
    </xdr:from>
    <xdr:to>
      <xdr:col>26</xdr:col>
      <xdr:colOff>579120</xdr:colOff>
      <xdr:row>5</xdr:row>
      <xdr:rowOff>144780</xdr:rowOff>
    </xdr:to>
    <xdr:sp macro="" textlink="">
      <xdr:nvSpPr>
        <xdr:cNvPr id="9584" name="Text Box 368">
          <a:extLst>
            <a:ext uri="{FF2B5EF4-FFF2-40B4-BE49-F238E27FC236}">
              <a16:creationId xmlns:a16="http://schemas.microsoft.com/office/drawing/2014/main" id="{94404F45-B70B-4B7D-9F8A-DE4E13FE83DE}"/>
            </a:ext>
          </a:extLst>
        </xdr:cNvPr>
        <xdr:cNvSpPr txBox="1">
          <a:spLocks noChangeArrowheads="1"/>
        </xdr:cNvSpPr>
      </xdr:nvSpPr>
      <xdr:spPr bwMode="auto">
        <a:xfrm>
          <a:off x="6507480" y="800100"/>
          <a:ext cx="2667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+Y</a:t>
          </a:r>
        </a:p>
      </xdr:txBody>
    </xdr:sp>
    <xdr:clientData/>
  </xdr:twoCellAnchor>
  <xdr:twoCellAnchor>
    <xdr:from>
      <xdr:col>26</xdr:col>
      <xdr:colOff>144780</xdr:colOff>
      <xdr:row>13</xdr:row>
      <xdr:rowOff>99060</xdr:rowOff>
    </xdr:from>
    <xdr:to>
      <xdr:col>26</xdr:col>
      <xdr:colOff>411480</xdr:colOff>
      <xdr:row>14</xdr:row>
      <xdr:rowOff>144780</xdr:rowOff>
    </xdr:to>
    <xdr:sp macro="" textlink="">
      <xdr:nvSpPr>
        <xdr:cNvPr id="9585" name="Text Box 369">
          <a:extLst>
            <a:ext uri="{FF2B5EF4-FFF2-40B4-BE49-F238E27FC236}">
              <a16:creationId xmlns:a16="http://schemas.microsoft.com/office/drawing/2014/main" id="{4D645701-D427-4759-9B7B-3C659F04DE8D}"/>
            </a:ext>
          </a:extLst>
        </xdr:cNvPr>
        <xdr:cNvSpPr txBox="1">
          <a:spLocks noChangeArrowheads="1"/>
        </xdr:cNvSpPr>
      </xdr:nvSpPr>
      <xdr:spPr bwMode="auto">
        <a:xfrm>
          <a:off x="6339840" y="2308860"/>
          <a:ext cx="2667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+Z</a:t>
          </a:r>
        </a:p>
      </xdr:txBody>
    </xdr:sp>
    <xdr:clientData/>
  </xdr:twoCellAnchor>
  <xdr:twoCellAnchor>
    <xdr:from>
      <xdr:col>27</xdr:col>
      <xdr:colOff>419100</xdr:colOff>
      <xdr:row>15</xdr:row>
      <xdr:rowOff>144780</xdr:rowOff>
    </xdr:from>
    <xdr:to>
      <xdr:col>28</xdr:col>
      <xdr:colOff>60960</xdr:colOff>
      <xdr:row>17</xdr:row>
      <xdr:rowOff>30480</xdr:rowOff>
    </xdr:to>
    <xdr:sp macro="" textlink="">
      <xdr:nvSpPr>
        <xdr:cNvPr id="9586" name="Text Box 370">
          <a:extLst>
            <a:ext uri="{FF2B5EF4-FFF2-40B4-BE49-F238E27FC236}">
              <a16:creationId xmlns:a16="http://schemas.microsoft.com/office/drawing/2014/main" id="{56C49B48-28E6-408F-911F-58DAE1170765}"/>
            </a:ext>
          </a:extLst>
        </xdr:cNvPr>
        <xdr:cNvSpPr txBox="1">
          <a:spLocks noChangeArrowheads="1"/>
        </xdr:cNvSpPr>
      </xdr:nvSpPr>
      <xdr:spPr bwMode="auto">
        <a:xfrm>
          <a:off x="7239000" y="268986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-P</a:t>
          </a:r>
          <a:r>
            <a:rPr lang="en-US" sz="800" b="1" i="0" u="none" strike="noStrike" baseline="0%">
              <a:solidFill>
                <a:srgbClr val="0000FF"/>
              </a:solidFill>
              <a:latin typeface="Arial"/>
              <a:cs typeface="Arial"/>
            </a:rPr>
            <a:t>z</a:t>
          </a:r>
        </a:p>
      </xdr:txBody>
    </xdr:sp>
    <xdr:clientData/>
  </xdr:twoCellAnchor>
  <xdr:twoCellAnchor>
    <xdr:from>
      <xdr:col>27</xdr:col>
      <xdr:colOff>548640</xdr:colOff>
      <xdr:row>18</xdr:row>
      <xdr:rowOff>0</xdr:rowOff>
    </xdr:from>
    <xdr:to>
      <xdr:col>28</xdr:col>
      <xdr:colOff>289560</xdr:colOff>
      <xdr:row>19</xdr:row>
      <xdr:rowOff>76200</xdr:rowOff>
    </xdr:to>
    <xdr:sp macro="" textlink="">
      <xdr:nvSpPr>
        <xdr:cNvPr id="9587" name="Text Box 371">
          <a:extLst>
            <a:ext uri="{FF2B5EF4-FFF2-40B4-BE49-F238E27FC236}">
              <a16:creationId xmlns:a16="http://schemas.microsoft.com/office/drawing/2014/main" id="{6C20DB03-4D3A-47E7-9AD8-3D2DB49035A5}"/>
            </a:ext>
          </a:extLst>
        </xdr:cNvPr>
        <xdr:cNvSpPr txBox="1">
          <a:spLocks noChangeArrowheads="1"/>
        </xdr:cNvSpPr>
      </xdr:nvSpPr>
      <xdr:spPr bwMode="auto">
        <a:xfrm>
          <a:off x="7368540" y="3048000"/>
          <a:ext cx="36576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+M</a:t>
          </a:r>
          <a:r>
            <a:rPr lang="en-US" sz="800" b="1" i="0" u="none" strike="noStrike" baseline="0%">
              <a:solidFill>
                <a:srgbClr val="0000FF"/>
              </a:solidFill>
              <a:latin typeface="Arial"/>
              <a:cs typeface="Arial"/>
            </a:rPr>
            <a:t>y</a:t>
          </a:r>
        </a:p>
      </xdr:txBody>
    </xdr:sp>
    <xdr:clientData/>
  </xdr:twoCellAnchor>
  <xdr:twoCellAnchor>
    <xdr:from>
      <xdr:col>26</xdr:col>
      <xdr:colOff>563880</xdr:colOff>
      <xdr:row>17</xdr:row>
      <xdr:rowOff>144780</xdr:rowOff>
    </xdr:from>
    <xdr:to>
      <xdr:col>27</xdr:col>
      <xdr:colOff>312420</xdr:colOff>
      <xdr:row>19</xdr:row>
      <xdr:rowOff>60960</xdr:rowOff>
    </xdr:to>
    <xdr:sp macro="" textlink="">
      <xdr:nvSpPr>
        <xdr:cNvPr id="9588" name="Text Box 372">
          <a:extLst>
            <a:ext uri="{FF2B5EF4-FFF2-40B4-BE49-F238E27FC236}">
              <a16:creationId xmlns:a16="http://schemas.microsoft.com/office/drawing/2014/main" id="{8DE84888-B026-4D1D-B46C-BD820A2E9985}"/>
            </a:ext>
          </a:extLst>
        </xdr:cNvPr>
        <xdr:cNvSpPr txBox="1">
          <a:spLocks noChangeArrowheads="1"/>
        </xdr:cNvSpPr>
      </xdr:nvSpPr>
      <xdr:spPr bwMode="auto">
        <a:xfrm>
          <a:off x="6758940" y="3025140"/>
          <a:ext cx="373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+H</a:t>
          </a:r>
          <a:r>
            <a:rPr lang="en-US" sz="800" b="1" i="0" u="none" strike="noStrike" baseline="0%">
              <a:solidFill>
                <a:srgbClr val="0000FF"/>
              </a:solidFill>
              <a:latin typeface="Arial"/>
              <a:cs typeface="Arial"/>
            </a:rPr>
            <a:t>x</a:t>
          </a:r>
        </a:p>
      </xdr:txBody>
    </xdr:sp>
    <xdr:clientData/>
  </xdr:twoCellAnchor>
  <xdr:twoCellAnchor>
    <xdr:from>
      <xdr:col>26</xdr:col>
      <xdr:colOff>205740</xdr:colOff>
      <xdr:row>19</xdr:row>
      <xdr:rowOff>76200</xdr:rowOff>
    </xdr:from>
    <xdr:to>
      <xdr:col>26</xdr:col>
      <xdr:colOff>381000</xdr:colOff>
      <xdr:row>20</xdr:row>
      <xdr:rowOff>106680</xdr:rowOff>
    </xdr:to>
    <xdr:sp macro="" textlink="">
      <xdr:nvSpPr>
        <xdr:cNvPr id="9589" name="Text Box 373">
          <a:extLst>
            <a:ext uri="{FF2B5EF4-FFF2-40B4-BE49-F238E27FC236}">
              <a16:creationId xmlns:a16="http://schemas.microsoft.com/office/drawing/2014/main" id="{14816343-2B13-4E6E-9532-CD6FF1A0BB6D}"/>
            </a:ext>
          </a:extLst>
        </xdr:cNvPr>
        <xdr:cNvSpPr txBox="1">
          <a:spLocks noChangeArrowheads="1"/>
        </xdr:cNvSpPr>
      </xdr:nvSpPr>
      <xdr:spPr bwMode="auto">
        <a:xfrm>
          <a:off x="6400800" y="329184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h</a:t>
          </a:r>
        </a:p>
      </xdr:txBody>
    </xdr:sp>
    <xdr:clientData/>
  </xdr:twoCellAnchor>
  <xdr:twoCellAnchor>
    <xdr:from>
      <xdr:col>27</xdr:col>
      <xdr:colOff>251460</xdr:colOff>
      <xdr:row>17</xdr:row>
      <xdr:rowOff>22860</xdr:rowOff>
    </xdr:from>
    <xdr:to>
      <xdr:col>27</xdr:col>
      <xdr:colOff>563880</xdr:colOff>
      <xdr:row>19</xdr:row>
      <xdr:rowOff>0</xdr:rowOff>
    </xdr:to>
    <xdr:sp macro="" textlink="">
      <xdr:nvSpPr>
        <xdr:cNvPr id="9590" name="Arc 374">
          <a:extLst>
            <a:ext uri="{FF2B5EF4-FFF2-40B4-BE49-F238E27FC236}">
              <a16:creationId xmlns:a16="http://schemas.microsoft.com/office/drawing/2014/main" id="{8448CB36-393F-49A0-9944-044073F89BCD}"/>
            </a:ext>
          </a:extLst>
        </xdr:cNvPr>
        <xdr:cNvSpPr>
          <a:spLocks/>
        </xdr:cNvSpPr>
      </xdr:nvSpPr>
      <xdr:spPr bwMode="auto">
        <a:xfrm rot="18900000">
          <a:off x="7071360" y="2903220"/>
          <a:ext cx="312420" cy="312420"/>
        </a:xfrm>
        <a:custGeom>
          <a:avLst/>
          <a:gdLst>
            <a:gd name="G0" fmla="+- 10424 0 0"/>
            <a:gd name="G1" fmla="+- 21600 0 0"/>
            <a:gd name="G2" fmla="+- 21600 0 0"/>
            <a:gd name="T0" fmla="*/ 0 w 32024"/>
            <a:gd name="T1" fmla="*/ 2682 h 33135"/>
            <a:gd name="T2" fmla="*/ 28686 w 32024"/>
            <a:gd name="T3" fmla="*/ 33135 h 33135"/>
            <a:gd name="T4" fmla="*/ 10424 w 32024"/>
            <a:gd name="T5" fmla="*/ 21600 h 33135"/>
          </a:gdLst>
          <a:ahLst/>
          <a:cxnLst>
            <a:cxn ang="0">
              <a:pos x="T0" y="T1"/>
            </a:cxn>
            <a:cxn ang="0">
              <a:pos x="T2" y="T3"/>
            </a:cxn>
            <a:cxn ang="0">
              <a:pos x="T4" y="T5"/>
            </a:cxn>
          </a:cxnLst>
          <a:rect l="0" t="0" r="r" b="b"/>
          <a:pathLst>
            <a:path w="32024" h="33135" fill="none" extrusionOk="0">
              <a:moveTo>
                <a:pt x="-1" y="2681"/>
              </a:moveTo>
              <a:cubicBezTo>
                <a:pt x="3192" y="922"/>
                <a:pt x="6778" y="0"/>
                <a:pt x="10424" y="0"/>
              </a:cubicBezTo>
              <a:cubicBezTo>
                <a:pt x="22353" y="0"/>
                <a:pt x="32024" y="9670"/>
                <a:pt x="32024" y="21600"/>
              </a:cubicBezTo>
              <a:cubicBezTo>
                <a:pt x="32024" y="25683"/>
                <a:pt x="30866" y="29682"/>
                <a:pt x="28686" y="33135"/>
              </a:cubicBezTo>
            </a:path>
            <a:path w="32024" h="33135" stroke="0" extrusionOk="0">
              <a:moveTo>
                <a:pt x="-1" y="2681"/>
              </a:moveTo>
              <a:cubicBezTo>
                <a:pt x="3192" y="922"/>
                <a:pt x="6778" y="0"/>
                <a:pt x="10424" y="0"/>
              </a:cubicBezTo>
              <a:cubicBezTo>
                <a:pt x="22353" y="0"/>
                <a:pt x="32024" y="9670"/>
                <a:pt x="32024" y="21600"/>
              </a:cubicBezTo>
              <a:cubicBezTo>
                <a:pt x="32024" y="25683"/>
                <a:pt x="30866" y="29682"/>
                <a:pt x="28686" y="33135"/>
              </a:cubicBezTo>
              <a:lnTo>
                <a:pt x="10424"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320040</xdr:colOff>
      <xdr:row>12</xdr:row>
      <xdr:rowOff>99060</xdr:rowOff>
    </xdr:from>
    <xdr:to>
      <xdr:col>26</xdr:col>
      <xdr:colOff>495300</xdr:colOff>
      <xdr:row>13</xdr:row>
      <xdr:rowOff>129540</xdr:rowOff>
    </xdr:to>
    <xdr:sp macro="" textlink="">
      <xdr:nvSpPr>
        <xdr:cNvPr id="9591" name="Text Box 375">
          <a:extLst>
            <a:ext uri="{FF2B5EF4-FFF2-40B4-BE49-F238E27FC236}">
              <a16:creationId xmlns:a16="http://schemas.microsoft.com/office/drawing/2014/main" id="{22164CC4-2AD3-4180-8B1C-7B837C97CFE8}"/>
            </a:ext>
          </a:extLst>
        </xdr:cNvPr>
        <xdr:cNvSpPr txBox="1">
          <a:spLocks noChangeArrowheads="1"/>
        </xdr:cNvSpPr>
      </xdr:nvSpPr>
      <xdr:spPr bwMode="auto">
        <a:xfrm>
          <a:off x="6515100" y="214122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0</a:t>
          </a:r>
        </a:p>
      </xdr:txBody>
    </xdr:sp>
    <xdr:clientData/>
  </xdr:twoCellAnchor>
  <xdr:twoCellAnchor>
    <xdr:from>
      <xdr:col>27</xdr:col>
      <xdr:colOff>7620</xdr:colOff>
      <xdr:row>10</xdr:row>
      <xdr:rowOff>160020</xdr:rowOff>
    </xdr:from>
    <xdr:to>
      <xdr:col>27</xdr:col>
      <xdr:colOff>7620</xdr:colOff>
      <xdr:row>12</xdr:row>
      <xdr:rowOff>7620</xdr:rowOff>
    </xdr:to>
    <xdr:sp macro="" textlink="">
      <xdr:nvSpPr>
        <xdr:cNvPr id="9592" name="Line 376">
          <a:extLst>
            <a:ext uri="{FF2B5EF4-FFF2-40B4-BE49-F238E27FC236}">
              <a16:creationId xmlns:a16="http://schemas.microsoft.com/office/drawing/2014/main" id="{1F3DDA05-7476-46F2-A376-7D7D596254D6}"/>
            </a:ext>
          </a:extLst>
        </xdr:cNvPr>
        <xdr:cNvSpPr>
          <a:spLocks noChangeShapeType="1"/>
        </xdr:cNvSpPr>
      </xdr:nvSpPr>
      <xdr:spPr bwMode="auto">
        <a:xfrm flipV="1">
          <a:off x="6827520" y="1866900"/>
          <a:ext cx="0" cy="182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30480</xdr:colOff>
      <xdr:row>12</xdr:row>
      <xdr:rowOff>30480</xdr:rowOff>
    </xdr:from>
    <xdr:to>
      <xdr:col>27</xdr:col>
      <xdr:colOff>198120</xdr:colOff>
      <xdr:row>12</xdr:row>
      <xdr:rowOff>30480</xdr:rowOff>
    </xdr:to>
    <xdr:sp macro="" textlink="">
      <xdr:nvSpPr>
        <xdr:cNvPr id="9593" name="Line 377">
          <a:extLst>
            <a:ext uri="{FF2B5EF4-FFF2-40B4-BE49-F238E27FC236}">
              <a16:creationId xmlns:a16="http://schemas.microsoft.com/office/drawing/2014/main" id="{42D2C0D0-798F-4724-94CB-C05CE0DFD35F}"/>
            </a:ext>
          </a:extLst>
        </xdr:cNvPr>
        <xdr:cNvSpPr>
          <a:spLocks noChangeShapeType="1"/>
        </xdr:cNvSpPr>
      </xdr:nvSpPr>
      <xdr:spPr bwMode="auto">
        <a:xfrm>
          <a:off x="6850380" y="2072640"/>
          <a:ext cx="167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441960</xdr:colOff>
      <xdr:row>11</xdr:row>
      <xdr:rowOff>38100</xdr:rowOff>
    </xdr:from>
    <xdr:to>
      <xdr:col>27</xdr:col>
      <xdr:colOff>7620</xdr:colOff>
      <xdr:row>11</xdr:row>
      <xdr:rowOff>38100</xdr:rowOff>
    </xdr:to>
    <xdr:sp macro="" textlink="">
      <xdr:nvSpPr>
        <xdr:cNvPr id="9594" name="Line 378">
          <a:extLst>
            <a:ext uri="{FF2B5EF4-FFF2-40B4-BE49-F238E27FC236}">
              <a16:creationId xmlns:a16="http://schemas.microsoft.com/office/drawing/2014/main" id="{8782264B-5009-4A61-B105-FE3CE72921E7}"/>
            </a:ext>
          </a:extLst>
        </xdr:cNvPr>
        <xdr:cNvSpPr>
          <a:spLocks noChangeShapeType="1"/>
        </xdr:cNvSpPr>
      </xdr:nvSpPr>
      <xdr:spPr bwMode="auto">
        <a:xfrm>
          <a:off x="6637020" y="191262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144780</xdr:colOff>
      <xdr:row>12</xdr:row>
      <xdr:rowOff>30480</xdr:rowOff>
    </xdr:from>
    <xdr:to>
      <xdr:col>27</xdr:col>
      <xdr:colOff>144780</xdr:colOff>
      <xdr:row>13</xdr:row>
      <xdr:rowOff>60960</xdr:rowOff>
    </xdr:to>
    <xdr:sp macro="" textlink="">
      <xdr:nvSpPr>
        <xdr:cNvPr id="9595" name="Line 379">
          <a:extLst>
            <a:ext uri="{FF2B5EF4-FFF2-40B4-BE49-F238E27FC236}">
              <a16:creationId xmlns:a16="http://schemas.microsoft.com/office/drawing/2014/main" id="{ABD13A47-8A2E-495F-8477-280A58ED3DA1}"/>
            </a:ext>
          </a:extLst>
        </xdr:cNvPr>
        <xdr:cNvSpPr>
          <a:spLocks noChangeShapeType="1"/>
        </xdr:cNvSpPr>
      </xdr:nvSpPr>
      <xdr:spPr bwMode="auto">
        <a:xfrm>
          <a:off x="6964680" y="2072640"/>
          <a:ext cx="0" cy="198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251460</xdr:colOff>
      <xdr:row>21</xdr:row>
      <xdr:rowOff>121920</xdr:rowOff>
    </xdr:from>
    <xdr:to>
      <xdr:col>27</xdr:col>
      <xdr:colOff>601980</xdr:colOff>
      <xdr:row>22</xdr:row>
      <xdr:rowOff>160020</xdr:rowOff>
    </xdr:to>
    <xdr:sp macro="" textlink="">
      <xdr:nvSpPr>
        <xdr:cNvPr id="9596" name="Text Box 380">
          <a:extLst>
            <a:ext uri="{FF2B5EF4-FFF2-40B4-BE49-F238E27FC236}">
              <a16:creationId xmlns:a16="http://schemas.microsoft.com/office/drawing/2014/main" id="{1D01FA65-A85B-43D6-866F-B3F21912F6E7}"/>
            </a:ext>
          </a:extLst>
        </xdr:cNvPr>
        <xdr:cNvSpPr txBox="1">
          <a:spLocks noChangeArrowheads="1"/>
        </xdr:cNvSpPr>
      </xdr:nvSpPr>
      <xdr:spPr bwMode="auto">
        <a:xfrm>
          <a:off x="7071360" y="3672840"/>
          <a:ext cx="35052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Piles</a:t>
          </a:r>
        </a:p>
      </xdr:txBody>
    </xdr:sp>
    <xdr:clientData/>
  </xdr:twoCellAnchor>
  <xdr:twoCellAnchor>
    <xdr:from>
      <xdr:col>27</xdr:col>
      <xdr:colOff>76200</xdr:colOff>
      <xdr:row>22</xdr:row>
      <xdr:rowOff>30480</xdr:rowOff>
    </xdr:from>
    <xdr:to>
      <xdr:col>27</xdr:col>
      <xdr:colOff>213360</xdr:colOff>
      <xdr:row>22</xdr:row>
      <xdr:rowOff>30480</xdr:rowOff>
    </xdr:to>
    <xdr:sp macro="" textlink="">
      <xdr:nvSpPr>
        <xdr:cNvPr id="9597" name="Line 381">
          <a:extLst>
            <a:ext uri="{FF2B5EF4-FFF2-40B4-BE49-F238E27FC236}">
              <a16:creationId xmlns:a16="http://schemas.microsoft.com/office/drawing/2014/main" id="{9D028E8E-45D9-45E6-AA0C-F94B00C78BAE}"/>
            </a:ext>
          </a:extLst>
        </xdr:cNvPr>
        <xdr:cNvSpPr>
          <a:spLocks noChangeShapeType="1"/>
        </xdr:cNvSpPr>
      </xdr:nvSpPr>
      <xdr:spPr bwMode="auto">
        <a:xfrm flipH="1">
          <a:off x="689610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601980</xdr:colOff>
      <xdr:row>22</xdr:row>
      <xdr:rowOff>30480</xdr:rowOff>
    </xdr:from>
    <xdr:to>
      <xdr:col>28</xdr:col>
      <xdr:colOff>114300</xdr:colOff>
      <xdr:row>22</xdr:row>
      <xdr:rowOff>30480</xdr:rowOff>
    </xdr:to>
    <xdr:sp macro="" textlink="">
      <xdr:nvSpPr>
        <xdr:cNvPr id="9598" name="Line 382">
          <a:extLst>
            <a:ext uri="{FF2B5EF4-FFF2-40B4-BE49-F238E27FC236}">
              <a16:creationId xmlns:a16="http://schemas.microsoft.com/office/drawing/2014/main" id="{4D90E1E7-4D39-455D-AE9E-A1C33E9360D8}"/>
            </a:ext>
          </a:extLst>
        </xdr:cNvPr>
        <xdr:cNvSpPr>
          <a:spLocks noChangeShapeType="1"/>
        </xdr:cNvSpPr>
      </xdr:nvSpPr>
      <xdr:spPr bwMode="auto">
        <a:xfrm>
          <a:off x="742188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sm"/>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v="urn:schemas-microsoft-com:vml" Requires="v"/>
    <mc:Fallback>
      <xdr:twoCellAnchor editAs="absolute">
        <xdr:from>
          <xdr:col>27</xdr:col>
          <xdr:colOff>106680</xdr:colOff>
          <xdr:row>0</xdr:row>
          <xdr:rowOff>15240</xdr:rowOff>
        </xdr:from>
        <xdr:to>
          <xdr:col>29</xdr:col>
          <xdr:colOff>426720</xdr:colOff>
          <xdr:row>1</xdr:row>
          <xdr:rowOff>106680</xdr:rowOff>
        </xdr:to>
        <xdr:sp macro="" textlink="">
          <xdr:nvSpPr>
            <xdr:cNvPr id="9217" name="Comment 1" hidden="1">
              <a:extLst>
                <a:ext uri="{FF2B5EF4-FFF2-40B4-BE49-F238E27FC236}">
                  <a16:creationId xmlns:a16="http://schemas.microsoft.com/office/drawing/2014/main" id="{229F9121-855F-4726-A11A-5E679B96ED3D}"/>
                </a:ext>
              </a:extLst>
            </xdr:cNvPr>
            <xdr:cNvSpPr txBox="1">
              <a:spLocks noChangeArrowheads="1"/>
            </xdr:cNvSpPr>
          </xdr:nvSpPr>
          <xdr:spPr bwMode="auto">
            <a:xfrm>
              <a:off x="6926580" y="15240"/>
              <a:ext cx="1569720" cy="2895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              "</a:t>
              </a:r>
              <a:r>
                <a:rPr lang="en-US" sz="800" b="1" i="0" u="none" strike="noStrike" baseline="0%">
                  <a:solidFill>
                    <a:srgbClr val="000000"/>
                  </a:solidFill>
                  <a:latin typeface="Tahoma"/>
                  <a:ea typeface="Tahoma"/>
                  <a:cs typeface="Tahoma"/>
                </a:rPr>
                <a:t>PILEGRP.xls</a:t>
              </a:r>
              <a:r>
                <a:rPr lang="en-US" sz="800" b="0" i="0" u="none" strike="noStrike" baseline="0%">
                  <a:solidFill>
                    <a:srgbClr val="000000"/>
                  </a:solidFill>
                  <a:latin typeface="Tahoma"/>
                  <a:ea typeface="Tahoma"/>
                  <a:cs typeface="Tahoma"/>
                </a:rPr>
                <a:t>"</a:t>
              </a:r>
            </a:p>
            <a:p>
              <a:pPr algn="l" rtl="0">
                <a:defRPr sz="1000"/>
              </a:pPr>
              <a:r>
                <a:rPr lang="en-US" sz="800" b="0" i="0" u="none" strike="noStrike" baseline="0%">
                  <a:solidFill>
                    <a:srgbClr val="000000"/>
                  </a:solidFill>
                  <a:latin typeface="Tahoma"/>
                  <a:ea typeface="Tahoma"/>
                  <a:cs typeface="Tahoma"/>
                </a:rPr>
                <a:t>written by:  Alex Tomanovich, P.E.</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71</xdr:row>
          <xdr:rowOff>68580</xdr:rowOff>
        </xdr:from>
        <xdr:to>
          <xdr:col>26</xdr:col>
          <xdr:colOff>579120</xdr:colOff>
          <xdr:row>78</xdr:row>
          <xdr:rowOff>60960</xdr:rowOff>
        </xdr:to>
        <xdr:sp macro="" textlink="">
          <xdr:nvSpPr>
            <xdr:cNvPr id="9353" name="Comment 137" hidden="1">
              <a:extLst>
                <a:ext uri="{FF2B5EF4-FFF2-40B4-BE49-F238E27FC236}">
                  <a16:creationId xmlns:a16="http://schemas.microsoft.com/office/drawing/2014/main" id="{E25CEAFD-3BA7-4605-8678-15CE306FA29F}"/>
                </a:ext>
              </a:extLst>
            </xdr:cNvPr>
            <xdr:cNvSpPr txBox="1">
              <a:spLocks noChangeArrowheads="1"/>
            </xdr:cNvSpPr>
          </xdr:nvSpPr>
          <xdr:spPr bwMode="auto">
            <a:xfrm>
              <a:off x="1653540" y="12001500"/>
              <a:ext cx="5120640" cy="11658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Pile Reaction, 'Rz', at each pile is calculated as follows:</a:t>
              </a:r>
            </a:p>
            <a:p>
              <a:pPr algn="l" rtl="0">
                <a:defRPr sz="1000"/>
              </a:pPr>
              <a:r>
                <a:rPr lang="en-US" sz="800" b="0" i="0" u="none" strike="noStrike" baseline="0%">
                  <a:solidFill>
                    <a:srgbClr val="000000"/>
                  </a:solidFill>
                  <a:latin typeface="Tahoma"/>
                  <a:ea typeface="Tahoma"/>
                  <a:cs typeface="Tahoma"/>
                </a:rPr>
                <a:t>   Rz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Pz)/Np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My)*Ix-(-</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Mx)*Ixy)/(Ix*Iy-Ixy^2)*Xp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Mx)*Iy-(</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My)*Ixy)/(Ix*Iy-Ixy^2)*Yp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Sign convention for 'Rz'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68580</xdr:colOff>
          <xdr:row>71</xdr:row>
          <xdr:rowOff>68580</xdr:rowOff>
        </xdr:from>
        <xdr:to>
          <xdr:col>8</xdr:col>
          <xdr:colOff>579120</xdr:colOff>
          <xdr:row>77</xdr:row>
          <xdr:rowOff>60960</xdr:rowOff>
        </xdr:to>
        <xdr:sp macro="" textlink="">
          <xdr:nvSpPr>
            <xdr:cNvPr id="9355" name="Comment 139" hidden="1">
              <a:extLst>
                <a:ext uri="{FF2B5EF4-FFF2-40B4-BE49-F238E27FC236}">
                  <a16:creationId xmlns:a16="http://schemas.microsoft.com/office/drawing/2014/main" id="{9ED5752A-C471-46FE-8D45-916DA4E05671}"/>
                </a:ext>
              </a:extLst>
            </xdr:cNvPr>
            <xdr:cNvSpPr txBox="1">
              <a:spLocks noChangeArrowheads="1"/>
            </xdr:cNvSpPr>
          </xdr:nvSpPr>
          <xdr:spPr bwMode="auto">
            <a:xfrm>
              <a:off x="2278380" y="12001500"/>
              <a:ext cx="3665220" cy="9982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Horizontal Pile Reaction, 'Rh', at each pile is calculated as follows:</a:t>
              </a:r>
            </a:p>
            <a:p>
              <a:pPr algn="l" rtl="0">
                <a:defRPr sz="1000"/>
              </a:pPr>
              <a:r>
                <a:rPr lang="en-US" sz="800" b="0" i="0" u="none" strike="noStrike" baseline="0%">
                  <a:solidFill>
                    <a:srgbClr val="000000"/>
                  </a:solidFill>
                  <a:latin typeface="Tahoma"/>
                  <a:ea typeface="Tahoma"/>
                  <a:cs typeface="Tahoma"/>
                </a:rPr>
                <a:t>   Rh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Hx)/Np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Mz)*Yp/J)^2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Hy)/Np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Mz)*Xp/J)^2)^(1/2)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Note: 'Rh' is an "absolute" value with no particular sign convention, thus no</a:t>
              </a:r>
            </a:p>
            <a:p>
              <a:pPr algn="l" rtl="0">
                <a:defRPr sz="1000"/>
              </a:pPr>
              <a:r>
                <a:rPr lang="en-US" sz="800" b="0" i="0" u="none" strike="noStrike" baseline="0%">
                  <a:solidFill>
                    <a:srgbClr val="000000"/>
                  </a:solidFill>
                  <a:latin typeface="Tahoma"/>
                  <a:ea typeface="Tahoma"/>
                  <a:cs typeface="Tahoma"/>
                </a:rPr>
                <a:t>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76200</xdr:colOff>
          <xdr:row>63</xdr:row>
          <xdr:rowOff>68580</xdr:rowOff>
        </xdr:from>
        <xdr:to>
          <xdr:col>5</xdr:col>
          <xdr:colOff>373380</xdr:colOff>
          <xdr:row>66</xdr:row>
          <xdr:rowOff>22860</xdr:rowOff>
        </xdr:to>
        <xdr:sp macro="" textlink="">
          <xdr:nvSpPr>
            <xdr:cNvPr id="9361" name="Comment 145" hidden="1">
              <a:extLst>
                <a:ext uri="{FF2B5EF4-FFF2-40B4-BE49-F238E27FC236}">
                  <a16:creationId xmlns:a16="http://schemas.microsoft.com/office/drawing/2014/main" id="{CD62BFFF-A8F1-482A-8E9D-152A3B3D3DC2}"/>
                </a:ext>
              </a:extLst>
            </xdr:cNvPr>
            <xdr:cNvSpPr txBox="1">
              <a:spLocks noChangeArrowheads="1"/>
            </xdr:cNvSpPr>
          </xdr:nvSpPr>
          <xdr:spPr bwMode="auto">
            <a:xfrm>
              <a:off x="1623060" y="10660380"/>
              <a:ext cx="224028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Pz = sum of all applied vertical (Z-axis)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+Z-axis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76200</xdr:colOff>
          <xdr:row>64</xdr:row>
          <xdr:rowOff>68580</xdr:rowOff>
        </xdr:from>
        <xdr:to>
          <xdr:col>5</xdr:col>
          <xdr:colOff>525780</xdr:colOff>
          <xdr:row>67</xdr:row>
          <xdr:rowOff>7620</xdr:rowOff>
        </xdr:to>
        <xdr:sp macro="" textlink="">
          <xdr:nvSpPr>
            <xdr:cNvPr id="9362" name="Comment 146" hidden="1">
              <a:extLst>
                <a:ext uri="{FF2B5EF4-FFF2-40B4-BE49-F238E27FC236}">
                  <a16:creationId xmlns:a16="http://schemas.microsoft.com/office/drawing/2014/main" id="{02187678-CCC1-41DA-96DF-86E49C775297}"/>
                </a:ext>
              </a:extLst>
            </xdr:cNvPr>
            <xdr:cNvSpPr txBox="1">
              <a:spLocks noChangeArrowheads="1"/>
            </xdr:cNvSpPr>
          </xdr:nvSpPr>
          <xdr:spPr bwMode="auto">
            <a:xfrm>
              <a:off x="1623060" y="10828020"/>
              <a:ext cx="2392680" cy="4419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Hx = sum of all applied horizontal (X-axis)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+X-axis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76200</xdr:colOff>
          <xdr:row>65</xdr:row>
          <xdr:rowOff>68580</xdr:rowOff>
        </xdr:from>
        <xdr:to>
          <xdr:col>5</xdr:col>
          <xdr:colOff>525780</xdr:colOff>
          <xdr:row>68</xdr:row>
          <xdr:rowOff>7620</xdr:rowOff>
        </xdr:to>
        <xdr:sp macro="" textlink="">
          <xdr:nvSpPr>
            <xdr:cNvPr id="9363" name="Comment 147" hidden="1">
              <a:extLst>
                <a:ext uri="{FF2B5EF4-FFF2-40B4-BE49-F238E27FC236}">
                  <a16:creationId xmlns:a16="http://schemas.microsoft.com/office/drawing/2014/main" id="{86311905-074A-47EA-B11E-4C7EE69CC40A}"/>
                </a:ext>
              </a:extLst>
            </xdr:cNvPr>
            <xdr:cNvSpPr txBox="1">
              <a:spLocks noChangeArrowheads="1"/>
            </xdr:cNvSpPr>
          </xdr:nvSpPr>
          <xdr:spPr bwMode="auto">
            <a:xfrm>
              <a:off x="1623060" y="10995660"/>
              <a:ext cx="2392680" cy="4419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Hy = sum of all applied horizontal (Y-axis)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+Y-axis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54</xdr:row>
          <xdr:rowOff>68580</xdr:rowOff>
        </xdr:from>
        <xdr:to>
          <xdr:col>5</xdr:col>
          <xdr:colOff>160020</xdr:colOff>
          <xdr:row>58</xdr:row>
          <xdr:rowOff>129540</xdr:rowOff>
        </xdr:to>
        <xdr:sp macro="" textlink="">
          <xdr:nvSpPr>
            <xdr:cNvPr id="9372" name="Comment 156" hidden="1">
              <a:extLst>
                <a:ext uri="{FF2B5EF4-FFF2-40B4-BE49-F238E27FC236}">
                  <a16:creationId xmlns:a16="http://schemas.microsoft.com/office/drawing/2014/main" id="{9D76609C-1C8C-4F8A-8CFC-EC756010F645}"/>
                </a:ext>
              </a:extLst>
            </xdr:cNvPr>
            <xdr:cNvSpPr txBox="1">
              <a:spLocks noChangeArrowheads="1"/>
            </xdr:cNvSpPr>
          </xdr:nvSpPr>
          <xdr:spPr bwMode="auto">
            <a:xfrm>
              <a:off x="1653540" y="9151620"/>
              <a:ext cx="199644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Y-axis from the origin Y-axis is calculated as follows:</a:t>
              </a:r>
            </a:p>
            <a:p>
              <a:pPr algn="l" rtl="0">
                <a:defRPr sz="1000"/>
              </a:pPr>
              <a:r>
                <a:rPr lang="en-US" sz="800" b="0" i="0" u="none" strike="noStrike" baseline="0%">
                  <a:solidFill>
                    <a:srgbClr val="000000"/>
                  </a:solidFill>
                  <a:latin typeface="Tahoma"/>
                  <a:ea typeface="Tahoma"/>
                  <a:cs typeface="Tahoma"/>
                </a:rPr>
                <a:t>   Xc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(Xo)/Np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55</xdr:row>
          <xdr:rowOff>68580</xdr:rowOff>
        </xdr:from>
        <xdr:to>
          <xdr:col>5</xdr:col>
          <xdr:colOff>160020</xdr:colOff>
          <xdr:row>59</xdr:row>
          <xdr:rowOff>129540</xdr:rowOff>
        </xdr:to>
        <xdr:sp macro="" textlink="">
          <xdr:nvSpPr>
            <xdr:cNvPr id="9373" name="Comment 157" hidden="1">
              <a:extLst>
                <a:ext uri="{FF2B5EF4-FFF2-40B4-BE49-F238E27FC236}">
                  <a16:creationId xmlns:a16="http://schemas.microsoft.com/office/drawing/2014/main" id="{CD7CA972-D78E-4A3C-B38E-89DBAA453652}"/>
                </a:ext>
              </a:extLst>
            </xdr:cNvPr>
            <xdr:cNvSpPr txBox="1">
              <a:spLocks noChangeArrowheads="1"/>
            </xdr:cNvSpPr>
          </xdr:nvSpPr>
          <xdr:spPr bwMode="auto">
            <a:xfrm>
              <a:off x="1653540" y="9319260"/>
              <a:ext cx="199644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X-axis from the origin X-axis is calculated as follows:</a:t>
              </a:r>
            </a:p>
            <a:p>
              <a:pPr algn="l" rtl="0">
                <a:defRPr sz="1000"/>
              </a:pPr>
              <a:r>
                <a:rPr lang="en-US" sz="800" b="0" i="0" u="none" strike="noStrike" baseline="0%">
                  <a:solidFill>
                    <a:srgbClr val="000000"/>
                  </a:solidFill>
                  <a:latin typeface="Tahoma"/>
                  <a:ea typeface="Tahoma"/>
                  <a:cs typeface="Tahoma"/>
                </a:rPr>
                <a:t>   Yc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(Yo)/Np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60</xdr:row>
          <xdr:rowOff>68580</xdr:rowOff>
        </xdr:from>
        <xdr:to>
          <xdr:col>5</xdr:col>
          <xdr:colOff>563880</xdr:colOff>
          <xdr:row>66</xdr:row>
          <xdr:rowOff>68580</xdr:rowOff>
        </xdr:to>
        <xdr:sp macro="" textlink="">
          <xdr:nvSpPr>
            <xdr:cNvPr id="9378" name="Comment 162" hidden="1">
              <a:extLst>
                <a:ext uri="{FF2B5EF4-FFF2-40B4-BE49-F238E27FC236}">
                  <a16:creationId xmlns:a16="http://schemas.microsoft.com/office/drawing/2014/main" id="{386F7DA9-0613-4E96-812D-33C54703A1A9}"/>
                </a:ext>
              </a:extLst>
            </xdr:cNvPr>
            <xdr:cNvSpPr txBox="1">
              <a:spLocks noChangeArrowheads="1"/>
            </xdr:cNvSpPr>
          </xdr:nvSpPr>
          <xdr:spPr bwMode="auto">
            <a:xfrm>
              <a:off x="1653540" y="10157460"/>
              <a:ext cx="240030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orientation of the principal axes, is defined by the rotation angle,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from the centroidal axes and is calculated as follows:</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a:t>
              </a:r>
              <a:r>
                <a:rPr lang="en-US" sz="800" b="0" i="0" u="none" strike="noStrike" baseline="0%">
                  <a:solidFill>
                    <a:srgbClr val="000000"/>
                  </a:solidFill>
                  <a:latin typeface="Tahoma"/>
                  <a:ea typeface="Tahoma"/>
                  <a:cs typeface="Tahoma"/>
                </a:rPr>
                <a:t> = (ATAN(-2*Ixy/(Ix-Iy)))/2</a:t>
              </a:r>
            </a:p>
            <a:p>
              <a:pPr algn="l" rtl="0">
                <a:defRPr sz="1000"/>
              </a:pPr>
              <a:r>
                <a:rPr lang="en-US" sz="800" b="0" i="0" u="none" strike="noStrike" baseline="0%">
                  <a:solidFill>
                    <a:srgbClr val="000000"/>
                  </a:solidFill>
                  <a:latin typeface="Tahoma"/>
                  <a:ea typeface="Tahoma"/>
                  <a:cs typeface="Tahoma"/>
                </a:rPr>
                <a:t>Note: sign convention is positive (+) ccw.</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 0  for a pile group with at least one</a:t>
              </a:r>
            </a:p>
            <a:p>
              <a:pPr algn="l" rtl="0">
                <a:defRPr sz="1000"/>
              </a:pPr>
              <a:r>
                <a:rPr lang="en-US" sz="800" b="0" i="0" u="none" strike="noStrike" baseline="0%">
                  <a:solidFill>
                    <a:srgbClr val="000000"/>
                  </a:solidFill>
                  <a:latin typeface="Tahoma"/>
                  <a:ea typeface="Tahoma"/>
                  <a:cs typeface="Tahoma"/>
                </a:rPr>
                <a:t>          axis of symmetry.</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68580</xdr:colOff>
          <xdr:row>8</xdr:row>
          <xdr:rowOff>68580</xdr:rowOff>
        </xdr:from>
        <xdr:to>
          <xdr:col>7</xdr:col>
          <xdr:colOff>182880</xdr:colOff>
          <xdr:row>13</xdr:row>
          <xdr:rowOff>91440</xdr:rowOff>
        </xdr:to>
        <xdr:sp macro="" textlink="">
          <xdr:nvSpPr>
            <xdr:cNvPr id="9379" name="Comment 163" hidden="1">
              <a:extLst>
                <a:ext uri="{FF2B5EF4-FFF2-40B4-BE49-F238E27FC236}">
                  <a16:creationId xmlns:a16="http://schemas.microsoft.com/office/drawing/2014/main" id="{5E7A1F20-07A7-49C4-9D13-9882D7E16CBE}"/>
                </a:ext>
              </a:extLst>
            </xdr:cNvPr>
            <xdr:cNvSpPr txBox="1">
              <a:spLocks noChangeArrowheads="1"/>
            </xdr:cNvSpPr>
          </xdr:nvSpPr>
          <xdr:spPr bwMode="auto">
            <a:xfrm>
              <a:off x="2278380" y="1440180"/>
              <a:ext cx="2644140" cy="8610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piles must be located in the positive 1st quadrant.  That is, all pile Xo, Yo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pile coordinates, or those cell values should be input = 0.</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9</xdr:row>
          <xdr:rowOff>68580</xdr:rowOff>
        </xdr:from>
        <xdr:to>
          <xdr:col>5</xdr:col>
          <xdr:colOff>144780</xdr:colOff>
          <xdr:row>11</xdr:row>
          <xdr:rowOff>45720</xdr:rowOff>
        </xdr:to>
        <xdr:sp macro="" textlink="">
          <xdr:nvSpPr>
            <xdr:cNvPr id="9380" name="Comment 164" hidden="1">
              <a:extLst>
                <a:ext uri="{FF2B5EF4-FFF2-40B4-BE49-F238E27FC236}">
                  <a16:creationId xmlns:a16="http://schemas.microsoft.com/office/drawing/2014/main" id="{D90FFFA4-9AA2-4528-9383-C4DCF4CC672B}"/>
                </a:ext>
              </a:extLst>
            </xdr:cNvPr>
            <xdr:cNvSpPr txBox="1">
              <a:spLocks noChangeArrowheads="1"/>
            </xdr:cNvSpPr>
          </xdr:nvSpPr>
          <xdr:spPr bwMode="auto">
            <a:xfrm>
              <a:off x="1653540" y="1607820"/>
              <a:ext cx="19812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'Xo' coordinate is the x-distance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68580</xdr:colOff>
          <xdr:row>9</xdr:row>
          <xdr:rowOff>68580</xdr:rowOff>
        </xdr:from>
        <xdr:to>
          <xdr:col>6</xdr:col>
          <xdr:colOff>144780</xdr:colOff>
          <xdr:row>11</xdr:row>
          <xdr:rowOff>45720</xdr:rowOff>
        </xdr:to>
        <xdr:sp macro="" textlink="">
          <xdr:nvSpPr>
            <xdr:cNvPr id="9381" name="Comment 165" hidden="1">
              <a:extLst>
                <a:ext uri="{FF2B5EF4-FFF2-40B4-BE49-F238E27FC236}">
                  <a16:creationId xmlns:a16="http://schemas.microsoft.com/office/drawing/2014/main" id="{5476834A-50CA-409F-BEFC-D69FD559D93E}"/>
                </a:ext>
              </a:extLst>
            </xdr:cNvPr>
            <xdr:cNvSpPr txBox="1">
              <a:spLocks noChangeArrowheads="1"/>
            </xdr:cNvSpPr>
          </xdr:nvSpPr>
          <xdr:spPr bwMode="auto">
            <a:xfrm>
              <a:off x="2278380" y="1607820"/>
              <a:ext cx="19812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'Yo' coordinate is the y-distance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xdr:colOff>
          <xdr:row>37</xdr:row>
          <xdr:rowOff>68580</xdr:rowOff>
        </xdr:from>
        <xdr:to>
          <xdr:col>27</xdr:col>
          <xdr:colOff>312420</xdr:colOff>
          <xdr:row>41</xdr:row>
          <xdr:rowOff>121920</xdr:rowOff>
        </xdr:to>
        <xdr:sp macro="" textlink="">
          <xdr:nvSpPr>
            <xdr:cNvPr id="9386" name="Comment 170" hidden="1">
              <a:extLst>
                <a:ext uri="{FF2B5EF4-FFF2-40B4-BE49-F238E27FC236}">
                  <a16:creationId xmlns:a16="http://schemas.microsoft.com/office/drawing/2014/main" id="{F9908B2E-4E66-4BAB-84DF-0F9B809E2EEF}"/>
                </a:ext>
              </a:extLst>
            </xdr:cNvPr>
            <xdr:cNvSpPr txBox="1">
              <a:spLocks noChangeArrowheads="1"/>
            </xdr:cNvSpPr>
          </xdr:nvSpPr>
          <xdr:spPr bwMode="auto">
            <a:xfrm>
              <a:off x="4152900" y="6301740"/>
              <a:ext cx="2979420" cy="723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piers must be located in the positive 1st quadrant.  That is, all pier X, Y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pier coordinates, or those cell values should be input = 0.</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39</xdr:row>
          <xdr:rowOff>68580</xdr:rowOff>
        </xdr:from>
        <xdr:to>
          <xdr:col>4</xdr:col>
          <xdr:colOff>60960</xdr:colOff>
          <xdr:row>41</xdr:row>
          <xdr:rowOff>45720</xdr:rowOff>
        </xdr:to>
        <xdr:sp macro="" textlink="">
          <xdr:nvSpPr>
            <xdr:cNvPr id="9387" name="Comment 171" hidden="1">
              <a:extLst>
                <a:ext uri="{FF2B5EF4-FFF2-40B4-BE49-F238E27FC236}">
                  <a16:creationId xmlns:a16="http://schemas.microsoft.com/office/drawing/2014/main" id="{A4D89BCD-212B-48E6-9404-AE25FAF44D17}"/>
                </a:ext>
              </a:extLst>
            </xdr:cNvPr>
            <xdr:cNvSpPr txBox="1">
              <a:spLocks noChangeArrowheads="1"/>
            </xdr:cNvSpPr>
          </xdr:nvSpPr>
          <xdr:spPr bwMode="auto">
            <a:xfrm>
              <a:off x="922020" y="6637020"/>
              <a:ext cx="20040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 coordinate is the x-distance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40</xdr:row>
          <xdr:rowOff>68580</xdr:rowOff>
        </xdr:from>
        <xdr:to>
          <xdr:col>4</xdr:col>
          <xdr:colOff>60960</xdr:colOff>
          <xdr:row>42</xdr:row>
          <xdr:rowOff>45720</xdr:rowOff>
        </xdr:to>
        <xdr:sp macro="" textlink="">
          <xdr:nvSpPr>
            <xdr:cNvPr id="9388" name="Comment 172" hidden="1">
              <a:extLst>
                <a:ext uri="{FF2B5EF4-FFF2-40B4-BE49-F238E27FC236}">
                  <a16:creationId xmlns:a16="http://schemas.microsoft.com/office/drawing/2014/main" id="{CA29BDA4-68DA-42AD-BFCB-194E113FCD3A}"/>
                </a:ext>
              </a:extLst>
            </xdr:cNvPr>
            <xdr:cNvSpPr txBox="1">
              <a:spLocks noChangeArrowheads="1"/>
            </xdr:cNvSpPr>
          </xdr:nvSpPr>
          <xdr:spPr bwMode="auto">
            <a:xfrm>
              <a:off x="922020" y="6804660"/>
              <a:ext cx="20040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 coordinate is the y-distance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41</xdr:row>
          <xdr:rowOff>68580</xdr:rowOff>
        </xdr:from>
        <xdr:to>
          <xdr:col>5</xdr:col>
          <xdr:colOff>236220</xdr:colOff>
          <xdr:row>47</xdr:row>
          <xdr:rowOff>68580</xdr:rowOff>
        </xdr:to>
        <xdr:sp macro="" textlink="">
          <xdr:nvSpPr>
            <xdr:cNvPr id="9389" name="Comment 173" hidden="1">
              <a:extLst>
                <a:ext uri="{FF2B5EF4-FFF2-40B4-BE49-F238E27FC236}">
                  <a16:creationId xmlns:a16="http://schemas.microsoft.com/office/drawing/2014/main" id="{9AB4CCC5-9021-4F6D-A975-731CE70A7884}"/>
                </a:ext>
              </a:extLst>
            </xdr:cNvPr>
            <xdr:cNvSpPr txBox="1">
              <a:spLocks noChangeArrowheads="1"/>
            </xdr:cNvSpPr>
          </xdr:nvSpPr>
          <xdr:spPr bwMode="auto">
            <a:xfrm>
              <a:off x="922020" y="6972300"/>
              <a:ext cx="280416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43</xdr:row>
          <xdr:rowOff>68580</xdr:rowOff>
        </xdr:from>
        <xdr:to>
          <xdr:col>6</xdr:col>
          <xdr:colOff>7620</xdr:colOff>
          <xdr:row>45</xdr:row>
          <xdr:rowOff>45720</xdr:rowOff>
        </xdr:to>
        <xdr:sp macro="" textlink="">
          <xdr:nvSpPr>
            <xdr:cNvPr id="9391" name="Comment 175" hidden="1">
              <a:extLst>
                <a:ext uri="{FF2B5EF4-FFF2-40B4-BE49-F238E27FC236}">
                  <a16:creationId xmlns:a16="http://schemas.microsoft.com/office/drawing/2014/main" id="{83EDA523-1CD0-457A-AEB3-2DC3D6C39E23}"/>
                </a:ext>
              </a:extLst>
            </xdr:cNvPr>
            <xdr:cNvSpPr txBox="1">
              <a:spLocks noChangeArrowheads="1"/>
            </xdr:cNvSpPr>
          </xdr:nvSpPr>
          <xdr:spPr bwMode="auto">
            <a:xfrm>
              <a:off x="922020" y="7307580"/>
              <a:ext cx="32004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'Hx' is the horizontal (X-axis) load to be applied at the pier location.</a:t>
              </a:r>
            </a:p>
            <a:p>
              <a:pPr algn="l" rtl="0">
                <a:defRPr sz="1000"/>
              </a:pPr>
              <a:r>
                <a:rPr lang="en-US" sz="800" b="0" i="0" u="none" strike="noStrike" baseline="0%">
                  <a:solidFill>
                    <a:srgbClr val="000000"/>
                  </a:solidFill>
                  <a:latin typeface="Tahoma"/>
                  <a:ea typeface="Tahoma"/>
                  <a:cs typeface="Tahoma"/>
                </a:rPr>
                <a:t>Sign convention: + = to right</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44</xdr:row>
          <xdr:rowOff>68580</xdr:rowOff>
        </xdr:from>
        <xdr:to>
          <xdr:col>6</xdr:col>
          <xdr:colOff>7620</xdr:colOff>
          <xdr:row>46</xdr:row>
          <xdr:rowOff>45720</xdr:rowOff>
        </xdr:to>
        <xdr:sp macro="" textlink="">
          <xdr:nvSpPr>
            <xdr:cNvPr id="9392" name="Comment 176" hidden="1">
              <a:extLst>
                <a:ext uri="{FF2B5EF4-FFF2-40B4-BE49-F238E27FC236}">
                  <a16:creationId xmlns:a16="http://schemas.microsoft.com/office/drawing/2014/main" id="{5A5A0C5B-9808-4AFC-B97E-62D1173B6D19}"/>
                </a:ext>
              </a:extLst>
            </xdr:cNvPr>
            <xdr:cNvSpPr txBox="1">
              <a:spLocks noChangeArrowheads="1"/>
            </xdr:cNvSpPr>
          </xdr:nvSpPr>
          <xdr:spPr bwMode="auto">
            <a:xfrm>
              <a:off x="922020" y="7475220"/>
              <a:ext cx="32004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'Hy' is the horizontal (Y-axis)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 the page</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42</xdr:row>
          <xdr:rowOff>68580</xdr:rowOff>
        </xdr:from>
        <xdr:to>
          <xdr:col>5</xdr:col>
          <xdr:colOff>487680</xdr:colOff>
          <xdr:row>45</xdr:row>
          <xdr:rowOff>7620</xdr:rowOff>
        </xdr:to>
        <xdr:sp macro="" textlink="">
          <xdr:nvSpPr>
            <xdr:cNvPr id="9396" name="Comment 180" hidden="1">
              <a:extLst>
                <a:ext uri="{FF2B5EF4-FFF2-40B4-BE49-F238E27FC236}">
                  <a16:creationId xmlns:a16="http://schemas.microsoft.com/office/drawing/2014/main" id="{995C2FFD-4D21-4E44-B34D-435A8B36C414}"/>
                </a:ext>
              </a:extLst>
            </xdr:cNvPr>
            <xdr:cNvSpPr txBox="1">
              <a:spLocks noChangeArrowheads="1"/>
            </xdr:cNvSpPr>
          </xdr:nvSpPr>
          <xdr:spPr bwMode="auto">
            <a:xfrm>
              <a:off x="922020" y="7139940"/>
              <a:ext cx="3055620" cy="4419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'Pz' is the vertical (Z-axis)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upward (out of page)</a:t>
              </a:r>
            </a:p>
            <a:p>
              <a:pPr algn="l" rtl="0">
                <a:defRPr sz="1000"/>
              </a:pPr>
              <a:r>
                <a:rPr lang="en-US" sz="800" b="0" i="0" u="none" strike="noStrike" baseline="0%">
                  <a:solidFill>
                    <a:srgbClr val="000000"/>
                  </a:solidFill>
                  <a:latin typeface="Tahoma"/>
                  <a:ea typeface="Tahoma"/>
                  <a:cs typeface="Tahoma"/>
                </a:rPr>
                <a:t>                            -  = downward (into page) for gravity loads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45</xdr:row>
          <xdr:rowOff>68580</xdr:rowOff>
        </xdr:from>
        <xdr:to>
          <xdr:col>5</xdr:col>
          <xdr:colOff>236220</xdr:colOff>
          <xdr:row>47</xdr:row>
          <xdr:rowOff>45720</xdr:rowOff>
        </xdr:to>
        <xdr:sp macro="" textlink="">
          <xdr:nvSpPr>
            <xdr:cNvPr id="9397" name="Comment 181" hidden="1">
              <a:extLst>
                <a:ext uri="{FF2B5EF4-FFF2-40B4-BE49-F238E27FC236}">
                  <a16:creationId xmlns:a16="http://schemas.microsoft.com/office/drawing/2014/main" id="{580CE6C9-D9FE-4107-8650-64E28701D5D5}"/>
                </a:ext>
              </a:extLst>
            </xdr:cNvPr>
            <xdr:cNvSpPr txBox="1">
              <a:spLocks noChangeArrowheads="1"/>
            </xdr:cNvSpPr>
          </xdr:nvSpPr>
          <xdr:spPr bwMode="auto">
            <a:xfrm>
              <a:off x="922020" y="7642860"/>
              <a:ext cx="28041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'Mx' is the X-axis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46</xdr:row>
          <xdr:rowOff>68580</xdr:rowOff>
        </xdr:from>
        <xdr:to>
          <xdr:col>5</xdr:col>
          <xdr:colOff>236220</xdr:colOff>
          <xdr:row>48</xdr:row>
          <xdr:rowOff>45720</xdr:rowOff>
        </xdr:to>
        <xdr:sp macro="" textlink="">
          <xdr:nvSpPr>
            <xdr:cNvPr id="9398" name="Comment 182" hidden="1">
              <a:extLst>
                <a:ext uri="{FF2B5EF4-FFF2-40B4-BE49-F238E27FC236}">
                  <a16:creationId xmlns:a16="http://schemas.microsoft.com/office/drawing/2014/main" id="{F82BBC74-6CD8-4F5A-8305-388459E45793}"/>
                </a:ext>
              </a:extLst>
            </xdr:cNvPr>
            <xdr:cNvSpPr txBox="1">
              <a:spLocks noChangeArrowheads="1"/>
            </xdr:cNvSpPr>
          </xdr:nvSpPr>
          <xdr:spPr bwMode="auto">
            <a:xfrm>
              <a:off x="922020" y="7810500"/>
              <a:ext cx="28041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'My' is the Y-axis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47</xdr:row>
          <xdr:rowOff>68580</xdr:rowOff>
        </xdr:from>
        <xdr:to>
          <xdr:col>5</xdr:col>
          <xdr:colOff>236220</xdr:colOff>
          <xdr:row>49</xdr:row>
          <xdr:rowOff>45720</xdr:rowOff>
        </xdr:to>
        <xdr:sp macro="" textlink="">
          <xdr:nvSpPr>
            <xdr:cNvPr id="9399" name="Comment 183" hidden="1">
              <a:extLst>
                <a:ext uri="{FF2B5EF4-FFF2-40B4-BE49-F238E27FC236}">
                  <a16:creationId xmlns:a16="http://schemas.microsoft.com/office/drawing/2014/main" id="{459714D2-4F1B-4BC0-A9CB-815866DFDBF9}"/>
                </a:ext>
              </a:extLst>
            </xdr:cNvPr>
            <xdr:cNvSpPr txBox="1">
              <a:spLocks noChangeArrowheads="1"/>
            </xdr:cNvSpPr>
          </xdr:nvSpPr>
          <xdr:spPr bwMode="auto">
            <a:xfrm>
              <a:off x="922020" y="7978140"/>
              <a:ext cx="28041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'Mz' is the Z-axis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76200</xdr:colOff>
          <xdr:row>66</xdr:row>
          <xdr:rowOff>68580</xdr:rowOff>
        </xdr:from>
        <xdr:to>
          <xdr:col>5</xdr:col>
          <xdr:colOff>472440</xdr:colOff>
          <xdr:row>70</xdr:row>
          <xdr:rowOff>129540</xdr:rowOff>
        </xdr:to>
        <xdr:sp macro="" textlink="">
          <xdr:nvSpPr>
            <xdr:cNvPr id="9400" name="Comment 184" hidden="1">
              <a:extLst>
                <a:ext uri="{FF2B5EF4-FFF2-40B4-BE49-F238E27FC236}">
                  <a16:creationId xmlns:a16="http://schemas.microsoft.com/office/drawing/2014/main" id="{7E5B94F3-D478-47D9-BFFA-654B13778F1E}"/>
                </a:ext>
              </a:extLst>
            </xdr:cNvPr>
            <xdr:cNvSpPr txBox="1">
              <a:spLocks noChangeArrowheads="1"/>
            </xdr:cNvSpPr>
          </xdr:nvSpPr>
          <xdr:spPr bwMode="auto">
            <a:xfrm>
              <a:off x="1623060" y="11163300"/>
              <a:ext cx="233934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Mx = sum of all applied X-axis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a:t>
              </a:r>
            </a:p>
            <a:p>
              <a:pPr algn="l" rtl="0">
                <a:defRPr sz="1000"/>
              </a:pPr>
              <a:r>
                <a:rPr lang="en-US" sz="800" b="0" i="0" u="none" strike="noStrike" baseline="0%">
                  <a:solidFill>
                    <a:srgbClr val="000000"/>
                  </a:solidFill>
                  <a:latin typeface="Tahoma"/>
                  <a:ea typeface="Tahoma"/>
                  <a:cs typeface="Tahoma"/>
                </a:rPr>
                <a:t>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76200</xdr:colOff>
          <xdr:row>67</xdr:row>
          <xdr:rowOff>68580</xdr:rowOff>
        </xdr:from>
        <xdr:to>
          <xdr:col>5</xdr:col>
          <xdr:colOff>472440</xdr:colOff>
          <xdr:row>71</xdr:row>
          <xdr:rowOff>129540</xdr:rowOff>
        </xdr:to>
        <xdr:sp macro="" textlink="">
          <xdr:nvSpPr>
            <xdr:cNvPr id="9401" name="Comment 185" hidden="1">
              <a:extLst>
                <a:ext uri="{FF2B5EF4-FFF2-40B4-BE49-F238E27FC236}">
                  <a16:creationId xmlns:a16="http://schemas.microsoft.com/office/drawing/2014/main" id="{53EB2CD0-9FA5-4B74-856E-33A3477F8987}"/>
                </a:ext>
              </a:extLst>
            </xdr:cNvPr>
            <xdr:cNvSpPr txBox="1">
              <a:spLocks noChangeArrowheads="1"/>
            </xdr:cNvSpPr>
          </xdr:nvSpPr>
          <xdr:spPr bwMode="auto">
            <a:xfrm>
              <a:off x="1623060" y="11330940"/>
              <a:ext cx="233934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My = sum of all applied Y-axis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a:t>
              </a:r>
            </a:p>
            <a:p>
              <a:pPr algn="l" rtl="0">
                <a:defRPr sz="1000"/>
              </a:pPr>
              <a:r>
                <a:rPr lang="en-US" sz="800" b="0" i="0" u="none" strike="noStrike" baseline="0%">
                  <a:solidFill>
                    <a:srgbClr val="000000"/>
                  </a:solidFill>
                  <a:latin typeface="Tahoma"/>
                  <a:ea typeface="Tahoma"/>
                  <a:cs typeface="Tahoma"/>
                </a:rPr>
                <a:t>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76200</xdr:colOff>
          <xdr:row>68</xdr:row>
          <xdr:rowOff>68580</xdr:rowOff>
        </xdr:from>
        <xdr:to>
          <xdr:col>5</xdr:col>
          <xdr:colOff>403860</xdr:colOff>
          <xdr:row>71</xdr:row>
          <xdr:rowOff>129540</xdr:rowOff>
        </xdr:to>
        <xdr:sp macro="" textlink="">
          <xdr:nvSpPr>
            <xdr:cNvPr id="9402" name="Comment 186" hidden="1">
              <a:extLst>
                <a:ext uri="{FF2B5EF4-FFF2-40B4-BE49-F238E27FC236}">
                  <a16:creationId xmlns:a16="http://schemas.microsoft.com/office/drawing/2014/main" id="{5CFE7CE6-A2C6-46FC-A8F6-0F22B133442F}"/>
                </a:ext>
              </a:extLst>
            </xdr:cNvPr>
            <xdr:cNvSpPr txBox="1">
              <a:spLocks noChangeArrowheads="1"/>
            </xdr:cNvSpPr>
          </xdr:nvSpPr>
          <xdr:spPr bwMode="auto">
            <a:xfrm>
              <a:off x="1623060" y="11498580"/>
              <a:ext cx="2270760" cy="5638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Mz = sum of all applied Z-axis moments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t>
              </a:r>
            </a:p>
            <a:p>
              <a:pPr algn="l" rtl="0">
                <a:defRPr sz="1000"/>
              </a:pPr>
              <a:r>
                <a:rPr lang="en-US" sz="800" b="0" i="0" u="none" strike="noStrike" baseline="0%">
                  <a:solidFill>
                    <a:srgbClr val="000000"/>
                  </a:solidFill>
                  <a:latin typeface="Tahoma"/>
                  <a:ea typeface="Tahoma"/>
                  <a:cs typeface="Tahoma"/>
                </a:rPr>
                <a:t>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68580</xdr:colOff>
          <xdr:row>99</xdr:row>
          <xdr:rowOff>68580</xdr:rowOff>
        </xdr:from>
        <xdr:to>
          <xdr:col>6</xdr:col>
          <xdr:colOff>289560</xdr:colOff>
          <xdr:row>102</xdr:row>
          <xdr:rowOff>30480</xdr:rowOff>
        </xdr:to>
        <xdr:sp macro="" textlink="">
          <xdr:nvSpPr>
            <xdr:cNvPr id="9403" name="Comment 187" hidden="1">
              <a:extLst>
                <a:ext uri="{FF2B5EF4-FFF2-40B4-BE49-F238E27FC236}">
                  <a16:creationId xmlns:a16="http://schemas.microsoft.com/office/drawing/2014/main" id="{F16FDB40-E7DC-4B14-A021-DBCD35AE6325}"/>
                </a:ext>
              </a:extLst>
            </xdr:cNvPr>
            <xdr:cNvSpPr txBox="1">
              <a:spLocks noChangeArrowheads="1"/>
            </xdr:cNvSpPr>
          </xdr:nvSpPr>
          <xdr:spPr bwMode="auto">
            <a:xfrm>
              <a:off x="2278380" y="16695420"/>
              <a:ext cx="212598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'Rz(max)'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68580</xdr:colOff>
          <xdr:row>100</xdr:row>
          <xdr:rowOff>68580</xdr:rowOff>
        </xdr:from>
        <xdr:to>
          <xdr:col>6</xdr:col>
          <xdr:colOff>289560</xdr:colOff>
          <xdr:row>103</xdr:row>
          <xdr:rowOff>30480</xdr:rowOff>
        </xdr:to>
        <xdr:sp macro="" textlink="">
          <xdr:nvSpPr>
            <xdr:cNvPr id="9404" name="Comment 188" hidden="1">
              <a:extLst>
                <a:ext uri="{FF2B5EF4-FFF2-40B4-BE49-F238E27FC236}">
                  <a16:creationId xmlns:a16="http://schemas.microsoft.com/office/drawing/2014/main" id="{3CB836C3-51C3-4959-B322-3934BA9166FB}"/>
                </a:ext>
              </a:extLst>
            </xdr:cNvPr>
            <xdr:cNvSpPr txBox="1">
              <a:spLocks noChangeArrowheads="1"/>
            </xdr:cNvSpPr>
          </xdr:nvSpPr>
          <xdr:spPr bwMode="auto">
            <a:xfrm>
              <a:off x="2278380" y="16863060"/>
              <a:ext cx="212598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'Rz(min)'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68580</xdr:colOff>
          <xdr:row>101</xdr:row>
          <xdr:rowOff>68580</xdr:rowOff>
        </xdr:from>
        <xdr:to>
          <xdr:col>6</xdr:col>
          <xdr:colOff>129540</xdr:colOff>
          <xdr:row>104</xdr:row>
          <xdr:rowOff>22860</xdr:rowOff>
        </xdr:to>
        <xdr:sp macro="" textlink="">
          <xdr:nvSpPr>
            <xdr:cNvPr id="9405" name="Comment 189" hidden="1">
              <a:extLst>
                <a:ext uri="{FF2B5EF4-FFF2-40B4-BE49-F238E27FC236}">
                  <a16:creationId xmlns:a16="http://schemas.microsoft.com/office/drawing/2014/main" id="{BAC73E41-1D30-4101-8E33-CF8364DEB2E0}"/>
                </a:ext>
              </a:extLst>
            </xdr:cNvPr>
            <xdr:cNvSpPr txBox="1">
              <a:spLocks noChangeArrowheads="1"/>
            </xdr:cNvSpPr>
          </xdr:nvSpPr>
          <xdr:spPr bwMode="auto">
            <a:xfrm>
              <a:off x="2278380" y="17030700"/>
              <a:ext cx="196596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Note: 'Rh(max)' is an "absolute" value</a:t>
              </a:r>
            </a:p>
            <a:p>
              <a:pPr algn="l" rtl="0">
                <a:defRPr sz="1000"/>
              </a:pPr>
              <a:r>
                <a:rPr lang="en-US" sz="800" b="0" i="0" u="none" strike="noStrike" baseline="0%">
                  <a:solidFill>
                    <a:srgbClr val="000000"/>
                  </a:solidFill>
                  <a:latin typeface="Tahoma"/>
                  <a:ea typeface="Tahoma"/>
                  <a:cs typeface="Tahoma"/>
                </a:rPr>
                <a:t>          with no particular sign convention,</a:t>
              </a:r>
            </a:p>
            <a:p>
              <a:pPr algn="l" rtl="0">
                <a:defRPr sz="1000"/>
              </a:pPr>
              <a:r>
                <a:rPr lang="en-US" sz="800" b="0" i="0" u="none" strike="noStrike" baseline="0%">
                  <a:solidFill>
                    <a:srgbClr val="000000"/>
                  </a:solidFill>
                  <a:latin typeface="Tahoma"/>
                  <a:ea typeface="Tahoma"/>
                  <a:cs typeface="Tahoma"/>
                </a:rPr>
                <a:t>          thus no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29</xdr:col>
          <xdr:colOff>106680</xdr:colOff>
          <xdr:row>0</xdr:row>
          <xdr:rowOff>106680</xdr:rowOff>
        </xdr:from>
        <xdr:to>
          <xdr:col>31</xdr:col>
          <xdr:colOff>274320</xdr:colOff>
          <xdr:row>7</xdr:row>
          <xdr:rowOff>38100</xdr:rowOff>
        </xdr:to>
        <xdr:sp macro="" textlink="">
          <xdr:nvSpPr>
            <xdr:cNvPr id="9418" name="Comment 202" hidden="1">
              <a:extLst>
                <a:ext uri="{FF2B5EF4-FFF2-40B4-BE49-F238E27FC236}">
                  <a16:creationId xmlns:a16="http://schemas.microsoft.com/office/drawing/2014/main" id="{1A87CEA8-5354-447E-856A-B444690E301B}"/>
                </a:ext>
              </a:extLst>
            </xdr:cNvPr>
            <xdr:cNvSpPr txBox="1">
              <a:spLocks noChangeArrowheads="1"/>
            </xdr:cNvSpPr>
          </xdr:nvSpPr>
          <xdr:spPr bwMode="auto">
            <a:xfrm>
              <a:off x="8176260" y="106680"/>
              <a:ext cx="1432560" cy="11353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user may manually adjust the scaling of the plotted pile group by adjusting the "X" and "Y" plot scale factors below.  The object is to try to equalize the maximum X-axis and Y-axis values which are shown.</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106680</xdr:colOff>
          <xdr:row>7</xdr:row>
          <xdr:rowOff>68580</xdr:rowOff>
        </xdr:from>
        <xdr:to>
          <xdr:col>6</xdr:col>
          <xdr:colOff>274320</xdr:colOff>
          <xdr:row>9</xdr:row>
          <xdr:rowOff>60960</xdr:rowOff>
        </xdr:to>
        <xdr:sp macro="" textlink="">
          <xdr:nvSpPr>
            <xdr:cNvPr id="9456" name="Comment 240" hidden="1">
              <a:extLst>
                <a:ext uri="{FF2B5EF4-FFF2-40B4-BE49-F238E27FC236}">
                  <a16:creationId xmlns:a16="http://schemas.microsoft.com/office/drawing/2014/main" id="{AB45B463-0079-4BAF-B146-9C320B50B3E3}"/>
                </a:ext>
              </a:extLst>
            </xdr:cNvPr>
            <xdr:cNvSpPr txBox="1">
              <a:spLocks noChangeArrowheads="1"/>
            </xdr:cNvSpPr>
          </xdr:nvSpPr>
          <xdr:spPr bwMode="auto">
            <a:xfrm>
              <a:off x="2316480" y="1272540"/>
              <a:ext cx="2072640" cy="3276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2.</a:t>
              </a:r>
            </a:p>
            <a:p>
              <a:pPr algn="l" rtl="0">
                <a:defRPr sz="1000"/>
              </a:pPr>
              <a:r>
                <a:rPr lang="en-US" sz="800" b="1" i="0" u="none" strike="noStrike" baseline="0%">
                  <a:solidFill>
                    <a:srgbClr val="000000"/>
                  </a:solidFill>
                  <a:latin typeface="Tahoma"/>
                  <a:ea typeface="Tahoma"/>
                  <a:cs typeface="Tahoma"/>
                </a:rPr>
                <a:t>The maximum number of piles = 75.</a:t>
              </a:r>
            </a:p>
          </xdr:txBody>
        </xdr:sp>
        <xdr:clientData/>
      </xdr:twoCellAnchor>
    </mc:Fallback>
  </mc:AlternateContent>
  <mc:AlternateContent xmlns:mc="http://schemas.openxmlformats.org/markup-compatibility/2006">
    <mc:Choice xmlns:v="urn:schemas-microsoft-com:vml" Requires="v"/>
    <mc:Fallback>
      <xdr:twoCellAnchor editAs="absolute">
        <xdr:from>
          <xdr:col>33</xdr:col>
          <xdr:colOff>60960</xdr:colOff>
          <xdr:row>56</xdr:row>
          <xdr:rowOff>68580</xdr:rowOff>
        </xdr:from>
        <xdr:to>
          <xdr:col>36</xdr:col>
          <xdr:colOff>144780</xdr:colOff>
          <xdr:row>58</xdr:row>
          <xdr:rowOff>60960</xdr:rowOff>
        </xdr:to>
        <xdr:sp macro="" textlink="">
          <xdr:nvSpPr>
            <xdr:cNvPr id="9467" name="Comment 251" hidden="1">
              <a:extLst>
                <a:ext uri="{FF2B5EF4-FFF2-40B4-BE49-F238E27FC236}">
                  <a16:creationId xmlns:a16="http://schemas.microsoft.com/office/drawing/2014/main" id="{4311543E-08C8-495D-AAD4-E4EBEE4042A4}"/>
                </a:ext>
              </a:extLst>
            </xdr:cNvPr>
            <xdr:cNvSpPr txBox="1">
              <a:spLocks noChangeArrowheads="1"/>
            </xdr:cNvSpPr>
          </xdr:nvSpPr>
          <xdr:spPr bwMode="auto">
            <a:xfrm>
              <a:off x="10683240" y="9486900"/>
              <a:ext cx="1958340" cy="3276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3.</a:t>
              </a:r>
            </a:p>
            <a:p>
              <a:pPr algn="l" rtl="0">
                <a:defRPr sz="1000"/>
              </a:pPr>
              <a:r>
                <a:rPr lang="en-US" sz="800" b="1" i="0" u="none" strike="noStrike" baseline="0%">
                  <a:solidFill>
                    <a:srgbClr val="000000"/>
                  </a:solidFill>
                  <a:latin typeface="Tahoma"/>
                  <a:ea typeface="Tahoma"/>
                  <a:cs typeface="Tahoma"/>
                </a:rPr>
                <a:t>The maximum number of piles = 75.</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56</xdr:row>
          <xdr:rowOff>68580</xdr:rowOff>
        </xdr:from>
        <xdr:to>
          <xdr:col>5</xdr:col>
          <xdr:colOff>144780</xdr:colOff>
          <xdr:row>62</xdr:row>
          <xdr:rowOff>99060</xdr:rowOff>
        </xdr:to>
        <xdr:sp macro="" textlink="">
          <xdr:nvSpPr>
            <xdr:cNvPr id="9599" name="Comment 383" hidden="1">
              <a:extLst>
                <a:ext uri="{FF2B5EF4-FFF2-40B4-BE49-F238E27FC236}">
                  <a16:creationId xmlns:a16="http://schemas.microsoft.com/office/drawing/2014/main" id="{9AE7E8CB-4238-4E14-888D-AC2648932356}"/>
                </a:ext>
              </a:extLst>
            </xdr:cNvPr>
            <xdr:cNvSpPr txBox="1">
              <a:spLocks noChangeArrowheads="1"/>
            </xdr:cNvSpPr>
          </xdr:nvSpPr>
          <xdr:spPr bwMode="auto">
            <a:xfrm>
              <a:off x="1691640" y="9486900"/>
              <a:ext cx="1943100" cy="10363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X-axis Moment of Inertia, 'Ix',  for the pile group is calculated as follows:</a:t>
              </a:r>
            </a:p>
            <a:p>
              <a:pPr algn="l" rtl="0">
                <a:defRPr sz="1000"/>
              </a:pPr>
              <a:r>
                <a:rPr lang="en-US" sz="800" b="0" i="0" u="none" strike="noStrike" baseline="0%">
                  <a:solidFill>
                    <a:srgbClr val="000000"/>
                  </a:solidFill>
                  <a:latin typeface="Tahoma"/>
                  <a:ea typeface="Tahoma"/>
                  <a:cs typeface="Tahoma"/>
                </a:rPr>
                <a:t>   Ix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(dy)^2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 </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57</xdr:row>
          <xdr:rowOff>68580</xdr:rowOff>
        </xdr:from>
        <xdr:to>
          <xdr:col>5</xdr:col>
          <xdr:colOff>144780</xdr:colOff>
          <xdr:row>63</xdr:row>
          <xdr:rowOff>76200</xdr:rowOff>
        </xdr:to>
        <xdr:sp macro="" textlink="">
          <xdr:nvSpPr>
            <xdr:cNvPr id="9600" name="Comment 384" hidden="1">
              <a:extLst>
                <a:ext uri="{FF2B5EF4-FFF2-40B4-BE49-F238E27FC236}">
                  <a16:creationId xmlns:a16="http://schemas.microsoft.com/office/drawing/2014/main" id="{A0368BA4-7D26-49E2-B740-E346DBA5D11C}"/>
                </a:ext>
              </a:extLst>
            </xdr:cNvPr>
            <xdr:cNvSpPr txBox="1">
              <a:spLocks noChangeArrowheads="1"/>
            </xdr:cNvSpPr>
          </xdr:nvSpPr>
          <xdr:spPr bwMode="auto">
            <a:xfrm>
              <a:off x="1691640" y="9654540"/>
              <a:ext cx="1943100" cy="10134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Y-axis Moment of Inertia, 'Iy',  for the pile group is calculated as follows:</a:t>
              </a:r>
            </a:p>
            <a:p>
              <a:pPr algn="l" rtl="0">
                <a:defRPr sz="1000"/>
              </a:pPr>
              <a:r>
                <a:rPr lang="en-US" sz="800" b="0" i="0" u="none" strike="noStrike" baseline="0%">
                  <a:solidFill>
                    <a:srgbClr val="000000"/>
                  </a:solidFill>
                  <a:latin typeface="Tahoma"/>
                  <a:ea typeface="Tahoma"/>
                  <a:cs typeface="Tahoma"/>
                </a:rPr>
                <a:t>   Iy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 </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58</xdr:row>
          <xdr:rowOff>68580</xdr:rowOff>
        </xdr:from>
        <xdr:to>
          <xdr:col>5</xdr:col>
          <xdr:colOff>144780</xdr:colOff>
          <xdr:row>61</xdr:row>
          <xdr:rowOff>22860</xdr:rowOff>
        </xdr:to>
        <xdr:sp macro="" textlink="">
          <xdr:nvSpPr>
            <xdr:cNvPr id="9601" name="Comment 385" hidden="1">
              <a:extLst>
                <a:ext uri="{FF2B5EF4-FFF2-40B4-BE49-F238E27FC236}">
                  <a16:creationId xmlns:a16="http://schemas.microsoft.com/office/drawing/2014/main" id="{4240708A-64AF-452E-852F-90A6F4A04E5E}"/>
                </a:ext>
              </a:extLst>
            </xdr:cNvPr>
            <xdr:cNvSpPr txBox="1">
              <a:spLocks noChangeArrowheads="1"/>
            </xdr:cNvSpPr>
          </xdr:nvSpPr>
          <xdr:spPr bwMode="auto">
            <a:xfrm>
              <a:off x="1691640" y="9822180"/>
              <a:ext cx="194310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Polar Moment of Inertia for the pile group is calculated as follows:</a:t>
              </a:r>
            </a:p>
            <a:p>
              <a:pPr algn="l" rtl="0">
                <a:defRPr sz="1000"/>
              </a:pPr>
              <a:r>
                <a:rPr lang="en-US" sz="800" b="0" i="0" u="none" strike="noStrike" baseline="0%">
                  <a:solidFill>
                    <a:srgbClr val="000000"/>
                  </a:solidFill>
                  <a:latin typeface="Tahoma"/>
                  <a:ea typeface="Tahoma"/>
                  <a:cs typeface="Tahoma"/>
                </a:rPr>
                <a:t>   J = Ix+Iy</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59</xdr:row>
          <xdr:rowOff>68580</xdr:rowOff>
        </xdr:from>
        <xdr:to>
          <xdr:col>5</xdr:col>
          <xdr:colOff>182880</xdr:colOff>
          <xdr:row>68</xdr:row>
          <xdr:rowOff>137160</xdr:rowOff>
        </xdr:to>
        <xdr:sp macro="" textlink="">
          <xdr:nvSpPr>
            <xdr:cNvPr id="9602" name="Comment 386" hidden="1">
              <a:extLst>
                <a:ext uri="{FF2B5EF4-FFF2-40B4-BE49-F238E27FC236}">
                  <a16:creationId xmlns:a16="http://schemas.microsoft.com/office/drawing/2014/main" id="{B43C9365-F49D-4DAD-A054-BDE796F1DFC8}"/>
                </a:ext>
              </a:extLst>
            </xdr:cNvPr>
            <xdr:cNvSpPr txBox="1">
              <a:spLocks noChangeArrowheads="1"/>
            </xdr:cNvSpPr>
          </xdr:nvSpPr>
          <xdr:spPr bwMode="auto">
            <a:xfrm>
              <a:off x="1691640" y="9989820"/>
              <a:ext cx="1981200" cy="15773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Product Moment of Inertia, 'Ixy', for the pile group is calculated as follows:</a:t>
              </a:r>
            </a:p>
            <a:p>
              <a:pPr algn="l" rtl="0">
                <a:defRPr sz="1000"/>
              </a:pPr>
              <a:r>
                <a:rPr lang="en-US" sz="800" b="0" i="0" u="none" strike="noStrike" baseline="0%">
                  <a:solidFill>
                    <a:srgbClr val="000000"/>
                  </a:solidFill>
                  <a:latin typeface="Tahoma"/>
                  <a:ea typeface="Tahoma"/>
                  <a:cs typeface="Tahoma"/>
                </a:rPr>
                <a:t>   Ixy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(dx*dy)</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a:t>
              </a:r>
            </a:p>
            <a:p>
              <a:pPr algn="l" rtl="0">
                <a:defRPr sz="1000"/>
              </a:pPr>
              <a:r>
                <a:rPr lang="en-US" sz="800" b="0" i="0" u="none" strike="noStrike" baseline="0%">
                  <a:solidFill>
                    <a:srgbClr val="000000"/>
                  </a:solidFill>
                  <a:latin typeface="Tahoma"/>
                  <a:ea typeface="Tahoma"/>
                  <a:cs typeface="Tahoma"/>
                </a:rPr>
                <a:t>Note:  'Ixy' = 0  for a pile group with at</a:t>
              </a:r>
            </a:p>
            <a:p>
              <a:pPr algn="l" rtl="0">
                <a:defRPr sz="1000"/>
              </a:pPr>
              <a:r>
                <a:rPr lang="en-US" sz="800" b="0" i="0" u="none" strike="noStrike" baseline="0%">
                  <a:solidFill>
                    <a:srgbClr val="000000"/>
                  </a:solidFill>
                  <a:latin typeface="Tahoma"/>
                  <a:ea typeface="Tahoma"/>
                  <a:cs typeface="Tahoma"/>
                </a:rPr>
                <a:t>           least one axis of symmetry.</a:t>
              </a:r>
            </a:p>
          </xdr:txBody>
        </xdr:sp>
        <xdr:clientData/>
      </xdr:twoCellAnchor>
    </mc:Fallback>
  </mc:AlternateContent>
</xdr:wsDr>
</file>

<file path=xl/drawings/drawing4.xml><?xml version="1.0" encoding="utf-8"?>
<xdr:wsDr xmlns:xdr="http://purl.oclc.org/ooxml/drawingml/spreadsheetDrawing" xmlns:a="http://purl.oclc.org/ooxml/drawingml/main">
  <xdr:twoCellAnchor>
    <xdr:from>
      <xdr:col>27</xdr:col>
      <xdr:colOff>0</xdr:colOff>
      <xdr:row>1</xdr:row>
      <xdr:rowOff>0</xdr:rowOff>
    </xdr:from>
    <xdr:to>
      <xdr:col>29</xdr:col>
      <xdr:colOff>0</xdr:colOff>
      <xdr:row>4</xdr:row>
      <xdr:rowOff>0</xdr:rowOff>
    </xdr:to>
    <xdr:sp macro="" textlink="">
      <xdr:nvSpPr>
        <xdr:cNvPr id="36898" name="Rectangle 34">
          <a:extLst>
            <a:ext uri="{FF2B5EF4-FFF2-40B4-BE49-F238E27FC236}">
              <a16:creationId xmlns:a16="http://schemas.microsoft.com/office/drawing/2014/main" id="{16BB8262-69E4-4146-B508-2C9AE30F963B}"/>
            </a:ext>
          </a:extLst>
        </xdr:cNvPr>
        <xdr:cNvSpPr>
          <a:spLocks noChangeArrowheads="1"/>
        </xdr:cNvSpPr>
      </xdr:nvSpPr>
      <xdr:spPr bwMode="auto">
        <a:xfrm>
          <a:off x="6819900" y="198120"/>
          <a:ext cx="1249680" cy="50292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ffectLst>
          <a:outerShdw dist="107763"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3</xdr:col>
      <xdr:colOff>182880</xdr:colOff>
      <xdr:row>52</xdr:row>
      <xdr:rowOff>38100</xdr:rowOff>
    </xdr:from>
    <xdr:to>
      <xdr:col>8</xdr:col>
      <xdr:colOff>807720</xdr:colOff>
      <xdr:row>70</xdr:row>
      <xdr:rowOff>137160</xdr:rowOff>
    </xdr:to>
    <xdr:graphicFrame macro="">
      <xdr:nvGraphicFramePr>
        <xdr:cNvPr id="36909" name="Chart 45">
          <a:extLst>
            <a:ext uri="{FF2B5EF4-FFF2-40B4-BE49-F238E27FC236}">
              <a16:creationId xmlns:a16="http://schemas.microsoft.com/office/drawing/2014/main" id="{B2517BF4-7EEB-4906-9235-06F0DE25246D}"/>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3</xdr:col>
      <xdr:colOff>320040</xdr:colOff>
      <xdr:row>56</xdr:row>
      <xdr:rowOff>91440</xdr:rowOff>
    </xdr:from>
    <xdr:to>
      <xdr:col>3</xdr:col>
      <xdr:colOff>320040</xdr:colOff>
      <xdr:row>58</xdr:row>
      <xdr:rowOff>129540</xdr:rowOff>
    </xdr:to>
    <xdr:sp macro="" textlink="">
      <xdr:nvSpPr>
        <xdr:cNvPr id="36910" name="Line 46">
          <a:extLst>
            <a:ext uri="{FF2B5EF4-FFF2-40B4-BE49-F238E27FC236}">
              <a16:creationId xmlns:a16="http://schemas.microsoft.com/office/drawing/2014/main" id="{DD9CD3A6-BF55-48B9-B82F-B50D8B6302F7}"/>
            </a:ext>
          </a:extLst>
        </xdr:cNvPr>
        <xdr:cNvSpPr>
          <a:spLocks noChangeShapeType="1"/>
        </xdr:cNvSpPr>
      </xdr:nvSpPr>
      <xdr:spPr bwMode="auto">
        <a:xfrm flipV="1">
          <a:off x="2529840" y="9509760"/>
          <a:ext cx="0" cy="3733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69</xdr:row>
      <xdr:rowOff>160020</xdr:rowOff>
    </xdr:from>
    <xdr:to>
      <xdr:col>7</xdr:col>
      <xdr:colOff>411480</xdr:colOff>
      <xdr:row>69</xdr:row>
      <xdr:rowOff>160020</xdr:rowOff>
    </xdr:to>
    <xdr:sp macro="" textlink="">
      <xdr:nvSpPr>
        <xdr:cNvPr id="36911" name="Line 47">
          <a:extLst>
            <a:ext uri="{FF2B5EF4-FFF2-40B4-BE49-F238E27FC236}">
              <a16:creationId xmlns:a16="http://schemas.microsoft.com/office/drawing/2014/main" id="{B2FD92B3-D42D-4EF0-A640-BD965E5AAC34}"/>
            </a:ext>
          </a:extLst>
        </xdr:cNvPr>
        <xdr:cNvSpPr>
          <a:spLocks noChangeShapeType="1"/>
        </xdr:cNvSpPr>
      </xdr:nvSpPr>
      <xdr:spPr bwMode="auto">
        <a:xfrm>
          <a:off x="4777740" y="11757660"/>
          <a:ext cx="373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38100</xdr:colOff>
      <xdr:row>65</xdr:row>
      <xdr:rowOff>76200</xdr:rowOff>
    </xdr:from>
    <xdr:to>
      <xdr:col>39</xdr:col>
      <xdr:colOff>350520</xdr:colOff>
      <xdr:row>65</xdr:row>
      <xdr:rowOff>76200</xdr:rowOff>
    </xdr:to>
    <xdr:sp macro="" textlink="">
      <xdr:nvSpPr>
        <xdr:cNvPr id="36924" name="Line 60">
          <a:extLst>
            <a:ext uri="{FF2B5EF4-FFF2-40B4-BE49-F238E27FC236}">
              <a16:creationId xmlns:a16="http://schemas.microsoft.com/office/drawing/2014/main" id="{1F976E1D-CAF0-47F7-8EB5-B343B56A41CD}"/>
            </a:ext>
          </a:extLst>
        </xdr:cNvPr>
        <xdr:cNvSpPr>
          <a:spLocks noChangeShapeType="1"/>
        </xdr:cNvSpPr>
      </xdr:nvSpPr>
      <xdr:spPr bwMode="auto">
        <a:xfrm flipH="1">
          <a:off x="14386560" y="11003280"/>
          <a:ext cx="3124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38100</xdr:colOff>
      <xdr:row>89</xdr:row>
      <xdr:rowOff>68580</xdr:rowOff>
    </xdr:from>
    <xdr:to>
      <xdr:col>39</xdr:col>
      <xdr:colOff>350520</xdr:colOff>
      <xdr:row>89</xdr:row>
      <xdr:rowOff>68580</xdr:rowOff>
    </xdr:to>
    <xdr:sp macro="" textlink="">
      <xdr:nvSpPr>
        <xdr:cNvPr id="36925" name="Line 61">
          <a:extLst>
            <a:ext uri="{FF2B5EF4-FFF2-40B4-BE49-F238E27FC236}">
              <a16:creationId xmlns:a16="http://schemas.microsoft.com/office/drawing/2014/main" id="{B3713BA8-F0FE-4BB1-8B64-C88ABD978828}"/>
            </a:ext>
          </a:extLst>
        </xdr:cNvPr>
        <xdr:cNvSpPr>
          <a:spLocks noChangeShapeType="1"/>
        </xdr:cNvSpPr>
      </xdr:nvSpPr>
      <xdr:spPr bwMode="auto">
        <a:xfrm flipH="1">
          <a:off x="14386560" y="15019020"/>
          <a:ext cx="3124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350520</xdr:colOff>
      <xdr:row>65</xdr:row>
      <xdr:rowOff>76200</xdr:rowOff>
    </xdr:from>
    <xdr:to>
      <xdr:col>39</xdr:col>
      <xdr:colOff>350520</xdr:colOff>
      <xdr:row>89</xdr:row>
      <xdr:rowOff>68580</xdr:rowOff>
    </xdr:to>
    <xdr:sp macro="" textlink="">
      <xdr:nvSpPr>
        <xdr:cNvPr id="36926" name="Line 62">
          <a:extLst>
            <a:ext uri="{FF2B5EF4-FFF2-40B4-BE49-F238E27FC236}">
              <a16:creationId xmlns:a16="http://schemas.microsoft.com/office/drawing/2014/main" id="{B15DF514-5953-41F0-97DD-A4812AD63A3F}"/>
            </a:ext>
          </a:extLst>
        </xdr:cNvPr>
        <xdr:cNvSpPr>
          <a:spLocks noChangeShapeType="1"/>
        </xdr:cNvSpPr>
      </xdr:nvSpPr>
      <xdr:spPr bwMode="auto">
        <a:xfrm>
          <a:off x="14698980" y="11003280"/>
          <a:ext cx="0" cy="40157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350520</xdr:colOff>
      <xdr:row>77</xdr:row>
      <xdr:rowOff>0</xdr:rowOff>
    </xdr:from>
    <xdr:to>
      <xdr:col>39</xdr:col>
      <xdr:colOff>594360</xdr:colOff>
      <xdr:row>77</xdr:row>
      <xdr:rowOff>0</xdr:rowOff>
    </xdr:to>
    <xdr:sp macro="" textlink="">
      <xdr:nvSpPr>
        <xdr:cNvPr id="36927" name="Line 63">
          <a:extLst>
            <a:ext uri="{FF2B5EF4-FFF2-40B4-BE49-F238E27FC236}">
              <a16:creationId xmlns:a16="http://schemas.microsoft.com/office/drawing/2014/main" id="{9A7EDB69-1860-4E8A-B43B-A423790AEEED}"/>
            </a:ext>
          </a:extLst>
        </xdr:cNvPr>
        <xdr:cNvSpPr>
          <a:spLocks noChangeShapeType="1"/>
        </xdr:cNvSpPr>
      </xdr:nvSpPr>
      <xdr:spPr bwMode="auto">
        <a:xfrm>
          <a:off x="14698980" y="1293876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68580</xdr:colOff>
      <xdr:row>7</xdr:row>
      <xdr:rowOff>38100</xdr:rowOff>
    </xdr:from>
    <xdr:to>
      <xdr:col>27</xdr:col>
      <xdr:colOff>167640</xdr:colOff>
      <xdr:row>7</xdr:row>
      <xdr:rowOff>137160</xdr:rowOff>
    </xdr:to>
    <xdr:sp macro="" textlink="">
      <xdr:nvSpPr>
        <xdr:cNvPr id="37000" name="Oval 136">
          <a:extLst>
            <a:ext uri="{FF2B5EF4-FFF2-40B4-BE49-F238E27FC236}">
              <a16:creationId xmlns:a16="http://schemas.microsoft.com/office/drawing/2014/main" id="{14B0D969-CF21-47F0-9D10-EDFEC21E8EBB}"/>
            </a:ext>
          </a:extLst>
        </xdr:cNvPr>
        <xdr:cNvSpPr>
          <a:spLocks noChangeArrowheads="1"/>
        </xdr:cNvSpPr>
      </xdr:nvSpPr>
      <xdr:spPr bwMode="auto">
        <a:xfrm>
          <a:off x="6888480" y="1242060"/>
          <a:ext cx="99060" cy="990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round/>
          <a:headEnd/>
          <a:tailEnd/>
        </a:ln>
      </xdr:spPr>
    </xdr:sp>
    <xdr:clientData/>
  </xdr:twoCellAnchor>
  <xdr:twoCellAnchor>
    <xdr:from>
      <xdr:col>26</xdr:col>
      <xdr:colOff>441960</xdr:colOff>
      <xdr:row>6</xdr:row>
      <xdr:rowOff>91440</xdr:rowOff>
    </xdr:from>
    <xdr:to>
      <xdr:col>28</xdr:col>
      <xdr:colOff>381000</xdr:colOff>
      <xdr:row>13</xdr:row>
      <xdr:rowOff>60960</xdr:rowOff>
    </xdr:to>
    <xdr:sp macro="" textlink="">
      <xdr:nvSpPr>
        <xdr:cNvPr id="37001" name="Rectangle 137">
          <a:extLst>
            <a:ext uri="{FF2B5EF4-FFF2-40B4-BE49-F238E27FC236}">
              <a16:creationId xmlns:a16="http://schemas.microsoft.com/office/drawing/2014/main" id="{D57FF3D7-ADD1-4757-8B47-9C21044700CF}"/>
            </a:ext>
          </a:extLst>
        </xdr:cNvPr>
        <xdr:cNvSpPr>
          <a:spLocks noChangeArrowheads="1"/>
        </xdr:cNvSpPr>
      </xdr:nvSpPr>
      <xdr:spPr bwMode="auto">
        <a:xfrm>
          <a:off x="6637020" y="1127760"/>
          <a:ext cx="118872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26</xdr:col>
      <xdr:colOff>441960</xdr:colOff>
      <xdr:row>5</xdr:row>
      <xdr:rowOff>91440</xdr:rowOff>
    </xdr:from>
    <xdr:to>
      <xdr:col>26</xdr:col>
      <xdr:colOff>441960</xdr:colOff>
      <xdr:row>6</xdr:row>
      <xdr:rowOff>76200</xdr:rowOff>
    </xdr:to>
    <xdr:sp macro="" textlink="">
      <xdr:nvSpPr>
        <xdr:cNvPr id="37002" name="Line 138">
          <a:extLst>
            <a:ext uri="{FF2B5EF4-FFF2-40B4-BE49-F238E27FC236}">
              <a16:creationId xmlns:a16="http://schemas.microsoft.com/office/drawing/2014/main" id="{D1F910C4-EF17-4C40-9B26-BB2E8665C588}"/>
            </a:ext>
          </a:extLst>
        </xdr:cNvPr>
        <xdr:cNvSpPr>
          <a:spLocks noChangeShapeType="1"/>
        </xdr:cNvSpPr>
      </xdr:nvSpPr>
      <xdr:spPr bwMode="auto">
        <a:xfrm flipV="1">
          <a:off x="6637020" y="96012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26</xdr:col>
      <xdr:colOff>320040</xdr:colOff>
      <xdr:row>13</xdr:row>
      <xdr:rowOff>60960</xdr:rowOff>
    </xdr:from>
    <xdr:to>
      <xdr:col>26</xdr:col>
      <xdr:colOff>441960</xdr:colOff>
      <xdr:row>14</xdr:row>
      <xdr:rowOff>7620</xdr:rowOff>
    </xdr:to>
    <xdr:sp macro="" textlink="">
      <xdr:nvSpPr>
        <xdr:cNvPr id="37003" name="Line 139">
          <a:extLst>
            <a:ext uri="{FF2B5EF4-FFF2-40B4-BE49-F238E27FC236}">
              <a16:creationId xmlns:a16="http://schemas.microsoft.com/office/drawing/2014/main" id="{B85D03FD-EC21-4BDF-933A-DA297BFA3FCE}"/>
            </a:ext>
          </a:extLst>
        </xdr:cNvPr>
        <xdr:cNvSpPr>
          <a:spLocks noChangeShapeType="1"/>
        </xdr:cNvSpPr>
      </xdr:nvSpPr>
      <xdr:spPr bwMode="auto">
        <a:xfrm flipH="1">
          <a:off x="6515100" y="2270760"/>
          <a:ext cx="12192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28</xdr:col>
      <xdr:colOff>388620</xdr:colOff>
      <xdr:row>13</xdr:row>
      <xdr:rowOff>60960</xdr:rowOff>
    </xdr:from>
    <xdr:to>
      <xdr:col>28</xdr:col>
      <xdr:colOff>548640</xdr:colOff>
      <xdr:row>13</xdr:row>
      <xdr:rowOff>60960</xdr:rowOff>
    </xdr:to>
    <xdr:sp macro="" textlink="">
      <xdr:nvSpPr>
        <xdr:cNvPr id="37004" name="Line 140">
          <a:extLst>
            <a:ext uri="{FF2B5EF4-FFF2-40B4-BE49-F238E27FC236}">
              <a16:creationId xmlns:a16="http://schemas.microsoft.com/office/drawing/2014/main" id="{D20F86E9-3AF4-43DC-95D3-411303131E2A}"/>
            </a:ext>
          </a:extLst>
        </xdr:cNvPr>
        <xdr:cNvSpPr>
          <a:spLocks noChangeShapeType="1"/>
        </xdr:cNvSpPr>
      </xdr:nvSpPr>
      <xdr:spPr bwMode="auto">
        <a:xfrm flipV="1">
          <a:off x="7833360" y="2270760"/>
          <a:ext cx="1600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26</xdr:col>
      <xdr:colOff>441960</xdr:colOff>
      <xdr:row>19</xdr:row>
      <xdr:rowOff>144780</xdr:rowOff>
    </xdr:from>
    <xdr:to>
      <xdr:col>28</xdr:col>
      <xdr:colOff>381000</xdr:colOff>
      <xdr:row>21</xdr:row>
      <xdr:rowOff>45720</xdr:rowOff>
    </xdr:to>
    <xdr:sp macro="" textlink="">
      <xdr:nvSpPr>
        <xdr:cNvPr id="37005" name="Rectangle 141">
          <a:extLst>
            <a:ext uri="{FF2B5EF4-FFF2-40B4-BE49-F238E27FC236}">
              <a16:creationId xmlns:a16="http://schemas.microsoft.com/office/drawing/2014/main" id="{96690D63-BC09-48CD-AB7B-455BF78845EB}"/>
            </a:ext>
          </a:extLst>
        </xdr:cNvPr>
        <xdr:cNvSpPr>
          <a:spLocks noChangeArrowheads="1"/>
        </xdr:cNvSpPr>
      </xdr:nvSpPr>
      <xdr:spPr bwMode="auto">
        <a:xfrm>
          <a:off x="6637020" y="3360420"/>
          <a:ext cx="1188720" cy="2362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27</xdr:col>
      <xdr:colOff>251460</xdr:colOff>
      <xdr:row>18</xdr:row>
      <xdr:rowOff>160020</xdr:rowOff>
    </xdr:from>
    <xdr:to>
      <xdr:col>27</xdr:col>
      <xdr:colOff>563880</xdr:colOff>
      <xdr:row>19</xdr:row>
      <xdr:rowOff>144780</xdr:rowOff>
    </xdr:to>
    <xdr:sp macro="" textlink="">
      <xdr:nvSpPr>
        <xdr:cNvPr id="37006" name="Rectangle 142">
          <a:extLst>
            <a:ext uri="{FF2B5EF4-FFF2-40B4-BE49-F238E27FC236}">
              <a16:creationId xmlns:a16="http://schemas.microsoft.com/office/drawing/2014/main" id="{6F70C7E2-A64F-432C-BC51-BCAB6BCDD672}"/>
            </a:ext>
          </a:extLst>
        </xdr:cNvPr>
        <xdr:cNvSpPr>
          <a:spLocks noChangeArrowheads="1"/>
        </xdr:cNvSpPr>
      </xdr:nvSpPr>
      <xdr:spPr bwMode="auto">
        <a:xfrm>
          <a:off x="7071360" y="3208020"/>
          <a:ext cx="31242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26</xdr:col>
      <xdr:colOff>556260</xdr:colOff>
      <xdr:row>21</xdr:row>
      <xdr:rowOff>45720</xdr:rowOff>
    </xdr:from>
    <xdr:to>
      <xdr:col>26</xdr:col>
      <xdr:colOff>556260</xdr:colOff>
      <xdr:row>23</xdr:row>
      <xdr:rowOff>76200</xdr:rowOff>
    </xdr:to>
    <xdr:sp macro="" textlink="">
      <xdr:nvSpPr>
        <xdr:cNvPr id="37007" name="Line 143">
          <a:extLst>
            <a:ext uri="{FF2B5EF4-FFF2-40B4-BE49-F238E27FC236}">
              <a16:creationId xmlns:a16="http://schemas.microsoft.com/office/drawing/2014/main" id="{3593B215-A071-450F-875A-C28BF46EAC11}"/>
            </a:ext>
          </a:extLst>
        </xdr:cNvPr>
        <xdr:cNvSpPr>
          <a:spLocks noChangeShapeType="1"/>
        </xdr:cNvSpPr>
      </xdr:nvSpPr>
      <xdr:spPr bwMode="auto">
        <a:xfrm>
          <a:off x="675132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76200</xdr:colOff>
      <xdr:row>21</xdr:row>
      <xdr:rowOff>45720</xdr:rowOff>
    </xdr:from>
    <xdr:to>
      <xdr:col>27</xdr:col>
      <xdr:colOff>76200</xdr:colOff>
      <xdr:row>23</xdr:row>
      <xdr:rowOff>76200</xdr:rowOff>
    </xdr:to>
    <xdr:sp macro="" textlink="">
      <xdr:nvSpPr>
        <xdr:cNvPr id="37008" name="Line 144">
          <a:extLst>
            <a:ext uri="{FF2B5EF4-FFF2-40B4-BE49-F238E27FC236}">
              <a16:creationId xmlns:a16="http://schemas.microsoft.com/office/drawing/2014/main" id="{0F8B6A26-C006-48E9-AD4F-1768B4F7051C}"/>
            </a:ext>
          </a:extLst>
        </xdr:cNvPr>
        <xdr:cNvSpPr>
          <a:spLocks noChangeShapeType="1"/>
        </xdr:cNvSpPr>
      </xdr:nvSpPr>
      <xdr:spPr bwMode="auto">
        <a:xfrm>
          <a:off x="689610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480060</xdr:colOff>
      <xdr:row>23</xdr:row>
      <xdr:rowOff>76200</xdr:rowOff>
    </xdr:from>
    <xdr:to>
      <xdr:col>26</xdr:col>
      <xdr:colOff>586740</xdr:colOff>
      <xdr:row>23</xdr:row>
      <xdr:rowOff>76200</xdr:rowOff>
    </xdr:to>
    <xdr:sp macro="" textlink="">
      <xdr:nvSpPr>
        <xdr:cNvPr id="37009" name="Line 145">
          <a:extLst>
            <a:ext uri="{FF2B5EF4-FFF2-40B4-BE49-F238E27FC236}">
              <a16:creationId xmlns:a16="http://schemas.microsoft.com/office/drawing/2014/main" id="{B02FE7D3-548B-4AAA-8CB6-113415293DE2}"/>
            </a:ext>
          </a:extLst>
        </xdr:cNvPr>
        <xdr:cNvSpPr>
          <a:spLocks noChangeShapeType="1"/>
        </xdr:cNvSpPr>
      </xdr:nvSpPr>
      <xdr:spPr bwMode="auto">
        <a:xfrm>
          <a:off x="667512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38100</xdr:colOff>
      <xdr:row>23</xdr:row>
      <xdr:rowOff>76200</xdr:rowOff>
    </xdr:from>
    <xdr:to>
      <xdr:col>27</xdr:col>
      <xdr:colOff>144780</xdr:colOff>
      <xdr:row>23</xdr:row>
      <xdr:rowOff>76200</xdr:rowOff>
    </xdr:to>
    <xdr:sp macro="" textlink="">
      <xdr:nvSpPr>
        <xdr:cNvPr id="37010" name="Line 146">
          <a:extLst>
            <a:ext uri="{FF2B5EF4-FFF2-40B4-BE49-F238E27FC236}">
              <a16:creationId xmlns:a16="http://schemas.microsoft.com/office/drawing/2014/main" id="{45302F86-DD02-4293-BC54-075F646A4AE5}"/>
            </a:ext>
          </a:extLst>
        </xdr:cNvPr>
        <xdr:cNvSpPr>
          <a:spLocks noChangeShapeType="1"/>
        </xdr:cNvSpPr>
      </xdr:nvSpPr>
      <xdr:spPr bwMode="auto">
        <a:xfrm>
          <a:off x="685800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586740</xdr:colOff>
      <xdr:row>23</xdr:row>
      <xdr:rowOff>76200</xdr:rowOff>
    </xdr:from>
    <xdr:to>
      <xdr:col>26</xdr:col>
      <xdr:colOff>609600</xdr:colOff>
      <xdr:row>23</xdr:row>
      <xdr:rowOff>99060</xdr:rowOff>
    </xdr:to>
    <xdr:sp macro="" textlink="">
      <xdr:nvSpPr>
        <xdr:cNvPr id="37011" name="Line 147">
          <a:extLst>
            <a:ext uri="{FF2B5EF4-FFF2-40B4-BE49-F238E27FC236}">
              <a16:creationId xmlns:a16="http://schemas.microsoft.com/office/drawing/2014/main" id="{AEB6CEC1-1FDE-4694-ACB5-8501BDACE926}"/>
            </a:ext>
          </a:extLst>
        </xdr:cNvPr>
        <xdr:cNvSpPr>
          <a:spLocks noChangeShapeType="1"/>
        </xdr:cNvSpPr>
      </xdr:nvSpPr>
      <xdr:spPr bwMode="auto">
        <a:xfrm>
          <a:off x="678180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22860</xdr:colOff>
      <xdr:row>23</xdr:row>
      <xdr:rowOff>60960</xdr:rowOff>
    </xdr:from>
    <xdr:to>
      <xdr:col>27</xdr:col>
      <xdr:colOff>45720</xdr:colOff>
      <xdr:row>23</xdr:row>
      <xdr:rowOff>83820</xdr:rowOff>
    </xdr:to>
    <xdr:sp macro="" textlink="">
      <xdr:nvSpPr>
        <xdr:cNvPr id="37012" name="Line 148">
          <a:extLst>
            <a:ext uri="{FF2B5EF4-FFF2-40B4-BE49-F238E27FC236}">
              <a16:creationId xmlns:a16="http://schemas.microsoft.com/office/drawing/2014/main" id="{86C4B2E0-120B-461B-8D56-16CEAD4CE518}"/>
            </a:ext>
          </a:extLst>
        </xdr:cNvPr>
        <xdr:cNvSpPr>
          <a:spLocks noChangeShapeType="1"/>
        </xdr:cNvSpPr>
      </xdr:nvSpPr>
      <xdr:spPr bwMode="auto">
        <a:xfrm flipH="1" flipV="1">
          <a:off x="684276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601980</xdr:colOff>
      <xdr:row>23</xdr:row>
      <xdr:rowOff>60960</xdr:rowOff>
    </xdr:from>
    <xdr:to>
      <xdr:col>27</xdr:col>
      <xdr:colOff>22860</xdr:colOff>
      <xdr:row>23</xdr:row>
      <xdr:rowOff>99060</xdr:rowOff>
    </xdr:to>
    <xdr:sp macro="" textlink="">
      <xdr:nvSpPr>
        <xdr:cNvPr id="37013" name="Line 149">
          <a:extLst>
            <a:ext uri="{FF2B5EF4-FFF2-40B4-BE49-F238E27FC236}">
              <a16:creationId xmlns:a16="http://schemas.microsoft.com/office/drawing/2014/main" id="{8A12D35E-F729-463A-B4AC-6C310654BB53}"/>
            </a:ext>
          </a:extLst>
        </xdr:cNvPr>
        <xdr:cNvSpPr>
          <a:spLocks noChangeShapeType="1"/>
        </xdr:cNvSpPr>
      </xdr:nvSpPr>
      <xdr:spPr bwMode="auto">
        <a:xfrm flipV="1">
          <a:off x="6797040" y="3947160"/>
          <a:ext cx="4572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114300</xdr:colOff>
      <xdr:row>21</xdr:row>
      <xdr:rowOff>45720</xdr:rowOff>
    </xdr:from>
    <xdr:to>
      <xdr:col>28</xdr:col>
      <xdr:colOff>114300</xdr:colOff>
      <xdr:row>23</xdr:row>
      <xdr:rowOff>76200</xdr:rowOff>
    </xdr:to>
    <xdr:sp macro="" textlink="">
      <xdr:nvSpPr>
        <xdr:cNvPr id="37014" name="Line 150">
          <a:extLst>
            <a:ext uri="{FF2B5EF4-FFF2-40B4-BE49-F238E27FC236}">
              <a16:creationId xmlns:a16="http://schemas.microsoft.com/office/drawing/2014/main" id="{28A4DCCB-EBF8-4E3B-89F5-18E9B253B85D}"/>
            </a:ext>
          </a:extLst>
        </xdr:cNvPr>
        <xdr:cNvSpPr>
          <a:spLocks noChangeShapeType="1"/>
        </xdr:cNvSpPr>
      </xdr:nvSpPr>
      <xdr:spPr bwMode="auto">
        <a:xfrm>
          <a:off x="755904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21</xdr:row>
      <xdr:rowOff>45720</xdr:rowOff>
    </xdr:from>
    <xdr:to>
      <xdr:col>28</xdr:col>
      <xdr:colOff>266700</xdr:colOff>
      <xdr:row>23</xdr:row>
      <xdr:rowOff>76200</xdr:rowOff>
    </xdr:to>
    <xdr:sp macro="" textlink="">
      <xdr:nvSpPr>
        <xdr:cNvPr id="37015" name="Line 151">
          <a:extLst>
            <a:ext uri="{FF2B5EF4-FFF2-40B4-BE49-F238E27FC236}">
              <a16:creationId xmlns:a16="http://schemas.microsoft.com/office/drawing/2014/main" id="{37D76613-8BDF-4766-9EF9-043E90C90658}"/>
            </a:ext>
          </a:extLst>
        </xdr:cNvPr>
        <xdr:cNvSpPr>
          <a:spLocks noChangeShapeType="1"/>
        </xdr:cNvSpPr>
      </xdr:nvSpPr>
      <xdr:spPr bwMode="auto">
        <a:xfrm>
          <a:off x="771144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23</xdr:row>
      <xdr:rowOff>76200</xdr:rowOff>
    </xdr:from>
    <xdr:to>
      <xdr:col>28</xdr:col>
      <xdr:colOff>144780</xdr:colOff>
      <xdr:row>23</xdr:row>
      <xdr:rowOff>76200</xdr:rowOff>
    </xdr:to>
    <xdr:sp macro="" textlink="">
      <xdr:nvSpPr>
        <xdr:cNvPr id="37016" name="Line 152">
          <a:extLst>
            <a:ext uri="{FF2B5EF4-FFF2-40B4-BE49-F238E27FC236}">
              <a16:creationId xmlns:a16="http://schemas.microsoft.com/office/drawing/2014/main" id="{01235C38-A97C-48C8-8253-86CF40162F3B}"/>
            </a:ext>
          </a:extLst>
        </xdr:cNvPr>
        <xdr:cNvSpPr>
          <a:spLocks noChangeShapeType="1"/>
        </xdr:cNvSpPr>
      </xdr:nvSpPr>
      <xdr:spPr bwMode="auto">
        <a:xfrm>
          <a:off x="748284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220980</xdr:colOff>
      <xdr:row>23</xdr:row>
      <xdr:rowOff>76200</xdr:rowOff>
    </xdr:from>
    <xdr:to>
      <xdr:col>28</xdr:col>
      <xdr:colOff>327660</xdr:colOff>
      <xdr:row>23</xdr:row>
      <xdr:rowOff>76200</xdr:rowOff>
    </xdr:to>
    <xdr:sp macro="" textlink="">
      <xdr:nvSpPr>
        <xdr:cNvPr id="37017" name="Line 153">
          <a:extLst>
            <a:ext uri="{FF2B5EF4-FFF2-40B4-BE49-F238E27FC236}">
              <a16:creationId xmlns:a16="http://schemas.microsoft.com/office/drawing/2014/main" id="{28FA180C-7622-42DB-8D25-F26524D443A4}"/>
            </a:ext>
          </a:extLst>
        </xdr:cNvPr>
        <xdr:cNvSpPr>
          <a:spLocks noChangeShapeType="1"/>
        </xdr:cNvSpPr>
      </xdr:nvSpPr>
      <xdr:spPr bwMode="auto">
        <a:xfrm>
          <a:off x="766572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144780</xdr:colOff>
      <xdr:row>23</xdr:row>
      <xdr:rowOff>76200</xdr:rowOff>
    </xdr:from>
    <xdr:to>
      <xdr:col>28</xdr:col>
      <xdr:colOff>167640</xdr:colOff>
      <xdr:row>23</xdr:row>
      <xdr:rowOff>99060</xdr:rowOff>
    </xdr:to>
    <xdr:sp macro="" textlink="">
      <xdr:nvSpPr>
        <xdr:cNvPr id="37018" name="Line 154">
          <a:extLst>
            <a:ext uri="{FF2B5EF4-FFF2-40B4-BE49-F238E27FC236}">
              <a16:creationId xmlns:a16="http://schemas.microsoft.com/office/drawing/2014/main" id="{66252974-D34F-4303-BA87-D865EAC17AEA}"/>
            </a:ext>
          </a:extLst>
        </xdr:cNvPr>
        <xdr:cNvSpPr>
          <a:spLocks noChangeShapeType="1"/>
        </xdr:cNvSpPr>
      </xdr:nvSpPr>
      <xdr:spPr bwMode="auto">
        <a:xfrm>
          <a:off x="758952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205740</xdr:colOff>
      <xdr:row>23</xdr:row>
      <xdr:rowOff>60960</xdr:rowOff>
    </xdr:from>
    <xdr:to>
      <xdr:col>28</xdr:col>
      <xdr:colOff>228600</xdr:colOff>
      <xdr:row>23</xdr:row>
      <xdr:rowOff>83820</xdr:rowOff>
    </xdr:to>
    <xdr:sp macro="" textlink="">
      <xdr:nvSpPr>
        <xdr:cNvPr id="37019" name="Line 155">
          <a:extLst>
            <a:ext uri="{FF2B5EF4-FFF2-40B4-BE49-F238E27FC236}">
              <a16:creationId xmlns:a16="http://schemas.microsoft.com/office/drawing/2014/main" id="{8B4942C3-C2C4-4350-A092-996934DFE88E}"/>
            </a:ext>
          </a:extLst>
        </xdr:cNvPr>
        <xdr:cNvSpPr>
          <a:spLocks noChangeShapeType="1"/>
        </xdr:cNvSpPr>
      </xdr:nvSpPr>
      <xdr:spPr bwMode="auto">
        <a:xfrm flipH="1" flipV="1">
          <a:off x="765048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167640</xdr:colOff>
      <xdr:row>23</xdr:row>
      <xdr:rowOff>60960</xdr:rowOff>
    </xdr:from>
    <xdr:to>
      <xdr:col>28</xdr:col>
      <xdr:colOff>205740</xdr:colOff>
      <xdr:row>23</xdr:row>
      <xdr:rowOff>99060</xdr:rowOff>
    </xdr:to>
    <xdr:sp macro="" textlink="">
      <xdr:nvSpPr>
        <xdr:cNvPr id="37020" name="Line 156">
          <a:extLst>
            <a:ext uri="{FF2B5EF4-FFF2-40B4-BE49-F238E27FC236}">
              <a16:creationId xmlns:a16="http://schemas.microsoft.com/office/drawing/2014/main" id="{0719C648-D4AD-44CE-ADC0-767BBAC6B4F1}"/>
            </a:ext>
          </a:extLst>
        </xdr:cNvPr>
        <xdr:cNvSpPr>
          <a:spLocks noChangeShapeType="1"/>
        </xdr:cNvSpPr>
      </xdr:nvSpPr>
      <xdr:spPr bwMode="auto">
        <a:xfrm flipV="1">
          <a:off x="7612380" y="3947160"/>
          <a:ext cx="3810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556260</xdr:colOff>
      <xdr:row>20</xdr:row>
      <xdr:rowOff>160020</xdr:rowOff>
    </xdr:from>
    <xdr:to>
      <xdr:col>26</xdr:col>
      <xdr:colOff>556260</xdr:colOff>
      <xdr:row>21</xdr:row>
      <xdr:rowOff>45720</xdr:rowOff>
    </xdr:to>
    <xdr:sp macro="" textlink="">
      <xdr:nvSpPr>
        <xdr:cNvPr id="37021" name="Line 157">
          <a:extLst>
            <a:ext uri="{FF2B5EF4-FFF2-40B4-BE49-F238E27FC236}">
              <a16:creationId xmlns:a16="http://schemas.microsoft.com/office/drawing/2014/main" id="{64DDA938-ED89-4718-84F0-BE6726CC7197}"/>
            </a:ext>
          </a:extLst>
        </xdr:cNvPr>
        <xdr:cNvSpPr>
          <a:spLocks noChangeShapeType="1"/>
        </xdr:cNvSpPr>
      </xdr:nvSpPr>
      <xdr:spPr bwMode="auto">
        <a:xfrm flipV="1">
          <a:off x="675132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76200</xdr:colOff>
      <xdr:row>20</xdr:row>
      <xdr:rowOff>160020</xdr:rowOff>
    </xdr:from>
    <xdr:to>
      <xdr:col>27</xdr:col>
      <xdr:colOff>76200</xdr:colOff>
      <xdr:row>21</xdr:row>
      <xdr:rowOff>45720</xdr:rowOff>
    </xdr:to>
    <xdr:sp macro="" textlink="">
      <xdr:nvSpPr>
        <xdr:cNvPr id="37022" name="Line 158">
          <a:extLst>
            <a:ext uri="{FF2B5EF4-FFF2-40B4-BE49-F238E27FC236}">
              <a16:creationId xmlns:a16="http://schemas.microsoft.com/office/drawing/2014/main" id="{DB07B6C0-0018-47D7-B008-950FB826DDB6}"/>
            </a:ext>
          </a:extLst>
        </xdr:cNvPr>
        <xdr:cNvSpPr>
          <a:spLocks noChangeShapeType="1"/>
        </xdr:cNvSpPr>
      </xdr:nvSpPr>
      <xdr:spPr bwMode="auto">
        <a:xfrm flipV="1">
          <a:off x="689610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114300</xdr:colOff>
      <xdr:row>20</xdr:row>
      <xdr:rowOff>160020</xdr:rowOff>
    </xdr:from>
    <xdr:to>
      <xdr:col>28</xdr:col>
      <xdr:colOff>114300</xdr:colOff>
      <xdr:row>21</xdr:row>
      <xdr:rowOff>45720</xdr:rowOff>
    </xdr:to>
    <xdr:sp macro="" textlink="">
      <xdr:nvSpPr>
        <xdr:cNvPr id="37023" name="Line 159">
          <a:extLst>
            <a:ext uri="{FF2B5EF4-FFF2-40B4-BE49-F238E27FC236}">
              <a16:creationId xmlns:a16="http://schemas.microsoft.com/office/drawing/2014/main" id="{A15ED8A8-5784-4F23-88C7-2DEE271661D0}"/>
            </a:ext>
          </a:extLst>
        </xdr:cNvPr>
        <xdr:cNvSpPr>
          <a:spLocks noChangeShapeType="1"/>
        </xdr:cNvSpPr>
      </xdr:nvSpPr>
      <xdr:spPr bwMode="auto">
        <a:xfrm flipV="1">
          <a:off x="755904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266700</xdr:colOff>
      <xdr:row>20</xdr:row>
      <xdr:rowOff>160020</xdr:rowOff>
    </xdr:from>
    <xdr:to>
      <xdr:col>28</xdr:col>
      <xdr:colOff>266700</xdr:colOff>
      <xdr:row>21</xdr:row>
      <xdr:rowOff>45720</xdr:rowOff>
    </xdr:to>
    <xdr:sp macro="" textlink="">
      <xdr:nvSpPr>
        <xdr:cNvPr id="37024" name="Line 160">
          <a:extLst>
            <a:ext uri="{FF2B5EF4-FFF2-40B4-BE49-F238E27FC236}">
              <a16:creationId xmlns:a16="http://schemas.microsoft.com/office/drawing/2014/main" id="{E051C159-4F28-4515-A560-1AED89D8B80C}"/>
            </a:ext>
          </a:extLst>
        </xdr:cNvPr>
        <xdr:cNvSpPr>
          <a:spLocks noChangeShapeType="1"/>
        </xdr:cNvSpPr>
      </xdr:nvSpPr>
      <xdr:spPr bwMode="auto">
        <a:xfrm flipV="1">
          <a:off x="771144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556260</xdr:colOff>
      <xdr:row>21</xdr:row>
      <xdr:rowOff>0</xdr:rowOff>
    </xdr:from>
    <xdr:to>
      <xdr:col>27</xdr:col>
      <xdr:colOff>76200</xdr:colOff>
      <xdr:row>21</xdr:row>
      <xdr:rowOff>0</xdr:rowOff>
    </xdr:to>
    <xdr:sp macro="" textlink="">
      <xdr:nvSpPr>
        <xdr:cNvPr id="37025" name="Line 161">
          <a:extLst>
            <a:ext uri="{FF2B5EF4-FFF2-40B4-BE49-F238E27FC236}">
              <a16:creationId xmlns:a16="http://schemas.microsoft.com/office/drawing/2014/main" id="{3F78ECEA-FCCC-400A-B47F-7A6C38BDDD46}"/>
            </a:ext>
          </a:extLst>
        </xdr:cNvPr>
        <xdr:cNvSpPr>
          <a:spLocks noChangeShapeType="1"/>
        </xdr:cNvSpPr>
      </xdr:nvSpPr>
      <xdr:spPr bwMode="auto">
        <a:xfrm>
          <a:off x="675132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114300</xdr:colOff>
      <xdr:row>21</xdr:row>
      <xdr:rowOff>0</xdr:rowOff>
    </xdr:from>
    <xdr:to>
      <xdr:col>28</xdr:col>
      <xdr:colOff>259080</xdr:colOff>
      <xdr:row>21</xdr:row>
      <xdr:rowOff>0</xdr:rowOff>
    </xdr:to>
    <xdr:sp macro="" textlink="">
      <xdr:nvSpPr>
        <xdr:cNvPr id="37026" name="Line 162">
          <a:extLst>
            <a:ext uri="{FF2B5EF4-FFF2-40B4-BE49-F238E27FC236}">
              <a16:creationId xmlns:a16="http://schemas.microsoft.com/office/drawing/2014/main" id="{0C235933-B143-4AF3-8D30-4858CA79BE4A}"/>
            </a:ext>
          </a:extLst>
        </xdr:cNvPr>
        <xdr:cNvSpPr>
          <a:spLocks noChangeShapeType="1"/>
        </xdr:cNvSpPr>
      </xdr:nvSpPr>
      <xdr:spPr bwMode="auto">
        <a:xfrm>
          <a:off x="755904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617220</xdr:colOff>
      <xdr:row>18</xdr:row>
      <xdr:rowOff>160020</xdr:rowOff>
    </xdr:from>
    <xdr:to>
      <xdr:col>27</xdr:col>
      <xdr:colOff>213360</xdr:colOff>
      <xdr:row>18</xdr:row>
      <xdr:rowOff>160020</xdr:rowOff>
    </xdr:to>
    <xdr:sp macro="" textlink="">
      <xdr:nvSpPr>
        <xdr:cNvPr id="37027" name="Line 163">
          <a:extLst>
            <a:ext uri="{FF2B5EF4-FFF2-40B4-BE49-F238E27FC236}">
              <a16:creationId xmlns:a16="http://schemas.microsoft.com/office/drawing/2014/main" id="{3503FAA3-B267-4A27-9192-2711BC8A774D}"/>
            </a:ext>
          </a:extLst>
        </xdr:cNvPr>
        <xdr:cNvSpPr>
          <a:spLocks noChangeShapeType="1"/>
        </xdr:cNvSpPr>
      </xdr:nvSpPr>
      <xdr:spPr bwMode="auto">
        <a:xfrm>
          <a:off x="6812280" y="3208020"/>
          <a:ext cx="2209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26</xdr:col>
      <xdr:colOff>236220</xdr:colOff>
      <xdr:row>21</xdr:row>
      <xdr:rowOff>0</xdr:rowOff>
    </xdr:from>
    <xdr:to>
      <xdr:col>26</xdr:col>
      <xdr:colOff>518160</xdr:colOff>
      <xdr:row>21</xdr:row>
      <xdr:rowOff>0</xdr:rowOff>
    </xdr:to>
    <xdr:sp macro="" textlink="">
      <xdr:nvSpPr>
        <xdr:cNvPr id="37028" name="Line 164">
          <a:extLst>
            <a:ext uri="{FF2B5EF4-FFF2-40B4-BE49-F238E27FC236}">
              <a16:creationId xmlns:a16="http://schemas.microsoft.com/office/drawing/2014/main" id="{B2C509BE-448D-4139-A30F-5B934FE73BC7}"/>
            </a:ext>
          </a:extLst>
        </xdr:cNvPr>
        <xdr:cNvSpPr>
          <a:spLocks noChangeShapeType="1"/>
        </xdr:cNvSpPr>
      </xdr:nvSpPr>
      <xdr:spPr bwMode="auto">
        <a:xfrm>
          <a:off x="6431280" y="355092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236220</xdr:colOff>
      <xdr:row>18</xdr:row>
      <xdr:rowOff>160020</xdr:rowOff>
    </xdr:from>
    <xdr:to>
      <xdr:col>26</xdr:col>
      <xdr:colOff>579120</xdr:colOff>
      <xdr:row>18</xdr:row>
      <xdr:rowOff>160020</xdr:rowOff>
    </xdr:to>
    <xdr:sp macro="" textlink="">
      <xdr:nvSpPr>
        <xdr:cNvPr id="37029" name="Line 165">
          <a:extLst>
            <a:ext uri="{FF2B5EF4-FFF2-40B4-BE49-F238E27FC236}">
              <a16:creationId xmlns:a16="http://schemas.microsoft.com/office/drawing/2014/main" id="{DC2B53D6-2EB4-424D-812A-066F24BC8483}"/>
            </a:ext>
          </a:extLst>
        </xdr:cNvPr>
        <xdr:cNvSpPr>
          <a:spLocks noChangeShapeType="1"/>
        </xdr:cNvSpPr>
      </xdr:nvSpPr>
      <xdr:spPr bwMode="auto">
        <a:xfrm>
          <a:off x="6431280" y="320802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320040</xdr:colOff>
      <xdr:row>18</xdr:row>
      <xdr:rowOff>160020</xdr:rowOff>
    </xdr:from>
    <xdr:to>
      <xdr:col>26</xdr:col>
      <xdr:colOff>320040</xdr:colOff>
      <xdr:row>21</xdr:row>
      <xdr:rowOff>0</xdr:rowOff>
    </xdr:to>
    <xdr:sp macro="" textlink="">
      <xdr:nvSpPr>
        <xdr:cNvPr id="37030" name="Line 166">
          <a:extLst>
            <a:ext uri="{FF2B5EF4-FFF2-40B4-BE49-F238E27FC236}">
              <a16:creationId xmlns:a16="http://schemas.microsoft.com/office/drawing/2014/main" id="{57BFF490-93F8-4B9E-96B0-977AFF8B85D6}"/>
            </a:ext>
          </a:extLst>
        </xdr:cNvPr>
        <xdr:cNvSpPr>
          <a:spLocks noChangeShapeType="1"/>
        </xdr:cNvSpPr>
      </xdr:nvSpPr>
      <xdr:spPr bwMode="auto">
        <a:xfrm>
          <a:off x="6515100" y="320802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411480</xdr:colOff>
      <xdr:row>16</xdr:row>
      <xdr:rowOff>45720</xdr:rowOff>
    </xdr:from>
    <xdr:to>
      <xdr:col>27</xdr:col>
      <xdr:colOff>411480</xdr:colOff>
      <xdr:row>18</xdr:row>
      <xdr:rowOff>144780</xdr:rowOff>
    </xdr:to>
    <xdr:sp macro="" textlink="">
      <xdr:nvSpPr>
        <xdr:cNvPr id="37031" name="Line 167">
          <a:extLst>
            <a:ext uri="{FF2B5EF4-FFF2-40B4-BE49-F238E27FC236}">
              <a16:creationId xmlns:a16="http://schemas.microsoft.com/office/drawing/2014/main" id="{A5E787CA-F8B8-4763-912D-9D50490D60F4}"/>
            </a:ext>
          </a:extLst>
        </xdr:cNvPr>
        <xdr:cNvSpPr>
          <a:spLocks noChangeShapeType="1"/>
        </xdr:cNvSpPr>
      </xdr:nvSpPr>
      <xdr:spPr bwMode="auto">
        <a:xfrm>
          <a:off x="7231380" y="2758440"/>
          <a:ext cx="0" cy="434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27</xdr:col>
      <xdr:colOff>76200</xdr:colOff>
      <xdr:row>24</xdr:row>
      <xdr:rowOff>0</xdr:rowOff>
    </xdr:from>
    <xdr:to>
      <xdr:col>28</xdr:col>
      <xdr:colOff>137160</xdr:colOff>
      <xdr:row>25</xdr:row>
      <xdr:rowOff>60960</xdr:rowOff>
    </xdr:to>
    <xdr:sp macro="" textlink="">
      <xdr:nvSpPr>
        <xdr:cNvPr id="37032" name="Text Box 168">
          <a:extLst>
            <a:ext uri="{FF2B5EF4-FFF2-40B4-BE49-F238E27FC236}">
              <a16:creationId xmlns:a16="http://schemas.microsoft.com/office/drawing/2014/main" id="{946BF8AE-1A6B-4103-9398-B2781565CA42}"/>
            </a:ext>
          </a:extLst>
        </xdr:cNvPr>
        <xdr:cNvSpPr txBox="1">
          <a:spLocks noChangeArrowheads="1"/>
        </xdr:cNvSpPr>
      </xdr:nvSpPr>
      <xdr:spPr bwMode="auto">
        <a:xfrm>
          <a:off x="6896100" y="4053840"/>
          <a:ext cx="685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Elevation</a:t>
          </a:r>
        </a:p>
      </xdr:txBody>
    </xdr:sp>
    <xdr:clientData/>
  </xdr:twoCellAnchor>
  <xdr:twoCellAnchor>
    <xdr:from>
      <xdr:col>27</xdr:col>
      <xdr:colOff>236220</xdr:colOff>
      <xdr:row>14</xdr:row>
      <xdr:rowOff>0</xdr:rowOff>
    </xdr:from>
    <xdr:to>
      <xdr:col>28</xdr:col>
      <xdr:colOff>7620</xdr:colOff>
      <xdr:row>15</xdr:row>
      <xdr:rowOff>38100</xdr:rowOff>
    </xdr:to>
    <xdr:sp macro="" textlink="">
      <xdr:nvSpPr>
        <xdr:cNvPr id="37033" name="Text Box 169">
          <a:extLst>
            <a:ext uri="{FF2B5EF4-FFF2-40B4-BE49-F238E27FC236}">
              <a16:creationId xmlns:a16="http://schemas.microsoft.com/office/drawing/2014/main" id="{0428114C-9390-4FD7-A054-D9E0D449BE60}"/>
            </a:ext>
          </a:extLst>
        </xdr:cNvPr>
        <xdr:cNvSpPr txBox="1">
          <a:spLocks noChangeArrowheads="1"/>
        </xdr:cNvSpPr>
      </xdr:nvSpPr>
      <xdr:spPr bwMode="auto">
        <a:xfrm>
          <a:off x="7056120" y="2377440"/>
          <a:ext cx="3962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Plan</a:t>
          </a:r>
        </a:p>
      </xdr:txBody>
    </xdr:sp>
    <xdr:clientData/>
  </xdr:twoCellAnchor>
  <xdr:twoCellAnchor>
    <xdr:from>
      <xdr:col>26</xdr:col>
      <xdr:colOff>556260</xdr:colOff>
      <xdr:row>11</xdr:row>
      <xdr:rowOff>129540</xdr:rowOff>
    </xdr:from>
    <xdr:to>
      <xdr:col>27</xdr:col>
      <xdr:colOff>76200</xdr:colOff>
      <xdr:row>12</xdr:row>
      <xdr:rowOff>106680</xdr:rowOff>
    </xdr:to>
    <xdr:sp macro="" textlink="">
      <xdr:nvSpPr>
        <xdr:cNvPr id="37034" name="Oval 170">
          <a:extLst>
            <a:ext uri="{FF2B5EF4-FFF2-40B4-BE49-F238E27FC236}">
              <a16:creationId xmlns:a16="http://schemas.microsoft.com/office/drawing/2014/main" id="{574D27AA-4E6C-404E-9580-11A33D25347A}"/>
            </a:ext>
          </a:extLst>
        </xdr:cNvPr>
        <xdr:cNvSpPr>
          <a:spLocks noChangeArrowheads="1"/>
        </xdr:cNvSpPr>
      </xdr:nvSpPr>
      <xdr:spPr bwMode="auto">
        <a:xfrm>
          <a:off x="6751320" y="2004060"/>
          <a:ext cx="14478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556260</xdr:colOff>
      <xdr:row>7</xdr:row>
      <xdr:rowOff>38100</xdr:rowOff>
    </xdr:from>
    <xdr:to>
      <xdr:col>27</xdr:col>
      <xdr:colOff>76200</xdr:colOff>
      <xdr:row>8</xdr:row>
      <xdr:rowOff>22860</xdr:rowOff>
    </xdr:to>
    <xdr:sp macro="" textlink="">
      <xdr:nvSpPr>
        <xdr:cNvPr id="37035" name="Oval 171">
          <a:extLst>
            <a:ext uri="{FF2B5EF4-FFF2-40B4-BE49-F238E27FC236}">
              <a16:creationId xmlns:a16="http://schemas.microsoft.com/office/drawing/2014/main" id="{09446C3D-190B-43E7-BF0D-8E3FB2CB23D6}"/>
            </a:ext>
          </a:extLst>
        </xdr:cNvPr>
        <xdr:cNvSpPr>
          <a:spLocks noChangeArrowheads="1"/>
        </xdr:cNvSpPr>
      </xdr:nvSpPr>
      <xdr:spPr bwMode="auto">
        <a:xfrm>
          <a:off x="6751320" y="1242060"/>
          <a:ext cx="14478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114300</xdr:colOff>
      <xdr:row>11</xdr:row>
      <xdr:rowOff>129540</xdr:rowOff>
    </xdr:from>
    <xdr:to>
      <xdr:col>28</xdr:col>
      <xdr:colOff>266700</xdr:colOff>
      <xdr:row>12</xdr:row>
      <xdr:rowOff>106680</xdr:rowOff>
    </xdr:to>
    <xdr:sp macro="" textlink="">
      <xdr:nvSpPr>
        <xdr:cNvPr id="37036" name="Oval 172">
          <a:extLst>
            <a:ext uri="{FF2B5EF4-FFF2-40B4-BE49-F238E27FC236}">
              <a16:creationId xmlns:a16="http://schemas.microsoft.com/office/drawing/2014/main" id="{2D5E53FF-D2E6-470E-96E0-17823E959843}"/>
            </a:ext>
          </a:extLst>
        </xdr:cNvPr>
        <xdr:cNvSpPr>
          <a:spLocks noChangeArrowheads="1"/>
        </xdr:cNvSpPr>
      </xdr:nvSpPr>
      <xdr:spPr bwMode="auto">
        <a:xfrm>
          <a:off x="7559040" y="2004060"/>
          <a:ext cx="15240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114300</xdr:colOff>
      <xdr:row>7</xdr:row>
      <xdr:rowOff>38100</xdr:rowOff>
    </xdr:from>
    <xdr:to>
      <xdr:col>28</xdr:col>
      <xdr:colOff>266700</xdr:colOff>
      <xdr:row>8</xdr:row>
      <xdr:rowOff>22860</xdr:rowOff>
    </xdr:to>
    <xdr:sp macro="" textlink="">
      <xdr:nvSpPr>
        <xdr:cNvPr id="37037" name="Oval 173">
          <a:extLst>
            <a:ext uri="{FF2B5EF4-FFF2-40B4-BE49-F238E27FC236}">
              <a16:creationId xmlns:a16="http://schemas.microsoft.com/office/drawing/2014/main" id="{B3F3E3B7-B8A0-469D-9ECC-6843F3EB147A}"/>
            </a:ext>
          </a:extLst>
        </xdr:cNvPr>
        <xdr:cNvSpPr>
          <a:spLocks noChangeArrowheads="1"/>
        </xdr:cNvSpPr>
      </xdr:nvSpPr>
      <xdr:spPr bwMode="auto">
        <a:xfrm>
          <a:off x="7559040" y="124206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251460</xdr:colOff>
      <xdr:row>9</xdr:row>
      <xdr:rowOff>0</xdr:rowOff>
    </xdr:from>
    <xdr:to>
      <xdr:col>27</xdr:col>
      <xdr:colOff>563880</xdr:colOff>
      <xdr:row>10</xdr:row>
      <xdr:rowOff>144780</xdr:rowOff>
    </xdr:to>
    <xdr:sp macro="" textlink="">
      <xdr:nvSpPr>
        <xdr:cNvPr id="37038" name="Rectangle 174">
          <a:extLst>
            <a:ext uri="{FF2B5EF4-FFF2-40B4-BE49-F238E27FC236}">
              <a16:creationId xmlns:a16="http://schemas.microsoft.com/office/drawing/2014/main" id="{523CDAC0-E53B-4115-81D3-6A182E148F5B}"/>
            </a:ext>
          </a:extLst>
        </xdr:cNvPr>
        <xdr:cNvSpPr>
          <a:spLocks noChangeArrowheads="1"/>
        </xdr:cNvSpPr>
      </xdr:nvSpPr>
      <xdr:spPr bwMode="auto">
        <a:xfrm>
          <a:off x="7071360" y="1539240"/>
          <a:ext cx="312420" cy="3124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27</xdr:col>
      <xdr:colOff>411480</xdr:colOff>
      <xdr:row>7</xdr:row>
      <xdr:rowOff>129540</xdr:rowOff>
    </xdr:from>
    <xdr:to>
      <xdr:col>27</xdr:col>
      <xdr:colOff>411480</xdr:colOff>
      <xdr:row>9</xdr:row>
      <xdr:rowOff>137160</xdr:rowOff>
    </xdr:to>
    <xdr:sp macro="" textlink="">
      <xdr:nvSpPr>
        <xdr:cNvPr id="37039" name="Line 175">
          <a:extLst>
            <a:ext uri="{FF2B5EF4-FFF2-40B4-BE49-F238E27FC236}">
              <a16:creationId xmlns:a16="http://schemas.microsoft.com/office/drawing/2014/main" id="{99613B7D-36F4-44D7-80F3-C905F208D8F8}"/>
            </a:ext>
          </a:extLst>
        </xdr:cNvPr>
        <xdr:cNvSpPr>
          <a:spLocks noChangeShapeType="1"/>
        </xdr:cNvSpPr>
      </xdr:nvSpPr>
      <xdr:spPr bwMode="auto">
        <a:xfrm flipV="1">
          <a:off x="7231380" y="13335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426720</xdr:colOff>
      <xdr:row>9</xdr:row>
      <xdr:rowOff>160020</xdr:rowOff>
    </xdr:from>
    <xdr:to>
      <xdr:col>28</xdr:col>
      <xdr:colOff>175260</xdr:colOff>
      <xdr:row>9</xdr:row>
      <xdr:rowOff>160020</xdr:rowOff>
    </xdr:to>
    <xdr:sp macro="" textlink="">
      <xdr:nvSpPr>
        <xdr:cNvPr id="37040" name="Line 176">
          <a:extLst>
            <a:ext uri="{FF2B5EF4-FFF2-40B4-BE49-F238E27FC236}">
              <a16:creationId xmlns:a16="http://schemas.microsoft.com/office/drawing/2014/main" id="{3F643E00-3492-49AB-9288-CB356ECC1B9B}"/>
            </a:ext>
          </a:extLst>
        </xdr:cNvPr>
        <xdr:cNvSpPr>
          <a:spLocks noChangeShapeType="1"/>
        </xdr:cNvSpPr>
      </xdr:nvSpPr>
      <xdr:spPr bwMode="auto">
        <a:xfrm>
          <a:off x="7246620" y="1699260"/>
          <a:ext cx="373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441960</xdr:colOff>
      <xdr:row>8</xdr:row>
      <xdr:rowOff>68580</xdr:rowOff>
    </xdr:from>
    <xdr:to>
      <xdr:col>27</xdr:col>
      <xdr:colOff>411480</xdr:colOff>
      <xdr:row>8</xdr:row>
      <xdr:rowOff>68580</xdr:rowOff>
    </xdr:to>
    <xdr:sp macro="" textlink="">
      <xdr:nvSpPr>
        <xdr:cNvPr id="37041" name="Line 177">
          <a:extLst>
            <a:ext uri="{FF2B5EF4-FFF2-40B4-BE49-F238E27FC236}">
              <a16:creationId xmlns:a16="http://schemas.microsoft.com/office/drawing/2014/main" id="{BB19B0E5-68A5-4216-B4C7-6A6E9E84E979}"/>
            </a:ext>
          </a:extLst>
        </xdr:cNvPr>
        <xdr:cNvSpPr>
          <a:spLocks noChangeShapeType="1"/>
        </xdr:cNvSpPr>
      </xdr:nvSpPr>
      <xdr:spPr bwMode="auto">
        <a:xfrm>
          <a:off x="6637020" y="1440180"/>
          <a:ext cx="594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28</xdr:col>
      <xdr:colOff>38100</xdr:colOff>
      <xdr:row>9</xdr:row>
      <xdr:rowOff>160020</xdr:rowOff>
    </xdr:from>
    <xdr:to>
      <xdr:col>28</xdr:col>
      <xdr:colOff>38100</xdr:colOff>
      <xdr:row>13</xdr:row>
      <xdr:rowOff>60960</xdr:rowOff>
    </xdr:to>
    <xdr:sp macro="" textlink="">
      <xdr:nvSpPr>
        <xdr:cNvPr id="37042" name="Line 178">
          <a:extLst>
            <a:ext uri="{FF2B5EF4-FFF2-40B4-BE49-F238E27FC236}">
              <a16:creationId xmlns:a16="http://schemas.microsoft.com/office/drawing/2014/main" id="{7FF3D486-62A8-465F-866D-60197DE7F67E}"/>
            </a:ext>
          </a:extLst>
        </xdr:cNvPr>
        <xdr:cNvSpPr>
          <a:spLocks noChangeShapeType="1"/>
        </xdr:cNvSpPr>
      </xdr:nvSpPr>
      <xdr:spPr bwMode="auto">
        <a:xfrm>
          <a:off x="7482840" y="169926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26</xdr:col>
      <xdr:colOff>457200</xdr:colOff>
      <xdr:row>12</xdr:row>
      <xdr:rowOff>38100</xdr:rowOff>
    </xdr:from>
    <xdr:to>
      <xdr:col>27</xdr:col>
      <xdr:colOff>7620</xdr:colOff>
      <xdr:row>13</xdr:row>
      <xdr:rowOff>68580</xdr:rowOff>
    </xdr:to>
    <xdr:sp macro="" textlink="">
      <xdr:nvSpPr>
        <xdr:cNvPr id="37043" name="Text Box 179">
          <a:extLst>
            <a:ext uri="{FF2B5EF4-FFF2-40B4-BE49-F238E27FC236}">
              <a16:creationId xmlns:a16="http://schemas.microsoft.com/office/drawing/2014/main" id="{07025F6D-613D-4F54-92B9-2A75F48FA5AB}"/>
            </a:ext>
          </a:extLst>
        </xdr:cNvPr>
        <xdr:cNvSpPr txBox="1">
          <a:spLocks noChangeArrowheads="1"/>
        </xdr:cNvSpPr>
      </xdr:nvSpPr>
      <xdr:spPr bwMode="auto">
        <a:xfrm>
          <a:off x="6652260" y="20802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1</a:t>
          </a:r>
        </a:p>
      </xdr:txBody>
    </xdr:sp>
    <xdr:clientData/>
  </xdr:twoCellAnchor>
  <xdr:twoCellAnchor>
    <xdr:from>
      <xdr:col>28</xdr:col>
      <xdr:colOff>243840</xdr:colOff>
      <xdr:row>12</xdr:row>
      <xdr:rowOff>45720</xdr:rowOff>
    </xdr:from>
    <xdr:to>
      <xdr:col>28</xdr:col>
      <xdr:colOff>419100</xdr:colOff>
      <xdr:row>13</xdr:row>
      <xdr:rowOff>76200</xdr:rowOff>
    </xdr:to>
    <xdr:sp macro="" textlink="">
      <xdr:nvSpPr>
        <xdr:cNvPr id="37044" name="Text Box 180">
          <a:extLst>
            <a:ext uri="{FF2B5EF4-FFF2-40B4-BE49-F238E27FC236}">
              <a16:creationId xmlns:a16="http://schemas.microsoft.com/office/drawing/2014/main" id="{AB5B1A93-1BEC-43E8-BB2F-1D6B3853F72D}"/>
            </a:ext>
          </a:extLst>
        </xdr:cNvPr>
        <xdr:cNvSpPr txBox="1">
          <a:spLocks noChangeArrowheads="1"/>
        </xdr:cNvSpPr>
      </xdr:nvSpPr>
      <xdr:spPr bwMode="auto">
        <a:xfrm>
          <a:off x="7688580" y="20878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2</a:t>
          </a:r>
        </a:p>
      </xdr:txBody>
    </xdr:sp>
    <xdr:clientData/>
  </xdr:twoCellAnchor>
  <xdr:twoCellAnchor>
    <xdr:from>
      <xdr:col>26</xdr:col>
      <xdr:colOff>449580</xdr:colOff>
      <xdr:row>6</xdr:row>
      <xdr:rowOff>91440</xdr:rowOff>
    </xdr:from>
    <xdr:to>
      <xdr:col>27</xdr:col>
      <xdr:colOff>0</xdr:colOff>
      <xdr:row>7</xdr:row>
      <xdr:rowOff>121920</xdr:rowOff>
    </xdr:to>
    <xdr:sp macro="" textlink="">
      <xdr:nvSpPr>
        <xdr:cNvPr id="37045" name="Text Box 181">
          <a:extLst>
            <a:ext uri="{FF2B5EF4-FFF2-40B4-BE49-F238E27FC236}">
              <a16:creationId xmlns:a16="http://schemas.microsoft.com/office/drawing/2014/main" id="{62C298CD-E6EC-4564-9066-06596CDA6F33}"/>
            </a:ext>
          </a:extLst>
        </xdr:cNvPr>
        <xdr:cNvSpPr txBox="1">
          <a:spLocks noChangeArrowheads="1"/>
        </xdr:cNvSpPr>
      </xdr:nvSpPr>
      <xdr:spPr bwMode="auto">
        <a:xfrm>
          <a:off x="6644640" y="11277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3</a:t>
          </a:r>
        </a:p>
      </xdr:txBody>
    </xdr:sp>
    <xdr:clientData/>
  </xdr:twoCellAnchor>
  <xdr:twoCellAnchor>
    <xdr:from>
      <xdr:col>28</xdr:col>
      <xdr:colOff>243840</xdr:colOff>
      <xdr:row>6</xdr:row>
      <xdr:rowOff>99060</xdr:rowOff>
    </xdr:from>
    <xdr:to>
      <xdr:col>28</xdr:col>
      <xdr:colOff>419100</xdr:colOff>
      <xdr:row>7</xdr:row>
      <xdr:rowOff>129540</xdr:rowOff>
    </xdr:to>
    <xdr:sp macro="" textlink="">
      <xdr:nvSpPr>
        <xdr:cNvPr id="37046" name="Text Box 182">
          <a:extLst>
            <a:ext uri="{FF2B5EF4-FFF2-40B4-BE49-F238E27FC236}">
              <a16:creationId xmlns:a16="http://schemas.microsoft.com/office/drawing/2014/main" id="{7A6B885C-037B-40D8-88F7-7419896D3D55}"/>
            </a:ext>
          </a:extLst>
        </xdr:cNvPr>
        <xdr:cNvSpPr txBox="1">
          <a:spLocks noChangeArrowheads="1"/>
        </xdr:cNvSpPr>
      </xdr:nvSpPr>
      <xdr:spPr bwMode="auto">
        <a:xfrm>
          <a:off x="7688580" y="11353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4</a:t>
          </a:r>
        </a:p>
      </xdr:txBody>
    </xdr:sp>
    <xdr:clientData/>
  </xdr:twoCellAnchor>
  <xdr:twoCellAnchor>
    <xdr:from>
      <xdr:col>26</xdr:col>
      <xdr:colOff>472440</xdr:colOff>
      <xdr:row>10</xdr:row>
      <xdr:rowOff>30480</xdr:rowOff>
    </xdr:from>
    <xdr:to>
      <xdr:col>27</xdr:col>
      <xdr:colOff>106680</xdr:colOff>
      <xdr:row>11</xdr:row>
      <xdr:rowOff>76200</xdr:rowOff>
    </xdr:to>
    <xdr:sp macro="" textlink="">
      <xdr:nvSpPr>
        <xdr:cNvPr id="37047" name="Text Box 183">
          <a:extLst>
            <a:ext uri="{FF2B5EF4-FFF2-40B4-BE49-F238E27FC236}">
              <a16:creationId xmlns:a16="http://schemas.microsoft.com/office/drawing/2014/main" id="{3B63C890-6EE8-4F61-A7D7-4A513F7E944D}"/>
            </a:ext>
          </a:extLst>
        </xdr:cNvPr>
        <xdr:cNvSpPr txBox="1">
          <a:spLocks noChangeArrowheads="1"/>
        </xdr:cNvSpPr>
      </xdr:nvSpPr>
      <xdr:spPr bwMode="auto">
        <a:xfrm>
          <a:off x="6667500" y="173736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r>
            <a:rPr lang="en-US" sz="800" b="0" i="0" u="none" strike="noStrike" baseline="0%">
              <a:solidFill>
                <a:srgbClr val="0000FF"/>
              </a:solidFill>
              <a:latin typeface="Arial"/>
              <a:cs typeface="Arial"/>
            </a:rPr>
            <a:t>o</a:t>
          </a:r>
        </a:p>
      </xdr:txBody>
    </xdr:sp>
    <xdr:clientData/>
  </xdr:twoCellAnchor>
  <xdr:twoCellAnchor>
    <xdr:from>
      <xdr:col>27</xdr:col>
      <xdr:colOff>167640</xdr:colOff>
      <xdr:row>12</xdr:row>
      <xdr:rowOff>30480</xdr:rowOff>
    </xdr:from>
    <xdr:to>
      <xdr:col>27</xdr:col>
      <xdr:colOff>426720</xdr:colOff>
      <xdr:row>13</xdr:row>
      <xdr:rowOff>76200</xdr:rowOff>
    </xdr:to>
    <xdr:sp macro="" textlink="">
      <xdr:nvSpPr>
        <xdr:cNvPr id="37048" name="Text Box 184">
          <a:extLst>
            <a:ext uri="{FF2B5EF4-FFF2-40B4-BE49-F238E27FC236}">
              <a16:creationId xmlns:a16="http://schemas.microsoft.com/office/drawing/2014/main" id="{A8399A45-82FE-4D58-8A75-21A0F13325F9}"/>
            </a:ext>
          </a:extLst>
        </xdr:cNvPr>
        <xdr:cNvSpPr txBox="1">
          <a:spLocks noChangeArrowheads="1"/>
        </xdr:cNvSpPr>
      </xdr:nvSpPr>
      <xdr:spPr bwMode="auto">
        <a:xfrm>
          <a:off x="6987540" y="207264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yo</a:t>
          </a:r>
        </a:p>
      </xdr:txBody>
    </xdr:sp>
    <xdr:clientData/>
  </xdr:twoCellAnchor>
  <xdr:twoCellAnchor>
    <xdr:from>
      <xdr:col>27</xdr:col>
      <xdr:colOff>106680</xdr:colOff>
      <xdr:row>7</xdr:row>
      <xdr:rowOff>76200</xdr:rowOff>
    </xdr:from>
    <xdr:to>
      <xdr:col>27</xdr:col>
      <xdr:colOff>373380</xdr:colOff>
      <xdr:row>8</xdr:row>
      <xdr:rowOff>129540</xdr:rowOff>
    </xdr:to>
    <xdr:sp macro="" textlink="">
      <xdr:nvSpPr>
        <xdr:cNvPr id="37049" name="Text Box 185">
          <a:extLst>
            <a:ext uri="{FF2B5EF4-FFF2-40B4-BE49-F238E27FC236}">
              <a16:creationId xmlns:a16="http://schemas.microsoft.com/office/drawing/2014/main" id="{3C42B2F8-94FC-4DC6-A3FD-821EB27F89CA}"/>
            </a:ext>
          </a:extLst>
        </xdr:cNvPr>
        <xdr:cNvSpPr txBox="1">
          <a:spLocks noChangeArrowheads="1"/>
        </xdr:cNvSpPr>
      </xdr:nvSpPr>
      <xdr:spPr bwMode="auto">
        <a:xfrm>
          <a:off x="6926580" y="128016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p>
      </xdr:txBody>
    </xdr:sp>
    <xdr:clientData/>
  </xdr:twoCellAnchor>
  <xdr:twoCellAnchor>
    <xdr:from>
      <xdr:col>28</xdr:col>
      <xdr:colOff>45720</xdr:colOff>
      <xdr:row>10</xdr:row>
      <xdr:rowOff>137160</xdr:rowOff>
    </xdr:from>
    <xdr:to>
      <xdr:col>28</xdr:col>
      <xdr:colOff>312420</xdr:colOff>
      <xdr:row>12</xdr:row>
      <xdr:rowOff>22860</xdr:rowOff>
    </xdr:to>
    <xdr:sp macro="" textlink="">
      <xdr:nvSpPr>
        <xdr:cNvPr id="37050" name="Text Box 186">
          <a:extLst>
            <a:ext uri="{FF2B5EF4-FFF2-40B4-BE49-F238E27FC236}">
              <a16:creationId xmlns:a16="http://schemas.microsoft.com/office/drawing/2014/main" id="{5670835B-9029-4116-BE7C-4618CABE1A2B}"/>
            </a:ext>
          </a:extLst>
        </xdr:cNvPr>
        <xdr:cNvSpPr txBox="1">
          <a:spLocks noChangeArrowheads="1"/>
        </xdr:cNvSpPr>
      </xdr:nvSpPr>
      <xdr:spPr bwMode="auto">
        <a:xfrm>
          <a:off x="7490460" y="184404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Y</a:t>
          </a:r>
        </a:p>
      </xdr:txBody>
    </xdr:sp>
    <xdr:clientData/>
  </xdr:twoCellAnchor>
  <xdr:twoCellAnchor>
    <xdr:from>
      <xdr:col>28</xdr:col>
      <xdr:colOff>548640</xdr:colOff>
      <xdr:row>12</xdr:row>
      <xdr:rowOff>144780</xdr:rowOff>
    </xdr:from>
    <xdr:to>
      <xdr:col>29</xdr:col>
      <xdr:colOff>182880</xdr:colOff>
      <xdr:row>14</xdr:row>
      <xdr:rowOff>30480</xdr:rowOff>
    </xdr:to>
    <xdr:sp macro="" textlink="">
      <xdr:nvSpPr>
        <xdr:cNvPr id="37051" name="Text Box 187">
          <a:extLst>
            <a:ext uri="{FF2B5EF4-FFF2-40B4-BE49-F238E27FC236}">
              <a16:creationId xmlns:a16="http://schemas.microsoft.com/office/drawing/2014/main" id="{B66B5F23-4687-4E4D-BC1C-CF86094FCDC1}"/>
            </a:ext>
          </a:extLst>
        </xdr:cNvPr>
        <xdr:cNvSpPr txBox="1">
          <a:spLocks noChangeArrowheads="1"/>
        </xdr:cNvSpPr>
      </xdr:nvSpPr>
      <xdr:spPr bwMode="auto">
        <a:xfrm>
          <a:off x="7993380" y="2186940"/>
          <a:ext cx="2590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+X</a:t>
          </a:r>
        </a:p>
      </xdr:txBody>
    </xdr:sp>
    <xdr:clientData/>
  </xdr:twoCellAnchor>
  <xdr:twoCellAnchor>
    <xdr:from>
      <xdr:col>26</xdr:col>
      <xdr:colOff>312420</xdr:colOff>
      <xdr:row>4</xdr:row>
      <xdr:rowOff>99060</xdr:rowOff>
    </xdr:from>
    <xdr:to>
      <xdr:col>26</xdr:col>
      <xdr:colOff>579120</xdr:colOff>
      <xdr:row>5</xdr:row>
      <xdr:rowOff>144780</xdr:rowOff>
    </xdr:to>
    <xdr:sp macro="" textlink="">
      <xdr:nvSpPr>
        <xdr:cNvPr id="37052" name="Text Box 188">
          <a:extLst>
            <a:ext uri="{FF2B5EF4-FFF2-40B4-BE49-F238E27FC236}">
              <a16:creationId xmlns:a16="http://schemas.microsoft.com/office/drawing/2014/main" id="{2DC0C95C-71E5-4800-9643-D297C5EE0A04}"/>
            </a:ext>
          </a:extLst>
        </xdr:cNvPr>
        <xdr:cNvSpPr txBox="1">
          <a:spLocks noChangeArrowheads="1"/>
        </xdr:cNvSpPr>
      </xdr:nvSpPr>
      <xdr:spPr bwMode="auto">
        <a:xfrm>
          <a:off x="6507480" y="800100"/>
          <a:ext cx="2667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+Y</a:t>
          </a:r>
        </a:p>
      </xdr:txBody>
    </xdr:sp>
    <xdr:clientData/>
  </xdr:twoCellAnchor>
  <xdr:twoCellAnchor>
    <xdr:from>
      <xdr:col>26</xdr:col>
      <xdr:colOff>144780</xdr:colOff>
      <xdr:row>13</xdr:row>
      <xdr:rowOff>99060</xdr:rowOff>
    </xdr:from>
    <xdr:to>
      <xdr:col>26</xdr:col>
      <xdr:colOff>411480</xdr:colOff>
      <xdr:row>14</xdr:row>
      <xdr:rowOff>144780</xdr:rowOff>
    </xdr:to>
    <xdr:sp macro="" textlink="">
      <xdr:nvSpPr>
        <xdr:cNvPr id="37053" name="Text Box 189">
          <a:extLst>
            <a:ext uri="{FF2B5EF4-FFF2-40B4-BE49-F238E27FC236}">
              <a16:creationId xmlns:a16="http://schemas.microsoft.com/office/drawing/2014/main" id="{522B7D1E-24F6-443D-BAA5-3113FA8ABA93}"/>
            </a:ext>
          </a:extLst>
        </xdr:cNvPr>
        <xdr:cNvSpPr txBox="1">
          <a:spLocks noChangeArrowheads="1"/>
        </xdr:cNvSpPr>
      </xdr:nvSpPr>
      <xdr:spPr bwMode="auto">
        <a:xfrm>
          <a:off x="6339840" y="2308860"/>
          <a:ext cx="2667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+Z</a:t>
          </a:r>
        </a:p>
      </xdr:txBody>
    </xdr:sp>
    <xdr:clientData/>
  </xdr:twoCellAnchor>
  <xdr:twoCellAnchor>
    <xdr:from>
      <xdr:col>27</xdr:col>
      <xdr:colOff>419100</xdr:colOff>
      <xdr:row>15</xdr:row>
      <xdr:rowOff>144780</xdr:rowOff>
    </xdr:from>
    <xdr:to>
      <xdr:col>28</xdr:col>
      <xdr:colOff>60960</xdr:colOff>
      <xdr:row>17</xdr:row>
      <xdr:rowOff>30480</xdr:rowOff>
    </xdr:to>
    <xdr:sp macro="" textlink="">
      <xdr:nvSpPr>
        <xdr:cNvPr id="37054" name="Text Box 190">
          <a:extLst>
            <a:ext uri="{FF2B5EF4-FFF2-40B4-BE49-F238E27FC236}">
              <a16:creationId xmlns:a16="http://schemas.microsoft.com/office/drawing/2014/main" id="{0A873E11-97D7-4144-9307-C01DD53CD0CB}"/>
            </a:ext>
          </a:extLst>
        </xdr:cNvPr>
        <xdr:cNvSpPr txBox="1">
          <a:spLocks noChangeArrowheads="1"/>
        </xdr:cNvSpPr>
      </xdr:nvSpPr>
      <xdr:spPr bwMode="auto">
        <a:xfrm>
          <a:off x="7239000" y="268986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-P</a:t>
          </a:r>
          <a:r>
            <a:rPr lang="en-US" sz="800" b="1" i="0" u="none" strike="noStrike" baseline="0%">
              <a:solidFill>
                <a:srgbClr val="0000FF"/>
              </a:solidFill>
              <a:latin typeface="Arial"/>
              <a:cs typeface="Arial"/>
            </a:rPr>
            <a:t>z</a:t>
          </a:r>
        </a:p>
      </xdr:txBody>
    </xdr:sp>
    <xdr:clientData/>
  </xdr:twoCellAnchor>
  <xdr:twoCellAnchor>
    <xdr:from>
      <xdr:col>27</xdr:col>
      <xdr:colOff>548640</xdr:colOff>
      <xdr:row>18</xdr:row>
      <xdr:rowOff>0</xdr:rowOff>
    </xdr:from>
    <xdr:to>
      <xdr:col>28</xdr:col>
      <xdr:colOff>289560</xdr:colOff>
      <xdr:row>19</xdr:row>
      <xdr:rowOff>76200</xdr:rowOff>
    </xdr:to>
    <xdr:sp macro="" textlink="">
      <xdr:nvSpPr>
        <xdr:cNvPr id="37055" name="Text Box 191">
          <a:extLst>
            <a:ext uri="{FF2B5EF4-FFF2-40B4-BE49-F238E27FC236}">
              <a16:creationId xmlns:a16="http://schemas.microsoft.com/office/drawing/2014/main" id="{BA9720C6-C507-4A94-BC40-26CD8522601E}"/>
            </a:ext>
          </a:extLst>
        </xdr:cNvPr>
        <xdr:cNvSpPr txBox="1">
          <a:spLocks noChangeArrowheads="1"/>
        </xdr:cNvSpPr>
      </xdr:nvSpPr>
      <xdr:spPr bwMode="auto">
        <a:xfrm>
          <a:off x="7368540" y="3048000"/>
          <a:ext cx="36576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+M</a:t>
          </a:r>
          <a:r>
            <a:rPr lang="en-US" sz="800" b="1" i="0" u="none" strike="noStrike" baseline="0%">
              <a:solidFill>
                <a:srgbClr val="0000FF"/>
              </a:solidFill>
              <a:latin typeface="Arial"/>
              <a:cs typeface="Arial"/>
            </a:rPr>
            <a:t>y</a:t>
          </a:r>
        </a:p>
      </xdr:txBody>
    </xdr:sp>
    <xdr:clientData/>
  </xdr:twoCellAnchor>
  <xdr:twoCellAnchor>
    <xdr:from>
      <xdr:col>26</xdr:col>
      <xdr:colOff>563880</xdr:colOff>
      <xdr:row>17</xdr:row>
      <xdr:rowOff>144780</xdr:rowOff>
    </xdr:from>
    <xdr:to>
      <xdr:col>27</xdr:col>
      <xdr:colOff>312420</xdr:colOff>
      <xdr:row>19</xdr:row>
      <xdr:rowOff>60960</xdr:rowOff>
    </xdr:to>
    <xdr:sp macro="" textlink="">
      <xdr:nvSpPr>
        <xdr:cNvPr id="37056" name="Text Box 192">
          <a:extLst>
            <a:ext uri="{FF2B5EF4-FFF2-40B4-BE49-F238E27FC236}">
              <a16:creationId xmlns:a16="http://schemas.microsoft.com/office/drawing/2014/main" id="{3BC35860-8F6B-4318-AB57-A96BB64E316C}"/>
            </a:ext>
          </a:extLst>
        </xdr:cNvPr>
        <xdr:cNvSpPr txBox="1">
          <a:spLocks noChangeArrowheads="1"/>
        </xdr:cNvSpPr>
      </xdr:nvSpPr>
      <xdr:spPr bwMode="auto">
        <a:xfrm>
          <a:off x="6758940" y="3025140"/>
          <a:ext cx="373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+H</a:t>
          </a:r>
          <a:r>
            <a:rPr lang="en-US" sz="800" b="1" i="0" u="none" strike="noStrike" baseline="0%">
              <a:solidFill>
                <a:srgbClr val="0000FF"/>
              </a:solidFill>
              <a:latin typeface="Arial"/>
              <a:cs typeface="Arial"/>
            </a:rPr>
            <a:t>x</a:t>
          </a:r>
        </a:p>
      </xdr:txBody>
    </xdr:sp>
    <xdr:clientData/>
  </xdr:twoCellAnchor>
  <xdr:twoCellAnchor>
    <xdr:from>
      <xdr:col>26</xdr:col>
      <xdr:colOff>205740</xdr:colOff>
      <xdr:row>19</xdr:row>
      <xdr:rowOff>76200</xdr:rowOff>
    </xdr:from>
    <xdr:to>
      <xdr:col>26</xdr:col>
      <xdr:colOff>381000</xdr:colOff>
      <xdr:row>20</xdr:row>
      <xdr:rowOff>106680</xdr:rowOff>
    </xdr:to>
    <xdr:sp macro="" textlink="">
      <xdr:nvSpPr>
        <xdr:cNvPr id="37057" name="Text Box 193">
          <a:extLst>
            <a:ext uri="{FF2B5EF4-FFF2-40B4-BE49-F238E27FC236}">
              <a16:creationId xmlns:a16="http://schemas.microsoft.com/office/drawing/2014/main" id="{1FCF5E2A-3DE7-487D-A2BA-8A83A16F86F0}"/>
            </a:ext>
          </a:extLst>
        </xdr:cNvPr>
        <xdr:cNvSpPr txBox="1">
          <a:spLocks noChangeArrowheads="1"/>
        </xdr:cNvSpPr>
      </xdr:nvSpPr>
      <xdr:spPr bwMode="auto">
        <a:xfrm>
          <a:off x="6400800" y="329184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h</a:t>
          </a:r>
        </a:p>
      </xdr:txBody>
    </xdr:sp>
    <xdr:clientData/>
  </xdr:twoCellAnchor>
  <xdr:twoCellAnchor>
    <xdr:from>
      <xdr:col>27</xdr:col>
      <xdr:colOff>251460</xdr:colOff>
      <xdr:row>17</xdr:row>
      <xdr:rowOff>22860</xdr:rowOff>
    </xdr:from>
    <xdr:to>
      <xdr:col>27</xdr:col>
      <xdr:colOff>563880</xdr:colOff>
      <xdr:row>19</xdr:row>
      <xdr:rowOff>0</xdr:rowOff>
    </xdr:to>
    <xdr:sp macro="" textlink="">
      <xdr:nvSpPr>
        <xdr:cNvPr id="37058" name="Arc 194">
          <a:extLst>
            <a:ext uri="{FF2B5EF4-FFF2-40B4-BE49-F238E27FC236}">
              <a16:creationId xmlns:a16="http://schemas.microsoft.com/office/drawing/2014/main" id="{1967BCB4-990C-4A0A-9553-37B30480B14A}"/>
            </a:ext>
          </a:extLst>
        </xdr:cNvPr>
        <xdr:cNvSpPr>
          <a:spLocks/>
        </xdr:cNvSpPr>
      </xdr:nvSpPr>
      <xdr:spPr bwMode="auto">
        <a:xfrm rot="18900000">
          <a:off x="7071360" y="2903220"/>
          <a:ext cx="312420" cy="312420"/>
        </a:xfrm>
        <a:custGeom>
          <a:avLst/>
          <a:gdLst>
            <a:gd name="G0" fmla="+- 10424 0 0"/>
            <a:gd name="G1" fmla="+- 21600 0 0"/>
            <a:gd name="G2" fmla="+- 21600 0 0"/>
            <a:gd name="T0" fmla="*/ 0 w 32024"/>
            <a:gd name="T1" fmla="*/ 2682 h 33135"/>
            <a:gd name="T2" fmla="*/ 28686 w 32024"/>
            <a:gd name="T3" fmla="*/ 33135 h 33135"/>
            <a:gd name="T4" fmla="*/ 10424 w 32024"/>
            <a:gd name="T5" fmla="*/ 21600 h 33135"/>
          </a:gdLst>
          <a:ahLst/>
          <a:cxnLst>
            <a:cxn ang="0">
              <a:pos x="T0" y="T1"/>
            </a:cxn>
            <a:cxn ang="0">
              <a:pos x="T2" y="T3"/>
            </a:cxn>
            <a:cxn ang="0">
              <a:pos x="T4" y="T5"/>
            </a:cxn>
          </a:cxnLst>
          <a:rect l="0" t="0" r="r" b="b"/>
          <a:pathLst>
            <a:path w="32024" h="33135" fill="none" extrusionOk="0">
              <a:moveTo>
                <a:pt x="-1" y="2681"/>
              </a:moveTo>
              <a:cubicBezTo>
                <a:pt x="3192" y="922"/>
                <a:pt x="6778" y="0"/>
                <a:pt x="10424" y="0"/>
              </a:cubicBezTo>
              <a:cubicBezTo>
                <a:pt x="22353" y="0"/>
                <a:pt x="32024" y="9670"/>
                <a:pt x="32024" y="21600"/>
              </a:cubicBezTo>
              <a:cubicBezTo>
                <a:pt x="32024" y="25683"/>
                <a:pt x="30866" y="29682"/>
                <a:pt x="28686" y="33135"/>
              </a:cubicBezTo>
            </a:path>
            <a:path w="32024" h="33135" stroke="0" extrusionOk="0">
              <a:moveTo>
                <a:pt x="-1" y="2681"/>
              </a:moveTo>
              <a:cubicBezTo>
                <a:pt x="3192" y="922"/>
                <a:pt x="6778" y="0"/>
                <a:pt x="10424" y="0"/>
              </a:cubicBezTo>
              <a:cubicBezTo>
                <a:pt x="22353" y="0"/>
                <a:pt x="32024" y="9670"/>
                <a:pt x="32024" y="21600"/>
              </a:cubicBezTo>
              <a:cubicBezTo>
                <a:pt x="32024" y="25683"/>
                <a:pt x="30866" y="29682"/>
                <a:pt x="28686" y="33135"/>
              </a:cubicBezTo>
              <a:lnTo>
                <a:pt x="10424"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320040</xdr:colOff>
      <xdr:row>12</xdr:row>
      <xdr:rowOff>99060</xdr:rowOff>
    </xdr:from>
    <xdr:to>
      <xdr:col>26</xdr:col>
      <xdr:colOff>495300</xdr:colOff>
      <xdr:row>13</xdr:row>
      <xdr:rowOff>129540</xdr:rowOff>
    </xdr:to>
    <xdr:sp macro="" textlink="">
      <xdr:nvSpPr>
        <xdr:cNvPr id="37059" name="Text Box 195">
          <a:extLst>
            <a:ext uri="{FF2B5EF4-FFF2-40B4-BE49-F238E27FC236}">
              <a16:creationId xmlns:a16="http://schemas.microsoft.com/office/drawing/2014/main" id="{44773F6E-73A1-45E4-ABD4-EDE7EDBE49A1}"/>
            </a:ext>
          </a:extLst>
        </xdr:cNvPr>
        <xdr:cNvSpPr txBox="1">
          <a:spLocks noChangeArrowheads="1"/>
        </xdr:cNvSpPr>
      </xdr:nvSpPr>
      <xdr:spPr bwMode="auto">
        <a:xfrm>
          <a:off x="6515100" y="214122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0</a:t>
          </a:r>
        </a:p>
      </xdr:txBody>
    </xdr:sp>
    <xdr:clientData/>
  </xdr:twoCellAnchor>
  <xdr:twoCellAnchor>
    <xdr:from>
      <xdr:col>27</xdr:col>
      <xdr:colOff>7620</xdr:colOff>
      <xdr:row>10</xdr:row>
      <xdr:rowOff>160020</xdr:rowOff>
    </xdr:from>
    <xdr:to>
      <xdr:col>27</xdr:col>
      <xdr:colOff>7620</xdr:colOff>
      <xdr:row>12</xdr:row>
      <xdr:rowOff>7620</xdr:rowOff>
    </xdr:to>
    <xdr:sp macro="" textlink="">
      <xdr:nvSpPr>
        <xdr:cNvPr id="37060" name="Line 196">
          <a:extLst>
            <a:ext uri="{FF2B5EF4-FFF2-40B4-BE49-F238E27FC236}">
              <a16:creationId xmlns:a16="http://schemas.microsoft.com/office/drawing/2014/main" id="{F4AA947F-B0E9-4136-932B-2464537D7C3A}"/>
            </a:ext>
          </a:extLst>
        </xdr:cNvPr>
        <xdr:cNvSpPr>
          <a:spLocks noChangeShapeType="1"/>
        </xdr:cNvSpPr>
      </xdr:nvSpPr>
      <xdr:spPr bwMode="auto">
        <a:xfrm flipV="1">
          <a:off x="6827520" y="1866900"/>
          <a:ext cx="0" cy="182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30480</xdr:colOff>
      <xdr:row>12</xdr:row>
      <xdr:rowOff>30480</xdr:rowOff>
    </xdr:from>
    <xdr:to>
      <xdr:col>27</xdr:col>
      <xdr:colOff>198120</xdr:colOff>
      <xdr:row>12</xdr:row>
      <xdr:rowOff>30480</xdr:rowOff>
    </xdr:to>
    <xdr:sp macro="" textlink="">
      <xdr:nvSpPr>
        <xdr:cNvPr id="37061" name="Line 197">
          <a:extLst>
            <a:ext uri="{FF2B5EF4-FFF2-40B4-BE49-F238E27FC236}">
              <a16:creationId xmlns:a16="http://schemas.microsoft.com/office/drawing/2014/main" id="{E5557326-DC66-41BA-B69D-A6EAA7076A15}"/>
            </a:ext>
          </a:extLst>
        </xdr:cNvPr>
        <xdr:cNvSpPr>
          <a:spLocks noChangeShapeType="1"/>
        </xdr:cNvSpPr>
      </xdr:nvSpPr>
      <xdr:spPr bwMode="auto">
        <a:xfrm>
          <a:off x="6850380" y="2072640"/>
          <a:ext cx="167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441960</xdr:colOff>
      <xdr:row>11</xdr:row>
      <xdr:rowOff>38100</xdr:rowOff>
    </xdr:from>
    <xdr:to>
      <xdr:col>27</xdr:col>
      <xdr:colOff>7620</xdr:colOff>
      <xdr:row>11</xdr:row>
      <xdr:rowOff>38100</xdr:rowOff>
    </xdr:to>
    <xdr:sp macro="" textlink="">
      <xdr:nvSpPr>
        <xdr:cNvPr id="37062" name="Line 198">
          <a:extLst>
            <a:ext uri="{FF2B5EF4-FFF2-40B4-BE49-F238E27FC236}">
              <a16:creationId xmlns:a16="http://schemas.microsoft.com/office/drawing/2014/main" id="{0C911F3D-0910-41C3-BF0D-C71EF908BAFE}"/>
            </a:ext>
          </a:extLst>
        </xdr:cNvPr>
        <xdr:cNvSpPr>
          <a:spLocks noChangeShapeType="1"/>
        </xdr:cNvSpPr>
      </xdr:nvSpPr>
      <xdr:spPr bwMode="auto">
        <a:xfrm>
          <a:off x="6637020" y="191262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144780</xdr:colOff>
      <xdr:row>12</xdr:row>
      <xdr:rowOff>30480</xdr:rowOff>
    </xdr:from>
    <xdr:to>
      <xdr:col>27</xdr:col>
      <xdr:colOff>144780</xdr:colOff>
      <xdr:row>13</xdr:row>
      <xdr:rowOff>60960</xdr:rowOff>
    </xdr:to>
    <xdr:sp macro="" textlink="">
      <xdr:nvSpPr>
        <xdr:cNvPr id="37063" name="Line 199">
          <a:extLst>
            <a:ext uri="{FF2B5EF4-FFF2-40B4-BE49-F238E27FC236}">
              <a16:creationId xmlns:a16="http://schemas.microsoft.com/office/drawing/2014/main" id="{012D6C35-41A8-449D-886D-2E7E4AE40530}"/>
            </a:ext>
          </a:extLst>
        </xdr:cNvPr>
        <xdr:cNvSpPr>
          <a:spLocks noChangeShapeType="1"/>
        </xdr:cNvSpPr>
      </xdr:nvSpPr>
      <xdr:spPr bwMode="auto">
        <a:xfrm>
          <a:off x="6964680" y="2072640"/>
          <a:ext cx="0" cy="198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251460</xdr:colOff>
      <xdr:row>21</xdr:row>
      <xdr:rowOff>121920</xdr:rowOff>
    </xdr:from>
    <xdr:to>
      <xdr:col>27</xdr:col>
      <xdr:colOff>601980</xdr:colOff>
      <xdr:row>22</xdr:row>
      <xdr:rowOff>160020</xdr:rowOff>
    </xdr:to>
    <xdr:sp macro="" textlink="">
      <xdr:nvSpPr>
        <xdr:cNvPr id="37064" name="Text Box 200">
          <a:extLst>
            <a:ext uri="{FF2B5EF4-FFF2-40B4-BE49-F238E27FC236}">
              <a16:creationId xmlns:a16="http://schemas.microsoft.com/office/drawing/2014/main" id="{7C0A0087-03A2-41B4-9448-82942C86A825}"/>
            </a:ext>
          </a:extLst>
        </xdr:cNvPr>
        <xdr:cNvSpPr txBox="1">
          <a:spLocks noChangeArrowheads="1"/>
        </xdr:cNvSpPr>
      </xdr:nvSpPr>
      <xdr:spPr bwMode="auto">
        <a:xfrm>
          <a:off x="7071360" y="3672840"/>
          <a:ext cx="35052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Piles</a:t>
          </a:r>
        </a:p>
      </xdr:txBody>
    </xdr:sp>
    <xdr:clientData/>
  </xdr:twoCellAnchor>
  <xdr:twoCellAnchor>
    <xdr:from>
      <xdr:col>27</xdr:col>
      <xdr:colOff>76200</xdr:colOff>
      <xdr:row>22</xdr:row>
      <xdr:rowOff>30480</xdr:rowOff>
    </xdr:from>
    <xdr:to>
      <xdr:col>27</xdr:col>
      <xdr:colOff>213360</xdr:colOff>
      <xdr:row>22</xdr:row>
      <xdr:rowOff>30480</xdr:rowOff>
    </xdr:to>
    <xdr:sp macro="" textlink="">
      <xdr:nvSpPr>
        <xdr:cNvPr id="37065" name="Line 201">
          <a:extLst>
            <a:ext uri="{FF2B5EF4-FFF2-40B4-BE49-F238E27FC236}">
              <a16:creationId xmlns:a16="http://schemas.microsoft.com/office/drawing/2014/main" id="{ECDCE959-BEA2-4F85-908F-07DC96BE8A48}"/>
            </a:ext>
          </a:extLst>
        </xdr:cNvPr>
        <xdr:cNvSpPr>
          <a:spLocks noChangeShapeType="1"/>
        </xdr:cNvSpPr>
      </xdr:nvSpPr>
      <xdr:spPr bwMode="auto">
        <a:xfrm flipH="1">
          <a:off x="689610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sm"/>
        </a:ln>
        <a:extLst>
          <a:ext uri="{909E8E84-426E-40DD-AFC4-6F175D3DCCD1}">
            <a14:hiddenFill xmlns:a14="http://schemas.microsoft.com/office/drawing/2010/main">
              <a:noFill/>
            </a14:hiddenFill>
          </a:ext>
        </a:extLst>
      </xdr:spPr>
    </xdr:sp>
    <xdr:clientData/>
  </xdr:twoCellAnchor>
  <xdr:twoCellAnchor>
    <xdr:from>
      <xdr:col>27</xdr:col>
      <xdr:colOff>601980</xdr:colOff>
      <xdr:row>22</xdr:row>
      <xdr:rowOff>30480</xdr:rowOff>
    </xdr:from>
    <xdr:to>
      <xdr:col>28</xdr:col>
      <xdr:colOff>114300</xdr:colOff>
      <xdr:row>22</xdr:row>
      <xdr:rowOff>30480</xdr:rowOff>
    </xdr:to>
    <xdr:sp macro="" textlink="">
      <xdr:nvSpPr>
        <xdr:cNvPr id="37066" name="Line 202">
          <a:extLst>
            <a:ext uri="{FF2B5EF4-FFF2-40B4-BE49-F238E27FC236}">
              <a16:creationId xmlns:a16="http://schemas.microsoft.com/office/drawing/2014/main" id="{5C5E696D-72ED-4F6E-B84D-DB6FD7987074}"/>
            </a:ext>
          </a:extLst>
        </xdr:cNvPr>
        <xdr:cNvSpPr>
          <a:spLocks noChangeShapeType="1"/>
        </xdr:cNvSpPr>
      </xdr:nvSpPr>
      <xdr:spPr bwMode="auto">
        <a:xfrm>
          <a:off x="742188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sm"/>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v="urn:schemas-microsoft-com:vml" Requires="v"/>
    <mc:Fallback>
      <xdr:twoCellAnchor editAs="absolute">
        <xdr:from>
          <xdr:col>27</xdr:col>
          <xdr:colOff>106680</xdr:colOff>
          <xdr:row>0</xdr:row>
          <xdr:rowOff>15240</xdr:rowOff>
        </xdr:from>
        <xdr:to>
          <xdr:col>29</xdr:col>
          <xdr:colOff>426720</xdr:colOff>
          <xdr:row>1</xdr:row>
          <xdr:rowOff>106680</xdr:rowOff>
        </xdr:to>
        <xdr:sp macro="" textlink="">
          <xdr:nvSpPr>
            <xdr:cNvPr id="36865" name="Comment 1" hidden="1">
              <a:extLst>
                <a:ext uri="{FF2B5EF4-FFF2-40B4-BE49-F238E27FC236}">
                  <a16:creationId xmlns:a16="http://schemas.microsoft.com/office/drawing/2014/main" id="{21CC9002-BB9D-4853-8609-DC95DE6AE97B}"/>
                </a:ext>
              </a:extLst>
            </xdr:cNvPr>
            <xdr:cNvSpPr txBox="1">
              <a:spLocks noChangeArrowheads="1"/>
            </xdr:cNvSpPr>
          </xdr:nvSpPr>
          <xdr:spPr bwMode="auto">
            <a:xfrm>
              <a:off x="6926580" y="15240"/>
              <a:ext cx="1569720" cy="2895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              "</a:t>
              </a:r>
              <a:r>
                <a:rPr lang="en-US" sz="800" b="1" i="0" u="none" strike="noStrike" baseline="0%">
                  <a:solidFill>
                    <a:srgbClr val="000000"/>
                  </a:solidFill>
                  <a:latin typeface="Tahoma"/>
                  <a:ea typeface="Tahoma"/>
                  <a:cs typeface="Tahoma"/>
                </a:rPr>
                <a:t>PILEGRP.xls</a:t>
              </a:r>
              <a:r>
                <a:rPr lang="en-US" sz="800" b="0" i="0" u="none" strike="noStrike" baseline="0%">
                  <a:solidFill>
                    <a:srgbClr val="000000"/>
                  </a:solidFill>
                  <a:latin typeface="Tahoma"/>
                  <a:ea typeface="Tahoma"/>
                  <a:cs typeface="Tahoma"/>
                </a:rPr>
                <a:t>"</a:t>
              </a:r>
            </a:p>
            <a:p>
              <a:pPr algn="l" rtl="0">
                <a:defRPr sz="1000"/>
              </a:pPr>
              <a:r>
                <a:rPr lang="en-US" sz="800" b="0" i="0" u="none" strike="noStrike" baseline="0%">
                  <a:solidFill>
                    <a:srgbClr val="000000"/>
                  </a:solidFill>
                  <a:latin typeface="Tahoma"/>
                  <a:ea typeface="Tahoma"/>
                  <a:cs typeface="Tahoma"/>
                </a:rPr>
                <a:t>written by:  Alex Tomanovich, P.E.</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71</xdr:row>
          <xdr:rowOff>68580</xdr:rowOff>
        </xdr:from>
        <xdr:to>
          <xdr:col>26</xdr:col>
          <xdr:colOff>563880</xdr:colOff>
          <xdr:row>78</xdr:row>
          <xdr:rowOff>68580</xdr:rowOff>
        </xdr:to>
        <xdr:sp macro="" textlink="">
          <xdr:nvSpPr>
            <xdr:cNvPr id="36866" name="Comment 2" hidden="1">
              <a:extLst>
                <a:ext uri="{FF2B5EF4-FFF2-40B4-BE49-F238E27FC236}">
                  <a16:creationId xmlns:a16="http://schemas.microsoft.com/office/drawing/2014/main" id="{571C8524-4AE1-4FC2-AC52-75DB3AE41416}"/>
                </a:ext>
              </a:extLst>
            </xdr:cNvPr>
            <xdr:cNvSpPr txBox="1">
              <a:spLocks noChangeArrowheads="1"/>
            </xdr:cNvSpPr>
          </xdr:nvSpPr>
          <xdr:spPr bwMode="auto">
            <a:xfrm>
              <a:off x="1653540" y="12001500"/>
              <a:ext cx="5105400" cy="11734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Pile Reaction, 'Rz', at each pile is calculated as follows:</a:t>
              </a:r>
            </a:p>
            <a:p>
              <a:pPr algn="l" rtl="0">
                <a:defRPr sz="1000"/>
              </a:pPr>
              <a:r>
                <a:rPr lang="en-US" sz="800" b="0" i="0" u="none" strike="noStrike" baseline="0%">
                  <a:solidFill>
                    <a:srgbClr val="000000"/>
                  </a:solidFill>
                  <a:latin typeface="Tahoma"/>
                  <a:ea typeface="Tahoma"/>
                  <a:cs typeface="Tahoma"/>
                </a:rPr>
                <a:t>   Rz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Pz)/Np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My)*Ix-(-</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Mx)*Ixy)/(Ix*Iy-Ixy^2)*Xp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Mx)*Iy-(</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My)*Ixy)/(Ix*Iy-Ixy^2)*Yp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Sign convention for 'Rz'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68580</xdr:colOff>
          <xdr:row>71</xdr:row>
          <xdr:rowOff>68580</xdr:rowOff>
        </xdr:from>
        <xdr:to>
          <xdr:col>8</xdr:col>
          <xdr:colOff>563880</xdr:colOff>
          <xdr:row>77</xdr:row>
          <xdr:rowOff>68580</xdr:rowOff>
        </xdr:to>
        <xdr:sp macro="" textlink="">
          <xdr:nvSpPr>
            <xdr:cNvPr id="36867" name="Comment 3" hidden="1">
              <a:extLst>
                <a:ext uri="{FF2B5EF4-FFF2-40B4-BE49-F238E27FC236}">
                  <a16:creationId xmlns:a16="http://schemas.microsoft.com/office/drawing/2014/main" id="{F4A5612A-72E0-4539-9868-90180DE4A3A8}"/>
                </a:ext>
              </a:extLst>
            </xdr:cNvPr>
            <xdr:cNvSpPr txBox="1">
              <a:spLocks noChangeArrowheads="1"/>
            </xdr:cNvSpPr>
          </xdr:nvSpPr>
          <xdr:spPr bwMode="auto">
            <a:xfrm>
              <a:off x="2278380" y="12001500"/>
              <a:ext cx="364998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Horizontal Pile Reaction, 'Rh', at each pile is calculated as follows:</a:t>
              </a:r>
            </a:p>
            <a:p>
              <a:pPr algn="l" rtl="0">
                <a:defRPr sz="1000"/>
              </a:pPr>
              <a:r>
                <a:rPr lang="en-US" sz="800" b="0" i="0" u="none" strike="noStrike" baseline="0%">
                  <a:solidFill>
                    <a:srgbClr val="000000"/>
                  </a:solidFill>
                  <a:latin typeface="Tahoma"/>
                  <a:ea typeface="Tahoma"/>
                  <a:cs typeface="Tahoma"/>
                </a:rPr>
                <a:t>   Rh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Hx)/Np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Mz)*Yp/J)^2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Hy)/Np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Mz)*Xp/J)^2)^(1/2)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Note: 'Rh' is an "absolute" value with no particular sign convention, thus no</a:t>
              </a:r>
            </a:p>
            <a:p>
              <a:pPr algn="l" rtl="0">
                <a:defRPr sz="1000"/>
              </a:pPr>
              <a:r>
                <a:rPr lang="en-US" sz="800" b="0" i="0" u="none" strike="noStrike" baseline="0%">
                  <a:solidFill>
                    <a:srgbClr val="000000"/>
                  </a:solidFill>
                  <a:latin typeface="Tahoma"/>
                  <a:ea typeface="Tahoma"/>
                  <a:cs typeface="Tahoma"/>
                </a:rPr>
                <a:t>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76200</xdr:colOff>
          <xdr:row>63</xdr:row>
          <xdr:rowOff>68580</xdr:rowOff>
        </xdr:from>
        <xdr:to>
          <xdr:col>5</xdr:col>
          <xdr:colOff>373380</xdr:colOff>
          <xdr:row>66</xdr:row>
          <xdr:rowOff>22860</xdr:rowOff>
        </xdr:to>
        <xdr:sp macro="" textlink="">
          <xdr:nvSpPr>
            <xdr:cNvPr id="36868" name="Comment 4" hidden="1">
              <a:extLst>
                <a:ext uri="{FF2B5EF4-FFF2-40B4-BE49-F238E27FC236}">
                  <a16:creationId xmlns:a16="http://schemas.microsoft.com/office/drawing/2014/main" id="{78DBFE81-0EBC-4177-8D29-2224FA8ED080}"/>
                </a:ext>
              </a:extLst>
            </xdr:cNvPr>
            <xdr:cNvSpPr txBox="1">
              <a:spLocks noChangeArrowheads="1"/>
            </xdr:cNvSpPr>
          </xdr:nvSpPr>
          <xdr:spPr bwMode="auto">
            <a:xfrm>
              <a:off x="1623060" y="10660380"/>
              <a:ext cx="224028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Pz = sum of all applied vertical (Z-axis)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+Z-axis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76200</xdr:colOff>
          <xdr:row>64</xdr:row>
          <xdr:rowOff>68580</xdr:rowOff>
        </xdr:from>
        <xdr:to>
          <xdr:col>5</xdr:col>
          <xdr:colOff>518160</xdr:colOff>
          <xdr:row>67</xdr:row>
          <xdr:rowOff>22860</xdr:rowOff>
        </xdr:to>
        <xdr:sp macro="" textlink="">
          <xdr:nvSpPr>
            <xdr:cNvPr id="36869" name="Comment 5" hidden="1">
              <a:extLst>
                <a:ext uri="{FF2B5EF4-FFF2-40B4-BE49-F238E27FC236}">
                  <a16:creationId xmlns:a16="http://schemas.microsoft.com/office/drawing/2014/main" id="{E55E71F0-0FC6-472E-B187-88C7D202138F}"/>
                </a:ext>
              </a:extLst>
            </xdr:cNvPr>
            <xdr:cNvSpPr txBox="1">
              <a:spLocks noChangeArrowheads="1"/>
            </xdr:cNvSpPr>
          </xdr:nvSpPr>
          <xdr:spPr bwMode="auto">
            <a:xfrm>
              <a:off x="1623060" y="10828020"/>
              <a:ext cx="238506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Hx = sum of all applied horizontal (X-axis)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+X-axis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76200</xdr:colOff>
          <xdr:row>65</xdr:row>
          <xdr:rowOff>68580</xdr:rowOff>
        </xdr:from>
        <xdr:to>
          <xdr:col>5</xdr:col>
          <xdr:colOff>518160</xdr:colOff>
          <xdr:row>68</xdr:row>
          <xdr:rowOff>22860</xdr:rowOff>
        </xdr:to>
        <xdr:sp macro="" textlink="">
          <xdr:nvSpPr>
            <xdr:cNvPr id="36870" name="Comment 6" hidden="1">
              <a:extLst>
                <a:ext uri="{FF2B5EF4-FFF2-40B4-BE49-F238E27FC236}">
                  <a16:creationId xmlns:a16="http://schemas.microsoft.com/office/drawing/2014/main" id="{D02FD839-A801-4010-A685-8B4E4E32C281}"/>
                </a:ext>
              </a:extLst>
            </xdr:cNvPr>
            <xdr:cNvSpPr txBox="1">
              <a:spLocks noChangeArrowheads="1"/>
            </xdr:cNvSpPr>
          </xdr:nvSpPr>
          <xdr:spPr bwMode="auto">
            <a:xfrm>
              <a:off x="1623060" y="10995660"/>
              <a:ext cx="238506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Hy = sum of all applied horizontal (Y-axis)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+Y-axis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54</xdr:row>
          <xdr:rowOff>68580</xdr:rowOff>
        </xdr:from>
        <xdr:to>
          <xdr:col>5</xdr:col>
          <xdr:colOff>167640</xdr:colOff>
          <xdr:row>58</xdr:row>
          <xdr:rowOff>129540</xdr:rowOff>
        </xdr:to>
        <xdr:sp macro="" textlink="">
          <xdr:nvSpPr>
            <xdr:cNvPr id="36871" name="Comment 7" hidden="1">
              <a:extLst>
                <a:ext uri="{FF2B5EF4-FFF2-40B4-BE49-F238E27FC236}">
                  <a16:creationId xmlns:a16="http://schemas.microsoft.com/office/drawing/2014/main" id="{B03A645E-295D-4083-B873-EB7A100AAC74}"/>
                </a:ext>
              </a:extLst>
            </xdr:cNvPr>
            <xdr:cNvSpPr txBox="1">
              <a:spLocks noChangeArrowheads="1"/>
            </xdr:cNvSpPr>
          </xdr:nvSpPr>
          <xdr:spPr bwMode="auto">
            <a:xfrm>
              <a:off x="1653540" y="9151620"/>
              <a:ext cx="200406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Y-axis from the origin Y-axis is calculated as follows:</a:t>
              </a:r>
            </a:p>
            <a:p>
              <a:pPr algn="l" rtl="0">
                <a:defRPr sz="1000"/>
              </a:pPr>
              <a:r>
                <a:rPr lang="en-US" sz="800" b="0" i="0" u="none" strike="noStrike" baseline="0%">
                  <a:solidFill>
                    <a:srgbClr val="000000"/>
                  </a:solidFill>
                  <a:latin typeface="Tahoma"/>
                  <a:ea typeface="Tahoma"/>
                  <a:cs typeface="Tahoma"/>
                </a:rPr>
                <a:t>   Xc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(Xo)/Np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55</xdr:row>
          <xdr:rowOff>68580</xdr:rowOff>
        </xdr:from>
        <xdr:to>
          <xdr:col>5</xdr:col>
          <xdr:colOff>167640</xdr:colOff>
          <xdr:row>59</xdr:row>
          <xdr:rowOff>129540</xdr:rowOff>
        </xdr:to>
        <xdr:sp macro="" textlink="">
          <xdr:nvSpPr>
            <xdr:cNvPr id="36872" name="Comment 8" hidden="1">
              <a:extLst>
                <a:ext uri="{FF2B5EF4-FFF2-40B4-BE49-F238E27FC236}">
                  <a16:creationId xmlns:a16="http://schemas.microsoft.com/office/drawing/2014/main" id="{DD734EA6-5E62-4167-87A9-81E8D2FB330B}"/>
                </a:ext>
              </a:extLst>
            </xdr:cNvPr>
            <xdr:cNvSpPr txBox="1">
              <a:spLocks noChangeArrowheads="1"/>
            </xdr:cNvSpPr>
          </xdr:nvSpPr>
          <xdr:spPr bwMode="auto">
            <a:xfrm>
              <a:off x="1653540" y="9319260"/>
              <a:ext cx="200406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X-axis from the origin X-axis is calculated as follows:</a:t>
              </a:r>
            </a:p>
            <a:p>
              <a:pPr algn="l" rtl="0">
                <a:defRPr sz="1000"/>
              </a:pPr>
              <a:r>
                <a:rPr lang="en-US" sz="800" b="0" i="0" u="none" strike="noStrike" baseline="0%">
                  <a:solidFill>
                    <a:srgbClr val="000000"/>
                  </a:solidFill>
                  <a:latin typeface="Tahoma"/>
                  <a:ea typeface="Tahoma"/>
                  <a:cs typeface="Tahoma"/>
                </a:rPr>
                <a:t>   Yc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(Yo)/Np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60</xdr:row>
          <xdr:rowOff>68580</xdr:rowOff>
        </xdr:from>
        <xdr:to>
          <xdr:col>5</xdr:col>
          <xdr:colOff>563880</xdr:colOff>
          <xdr:row>66</xdr:row>
          <xdr:rowOff>68580</xdr:rowOff>
        </xdr:to>
        <xdr:sp macro="" textlink="">
          <xdr:nvSpPr>
            <xdr:cNvPr id="36877" name="Comment 13" hidden="1">
              <a:extLst>
                <a:ext uri="{FF2B5EF4-FFF2-40B4-BE49-F238E27FC236}">
                  <a16:creationId xmlns:a16="http://schemas.microsoft.com/office/drawing/2014/main" id="{4532A1CA-1EBA-4CDB-9CF3-50E05403FFE2}"/>
                </a:ext>
              </a:extLst>
            </xdr:cNvPr>
            <xdr:cNvSpPr txBox="1">
              <a:spLocks noChangeArrowheads="1"/>
            </xdr:cNvSpPr>
          </xdr:nvSpPr>
          <xdr:spPr bwMode="auto">
            <a:xfrm>
              <a:off x="1653540" y="10157460"/>
              <a:ext cx="240030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orientation of the principal axes, is defined by the rotation angle,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from the centroidal axes and is calculated as follows:</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a:t>
              </a:r>
              <a:r>
                <a:rPr lang="en-US" sz="800" b="0" i="0" u="none" strike="noStrike" baseline="0%">
                  <a:solidFill>
                    <a:srgbClr val="000000"/>
                  </a:solidFill>
                  <a:latin typeface="Tahoma"/>
                  <a:ea typeface="Tahoma"/>
                  <a:cs typeface="Tahoma"/>
                </a:rPr>
                <a:t> = (ATAN(-2*Ixy/(Ix-Iy)))/2</a:t>
              </a:r>
            </a:p>
            <a:p>
              <a:pPr algn="l" rtl="0">
                <a:defRPr sz="1000"/>
              </a:pPr>
              <a:r>
                <a:rPr lang="en-US" sz="800" b="0" i="0" u="none" strike="noStrike" baseline="0%">
                  <a:solidFill>
                    <a:srgbClr val="000000"/>
                  </a:solidFill>
                  <a:latin typeface="Tahoma"/>
                  <a:ea typeface="Tahoma"/>
                  <a:cs typeface="Tahoma"/>
                </a:rPr>
                <a:t>Note: sign convention is positive (+) ccw.</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 0  for a pile group with at least one</a:t>
              </a:r>
            </a:p>
            <a:p>
              <a:pPr algn="l" rtl="0">
                <a:defRPr sz="1000"/>
              </a:pPr>
              <a:r>
                <a:rPr lang="en-US" sz="800" b="0" i="0" u="none" strike="noStrike" baseline="0%">
                  <a:solidFill>
                    <a:srgbClr val="000000"/>
                  </a:solidFill>
                  <a:latin typeface="Tahoma"/>
                  <a:ea typeface="Tahoma"/>
                  <a:cs typeface="Tahoma"/>
                </a:rPr>
                <a:t>          axis of symmetry.</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68580</xdr:colOff>
          <xdr:row>8</xdr:row>
          <xdr:rowOff>68580</xdr:rowOff>
        </xdr:from>
        <xdr:to>
          <xdr:col>7</xdr:col>
          <xdr:colOff>182880</xdr:colOff>
          <xdr:row>13</xdr:row>
          <xdr:rowOff>91440</xdr:rowOff>
        </xdr:to>
        <xdr:sp macro="" textlink="">
          <xdr:nvSpPr>
            <xdr:cNvPr id="36878" name="Comment 14" hidden="1">
              <a:extLst>
                <a:ext uri="{FF2B5EF4-FFF2-40B4-BE49-F238E27FC236}">
                  <a16:creationId xmlns:a16="http://schemas.microsoft.com/office/drawing/2014/main" id="{9D2C7293-198D-4F63-9F91-91B6BCFA8B9E}"/>
                </a:ext>
              </a:extLst>
            </xdr:cNvPr>
            <xdr:cNvSpPr txBox="1">
              <a:spLocks noChangeArrowheads="1"/>
            </xdr:cNvSpPr>
          </xdr:nvSpPr>
          <xdr:spPr bwMode="auto">
            <a:xfrm>
              <a:off x="2278380" y="1440180"/>
              <a:ext cx="2644140" cy="8610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piles must be located in the positive 1st quadrant.  That is, all pile Xo, Yo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pile coordinates, or those cell values should be input = 0.</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9</xdr:row>
          <xdr:rowOff>68580</xdr:rowOff>
        </xdr:from>
        <xdr:to>
          <xdr:col>5</xdr:col>
          <xdr:colOff>144780</xdr:colOff>
          <xdr:row>11</xdr:row>
          <xdr:rowOff>45720</xdr:rowOff>
        </xdr:to>
        <xdr:sp macro="" textlink="">
          <xdr:nvSpPr>
            <xdr:cNvPr id="36879" name="Comment 15" hidden="1">
              <a:extLst>
                <a:ext uri="{FF2B5EF4-FFF2-40B4-BE49-F238E27FC236}">
                  <a16:creationId xmlns:a16="http://schemas.microsoft.com/office/drawing/2014/main" id="{28D9DCC3-E8BE-4513-BB33-3263731C965D}"/>
                </a:ext>
              </a:extLst>
            </xdr:cNvPr>
            <xdr:cNvSpPr txBox="1">
              <a:spLocks noChangeArrowheads="1"/>
            </xdr:cNvSpPr>
          </xdr:nvSpPr>
          <xdr:spPr bwMode="auto">
            <a:xfrm>
              <a:off x="1653540" y="1607820"/>
              <a:ext cx="19812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'Xo' coordinate is the x-distance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68580</xdr:colOff>
          <xdr:row>9</xdr:row>
          <xdr:rowOff>68580</xdr:rowOff>
        </xdr:from>
        <xdr:to>
          <xdr:col>6</xdr:col>
          <xdr:colOff>144780</xdr:colOff>
          <xdr:row>11</xdr:row>
          <xdr:rowOff>45720</xdr:rowOff>
        </xdr:to>
        <xdr:sp macro="" textlink="">
          <xdr:nvSpPr>
            <xdr:cNvPr id="36880" name="Comment 16" hidden="1">
              <a:extLst>
                <a:ext uri="{FF2B5EF4-FFF2-40B4-BE49-F238E27FC236}">
                  <a16:creationId xmlns:a16="http://schemas.microsoft.com/office/drawing/2014/main" id="{5FEF6229-11BE-4D9C-BD9E-F6792FC69B90}"/>
                </a:ext>
              </a:extLst>
            </xdr:cNvPr>
            <xdr:cNvSpPr txBox="1">
              <a:spLocks noChangeArrowheads="1"/>
            </xdr:cNvSpPr>
          </xdr:nvSpPr>
          <xdr:spPr bwMode="auto">
            <a:xfrm>
              <a:off x="2278380" y="1607820"/>
              <a:ext cx="19812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'Yo' coordinate is the y-distance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38100</xdr:colOff>
          <xdr:row>37</xdr:row>
          <xdr:rowOff>68580</xdr:rowOff>
        </xdr:from>
        <xdr:to>
          <xdr:col>27</xdr:col>
          <xdr:colOff>312420</xdr:colOff>
          <xdr:row>41</xdr:row>
          <xdr:rowOff>121920</xdr:rowOff>
        </xdr:to>
        <xdr:sp macro="" textlink="">
          <xdr:nvSpPr>
            <xdr:cNvPr id="36881" name="Comment 17" hidden="1">
              <a:extLst>
                <a:ext uri="{FF2B5EF4-FFF2-40B4-BE49-F238E27FC236}">
                  <a16:creationId xmlns:a16="http://schemas.microsoft.com/office/drawing/2014/main" id="{6E6D8D8A-814E-4BB5-B9C8-F9E495E09FCC}"/>
                </a:ext>
              </a:extLst>
            </xdr:cNvPr>
            <xdr:cNvSpPr txBox="1">
              <a:spLocks noChangeArrowheads="1"/>
            </xdr:cNvSpPr>
          </xdr:nvSpPr>
          <xdr:spPr bwMode="auto">
            <a:xfrm>
              <a:off x="4152900" y="6301740"/>
              <a:ext cx="2979420" cy="723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piers must be located in the positive 1st quadrant.  That is, all pier X, Y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pier coordinates, or those cell values should be input = 0.</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39</xdr:row>
          <xdr:rowOff>68580</xdr:rowOff>
        </xdr:from>
        <xdr:to>
          <xdr:col>4</xdr:col>
          <xdr:colOff>60960</xdr:colOff>
          <xdr:row>41</xdr:row>
          <xdr:rowOff>45720</xdr:rowOff>
        </xdr:to>
        <xdr:sp macro="" textlink="">
          <xdr:nvSpPr>
            <xdr:cNvPr id="36882" name="Comment 18" hidden="1">
              <a:extLst>
                <a:ext uri="{FF2B5EF4-FFF2-40B4-BE49-F238E27FC236}">
                  <a16:creationId xmlns:a16="http://schemas.microsoft.com/office/drawing/2014/main" id="{6653A654-E508-466F-90EC-903CDF20817A}"/>
                </a:ext>
              </a:extLst>
            </xdr:cNvPr>
            <xdr:cNvSpPr txBox="1">
              <a:spLocks noChangeArrowheads="1"/>
            </xdr:cNvSpPr>
          </xdr:nvSpPr>
          <xdr:spPr bwMode="auto">
            <a:xfrm>
              <a:off x="922020" y="6637020"/>
              <a:ext cx="20040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 coordinate is the x-distance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40</xdr:row>
          <xdr:rowOff>68580</xdr:rowOff>
        </xdr:from>
        <xdr:to>
          <xdr:col>4</xdr:col>
          <xdr:colOff>60960</xdr:colOff>
          <xdr:row>42</xdr:row>
          <xdr:rowOff>45720</xdr:rowOff>
        </xdr:to>
        <xdr:sp macro="" textlink="">
          <xdr:nvSpPr>
            <xdr:cNvPr id="36883" name="Comment 19" hidden="1">
              <a:extLst>
                <a:ext uri="{FF2B5EF4-FFF2-40B4-BE49-F238E27FC236}">
                  <a16:creationId xmlns:a16="http://schemas.microsoft.com/office/drawing/2014/main" id="{0E70F4F5-2C32-4B3B-8E35-7F331C829AEF}"/>
                </a:ext>
              </a:extLst>
            </xdr:cNvPr>
            <xdr:cNvSpPr txBox="1">
              <a:spLocks noChangeArrowheads="1"/>
            </xdr:cNvSpPr>
          </xdr:nvSpPr>
          <xdr:spPr bwMode="auto">
            <a:xfrm>
              <a:off x="922020" y="6804660"/>
              <a:ext cx="20040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 coordinate is the y-distance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41</xdr:row>
          <xdr:rowOff>68580</xdr:rowOff>
        </xdr:from>
        <xdr:to>
          <xdr:col>5</xdr:col>
          <xdr:colOff>236220</xdr:colOff>
          <xdr:row>47</xdr:row>
          <xdr:rowOff>68580</xdr:rowOff>
        </xdr:to>
        <xdr:sp macro="" textlink="">
          <xdr:nvSpPr>
            <xdr:cNvPr id="36884" name="Comment 20" hidden="1">
              <a:extLst>
                <a:ext uri="{FF2B5EF4-FFF2-40B4-BE49-F238E27FC236}">
                  <a16:creationId xmlns:a16="http://schemas.microsoft.com/office/drawing/2014/main" id="{30AAAB8A-0119-4320-BDD0-8234988D3A00}"/>
                </a:ext>
              </a:extLst>
            </xdr:cNvPr>
            <xdr:cNvSpPr txBox="1">
              <a:spLocks noChangeArrowheads="1"/>
            </xdr:cNvSpPr>
          </xdr:nvSpPr>
          <xdr:spPr bwMode="auto">
            <a:xfrm>
              <a:off x="922020" y="6972300"/>
              <a:ext cx="280416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43</xdr:row>
          <xdr:rowOff>68580</xdr:rowOff>
        </xdr:from>
        <xdr:to>
          <xdr:col>6</xdr:col>
          <xdr:colOff>7620</xdr:colOff>
          <xdr:row>45</xdr:row>
          <xdr:rowOff>45720</xdr:rowOff>
        </xdr:to>
        <xdr:sp macro="" textlink="">
          <xdr:nvSpPr>
            <xdr:cNvPr id="36885" name="Comment 21" hidden="1">
              <a:extLst>
                <a:ext uri="{FF2B5EF4-FFF2-40B4-BE49-F238E27FC236}">
                  <a16:creationId xmlns:a16="http://schemas.microsoft.com/office/drawing/2014/main" id="{50FF5947-0C17-409B-84FD-CAA4530E0215}"/>
                </a:ext>
              </a:extLst>
            </xdr:cNvPr>
            <xdr:cNvSpPr txBox="1">
              <a:spLocks noChangeArrowheads="1"/>
            </xdr:cNvSpPr>
          </xdr:nvSpPr>
          <xdr:spPr bwMode="auto">
            <a:xfrm>
              <a:off x="922020" y="7307580"/>
              <a:ext cx="32004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'Hx' is the horizontal (X-axis) load to be applied at the pier location.</a:t>
              </a:r>
            </a:p>
            <a:p>
              <a:pPr algn="l" rtl="0">
                <a:defRPr sz="1000"/>
              </a:pPr>
              <a:r>
                <a:rPr lang="en-US" sz="800" b="0" i="0" u="none" strike="noStrike" baseline="0%">
                  <a:solidFill>
                    <a:srgbClr val="000000"/>
                  </a:solidFill>
                  <a:latin typeface="Tahoma"/>
                  <a:ea typeface="Tahoma"/>
                  <a:cs typeface="Tahoma"/>
                </a:rPr>
                <a:t>Sign convention: + = to right</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44</xdr:row>
          <xdr:rowOff>68580</xdr:rowOff>
        </xdr:from>
        <xdr:to>
          <xdr:col>6</xdr:col>
          <xdr:colOff>7620</xdr:colOff>
          <xdr:row>46</xdr:row>
          <xdr:rowOff>45720</xdr:rowOff>
        </xdr:to>
        <xdr:sp macro="" textlink="">
          <xdr:nvSpPr>
            <xdr:cNvPr id="36886" name="Comment 22" hidden="1">
              <a:extLst>
                <a:ext uri="{FF2B5EF4-FFF2-40B4-BE49-F238E27FC236}">
                  <a16:creationId xmlns:a16="http://schemas.microsoft.com/office/drawing/2014/main" id="{4D3FB629-C660-4D06-B3CD-638BB496CE25}"/>
                </a:ext>
              </a:extLst>
            </xdr:cNvPr>
            <xdr:cNvSpPr txBox="1">
              <a:spLocks noChangeArrowheads="1"/>
            </xdr:cNvSpPr>
          </xdr:nvSpPr>
          <xdr:spPr bwMode="auto">
            <a:xfrm>
              <a:off x="922020" y="7475220"/>
              <a:ext cx="320040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'Hy' is the horizontal (Y-axis)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 the page</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42</xdr:row>
          <xdr:rowOff>68580</xdr:rowOff>
        </xdr:from>
        <xdr:to>
          <xdr:col>5</xdr:col>
          <xdr:colOff>487680</xdr:colOff>
          <xdr:row>45</xdr:row>
          <xdr:rowOff>7620</xdr:rowOff>
        </xdr:to>
        <xdr:sp macro="" textlink="">
          <xdr:nvSpPr>
            <xdr:cNvPr id="36887" name="Comment 23" hidden="1">
              <a:extLst>
                <a:ext uri="{FF2B5EF4-FFF2-40B4-BE49-F238E27FC236}">
                  <a16:creationId xmlns:a16="http://schemas.microsoft.com/office/drawing/2014/main" id="{E41DB810-54C1-439A-AFB0-57FA9539AA28}"/>
                </a:ext>
              </a:extLst>
            </xdr:cNvPr>
            <xdr:cNvSpPr txBox="1">
              <a:spLocks noChangeArrowheads="1"/>
            </xdr:cNvSpPr>
          </xdr:nvSpPr>
          <xdr:spPr bwMode="auto">
            <a:xfrm>
              <a:off x="922020" y="7139940"/>
              <a:ext cx="3055620" cy="4419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'Pz' is the vertical (Z-axis)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upward (out of page)</a:t>
              </a:r>
            </a:p>
            <a:p>
              <a:pPr algn="l" rtl="0">
                <a:defRPr sz="1000"/>
              </a:pPr>
              <a:r>
                <a:rPr lang="en-US" sz="800" b="0" i="0" u="none" strike="noStrike" baseline="0%">
                  <a:solidFill>
                    <a:srgbClr val="000000"/>
                  </a:solidFill>
                  <a:latin typeface="Tahoma"/>
                  <a:ea typeface="Tahoma"/>
                  <a:cs typeface="Tahoma"/>
                </a:rPr>
                <a:t>                            -  = downward (into page) for gravity loads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45</xdr:row>
          <xdr:rowOff>68580</xdr:rowOff>
        </xdr:from>
        <xdr:to>
          <xdr:col>5</xdr:col>
          <xdr:colOff>236220</xdr:colOff>
          <xdr:row>47</xdr:row>
          <xdr:rowOff>45720</xdr:rowOff>
        </xdr:to>
        <xdr:sp macro="" textlink="">
          <xdr:nvSpPr>
            <xdr:cNvPr id="36888" name="Comment 24" hidden="1">
              <a:extLst>
                <a:ext uri="{FF2B5EF4-FFF2-40B4-BE49-F238E27FC236}">
                  <a16:creationId xmlns:a16="http://schemas.microsoft.com/office/drawing/2014/main" id="{519A7C92-3570-401D-976E-755FDE0958AA}"/>
                </a:ext>
              </a:extLst>
            </xdr:cNvPr>
            <xdr:cNvSpPr txBox="1">
              <a:spLocks noChangeArrowheads="1"/>
            </xdr:cNvSpPr>
          </xdr:nvSpPr>
          <xdr:spPr bwMode="auto">
            <a:xfrm>
              <a:off x="922020" y="7642860"/>
              <a:ext cx="28041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'Mx' is the X-axis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46</xdr:row>
          <xdr:rowOff>68580</xdr:rowOff>
        </xdr:from>
        <xdr:to>
          <xdr:col>5</xdr:col>
          <xdr:colOff>236220</xdr:colOff>
          <xdr:row>48</xdr:row>
          <xdr:rowOff>45720</xdr:rowOff>
        </xdr:to>
        <xdr:sp macro="" textlink="">
          <xdr:nvSpPr>
            <xdr:cNvPr id="36889" name="Comment 25" hidden="1">
              <a:extLst>
                <a:ext uri="{FF2B5EF4-FFF2-40B4-BE49-F238E27FC236}">
                  <a16:creationId xmlns:a16="http://schemas.microsoft.com/office/drawing/2014/main" id="{7FDD8560-0A99-4371-8EEC-D47DCCF46D1F}"/>
                </a:ext>
              </a:extLst>
            </xdr:cNvPr>
            <xdr:cNvSpPr txBox="1">
              <a:spLocks noChangeArrowheads="1"/>
            </xdr:cNvSpPr>
          </xdr:nvSpPr>
          <xdr:spPr bwMode="auto">
            <a:xfrm>
              <a:off x="922020" y="7810500"/>
              <a:ext cx="28041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'My' is the Y-axis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47</xdr:row>
          <xdr:rowOff>68580</xdr:rowOff>
        </xdr:from>
        <xdr:to>
          <xdr:col>5</xdr:col>
          <xdr:colOff>236220</xdr:colOff>
          <xdr:row>49</xdr:row>
          <xdr:rowOff>45720</xdr:rowOff>
        </xdr:to>
        <xdr:sp macro="" textlink="">
          <xdr:nvSpPr>
            <xdr:cNvPr id="36890" name="Comment 26" hidden="1">
              <a:extLst>
                <a:ext uri="{FF2B5EF4-FFF2-40B4-BE49-F238E27FC236}">
                  <a16:creationId xmlns:a16="http://schemas.microsoft.com/office/drawing/2014/main" id="{763C883B-6948-46FD-8B4F-24E4C3F52CBF}"/>
                </a:ext>
              </a:extLst>
            </xdr:cNvPr>
            <xdr:cNvSpPr txBox="1">
              <a:spLocks noChangeArrowheads="1"/>
            </xdr:cNvSpPr>
          </xdr:nvSpPr>
          <xdr:spPr bwMode="auto">
            <a:xfrm>
              <a:off x="922020" y="7978140"/>
              <a:ext cx="2804160" cy="3124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'Mz' is the Z-axis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76200</xdr:colOff>
          <xdr:row>66</xdr:row>
          <xdr:rowOff>68580</xdr:rowOff>
        </xdr:from>
        <xdr:to>
          <xdr:col>5</xdr:col>
          <xdr:colOff>472440</xdr:colOff>
          <xdr:row>70</xdr:row>
          <xdr:rowOff>129540</xdr:rowOff>
        </xdr:to>
        <xdr:sp macro="" textlink="">
          <xdr:nvSpPr>
            <xdr:cNvPr id="36891" name="Comment 27" hidden="1">
              <a:extLst>
                <a:ext uri="{FF2B5EF4-FFF2-40B4-BE49-F238E27FC236}">
                  <a16:creationId xmlns:a16="http://schemas.microsoft.com/office/drawing/2014/main" id="{89670923-C990-4840-B91F-F16FBA42DF73}"/>
                </a:ext>
              </a:extLst>
            </xdr:cNvPr>
            <xdr:cNvSpPr txBox="1">
              <a:spLocks noChangeArrowheads="1"/>
            </xdr:cNvSpPr>
          </xdr:nvSpPr>
          <xdr:spPr bwMode="auto">
            <a:xfrm>
              <a:off x="1623060" y="11163300"/>
              <a:ext cx="233934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Mx = sum of all applied X-axis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a:t>
              </a:r>
            </a:p>
            <a:p>
              <a:pPr algn="l" rtl="0">
                <a:defRPr sz="1000"/>
              </a:pPr>
              <a:r>
                <a:rPr lang="en-US" sz="800" b="0" i="0" u="none" strike="noStrike" baseline="0%">
                  <a:solidFill>
                    <a:srgbClr val="000000"/>
                  </a:solidFill>
                  <a:latin typeface="Tahoma"/>
                  <a:ea typeface="Tahoma"/>
                  <a:cs typeface="Tahoma"/>
                </a:rPr>
                <a:t>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76200</xdr:colOff>
          <xdr:row>67</xdr:row>
          <xdr:rowOff>68580</xdr:rowOff>
        </xdr:from>
        <xdr:to>
          <xdr:col>5</xdr:col>
          <xdr:colOff>472440</xdr:colOff>
          <xdr:row>71</xdr:row>
          <xdr:rowOff>129540</xdr:rowOff>
        </xdr:to>
        <xdr:sp macro="" textlink="">
          <xdr:nvSpPr>
            <xdr:cNvPr id="36892" name="Comment 28" hidden="1">
              <a:extLst>
                <a:ext uri="{FF2B5EF4-FFF2-40B4-BE49-F238E27FC236}">
                  <a16:creationId xmlns:a16="http://schemas.microsoft.com/office/drawing/2014/main" id="{31DF6967-D6A7-439B-9F17-93B7488B9257}"/>
                </a:ext>
              </a:extLst>
            </xdr:cNvPr>
            <xdr:cNvSpPr txBox="1">
              <a:spLocks noChangeArrowheads="1"/>
            </xdr:cNvSpPr>
          </xdr:nvSpPr>
          <xdr:spPr bwMode="auto">
            <a:xfrm>
              <a:off x="1623060" y="11330940"/>
              <a:ext cx="2339340" cy="731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My = sum of all applied Y-axis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a:t>
              </a:r>
            </a:p>
            <a:p>
              <a:pPr algn="l" rtl="0">
                <a:defRPr sz="1000"/>
              </a:pPr>
              <a:r>
                <a:rPr lang="en-US" sz="800" b="0" i="0" u="none" strike="noStrike" baseline="0%">
                  <a:solidFill>
                    <a:srgbClr val="000000"/>
                  </a:solidFill>
                  <a:latin typeface="Tahoma"/>
                  <a:ea typeface="Tahoma"/>
                  <a:cs typeface="Tahoma"/>
                </a:rPr>
                <a:t>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76200</xdr:colOff>
          <xdr:row>68</xdr:row>
          <xdr:rowOff>68580</xdr:rowOff>
        </xdr:from>
        <xdr:to>
          <xdr:col>5</xdr:col>
          <xdr:colOff>411480</xdr:colOff>
          <xdr:row>71</xdr:row>
          <xdr:rowOff>129540</xdr:rowOff>
        </xdr:to>
        <xdr:sp macro="" textlink="">
          <xdr:nvSpPr>
            <xdr:cNvPr id="36893" name="Comment 29" hidden="1">
              <a:extLst>
                <a:ext uri="{FF2B5EF4-FFF2-40B4-BE49-F238E27FC236}">
                  <a16:creationId xmlns:a16="http://schemas.microsoft.com/office/drawing/2014/main" id="{081E92B8-D46B-49D3-8794-B51547447E87}"/>
                </a:ext>
              </a:extLst>
            </xdr:cNvPr>
            <xdr:cNvSpPr txBox="1">
              <a:spLocks noChangeArrowheads="1"/>
            </xdr:cNvSpPr>
          </xdr:nvSpPr>
          <xdr:spPr bwMode="auto">
            <a:xfrm>
              <a:off x="1623060" y="11498580"/>
              <a:ext cx="2278380" cy="5638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Mz = sum of all applied Z-axis moments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t>
              </a:r>
            </a:p>
            <a:p>
              <a:pPr algn="l" rtl="0">
                <a:defRPr sz="1000"/>
              </a:pPr>
              <a:r>
                <a:rPr lang="en-US" sz="800" b="0" i="0" u="none" strike="noStrike" baseline="0%">
                  <a:solidFill>
                    <a:srgbClr val="000000"/>
                  </a:solidFill>
                  <a:latin typeface="Tahoma"/>
                  <a:ea typeface="Tahoma"/>
                  <a:cs typeface="Tahoma"/>
                </a:rPr>
                <a:t>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68580</xdr:colOff>
          <xdr:row>99</xdr:row>
          <xdr:rowOff>68580</xdr:rowOff>
        </xdr:from>
        <xdr:to>
          <xdr:col>6</xdr:col>
          <xdr:colOff>289560</xdr:colOff>
          <xdr:row>102</xdr:row>
          <xdr:rowOff>30480</xdr:rowOff>
        </xdr:to>
        <xdr:sp macro="" textlink="">
          <xdr:nvSpPr>
            <xdr:cNvPr id="36894" name="Comment 30" hidden="1">
              <a:extLst>
                <a:ext uri="{FF2B5EF4-FFF2-40B4-BE49-F238E27FC236}">
                  <a16:creationId xmlns:a16="http://schemas.microsoft.com/office/drawing/2014/main" id="{C3D2E1AC-1D32-4597-9053-9E5F7B2AD9F2}"/>
                </a:ext>
              </a:extLst>
            </xdr:cNvPr>
            <xdr:cNvSpPr txBox="1">
              <a:spLocks noChangeArrowheads="1"/>
            </xdr:cNvSpPr>
          </xdr:nvSpPr>
          <xdr:spPr bwMode="auto">
            <a:xfrm>
              <a:off x="2278380" y="16695420"/>
              <a:ext cx="212598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'Rz(max)'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68580</xdr:colOff>
          <xdr:row>100</xdr:row>
          <xdr:rowOff>68580</xdr:rowOff>
        </xdr:from>
        <xdr:to>
          <xdr:col>6</xdr:col>
          <xdr:colOff>289560</xdr:colOff>
          <xdr:row>103</xdr:row>
          <xdr:rowOff>30480</xdr:rowOff>
        </xdr:to>
        <xdr:sp macro="" textlink="">
          <xdr:nvSpPr>
            <xdr:cNvPr id="36895" name="Comment 31" hidden="1">
              <a:extLst>
                <a:ext uri="{FF2B5EF4-FFF2-40B4-BE49-F238E27FC236}">
                  <a16:creationId xmlns:a16="http://schemas.microsoft.com/office/drawing/2014/main" id="{FF4F8EF7-465F-461C-B818-494DA112B062}"/>
                </a:ext>
              </a:extLst>
            </xdr:cNvPr>
            <xdr:cNvSpPr txBox="1">
              <a:spLocks noChangeArrowheads="1"/>
            </xdr:cNvSpPr>
          </xdr:nvSpPr>
          <xdr:spPr bwMode="auto">
            <a:xfrm>
              <a:off x="2278380" y="16863060"/>
              <a:ext cx="212598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'Rz(min)'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68580</xdr:colOff>
          <xdr:row>101</xdr:row>
          <xdr:rowOff>68580</xdr:rowOff>
        </xdr:from>
        <xdr:to>
          <xdr:col>6</xdr:col>
          <xdr:colOff>129540</xdr:colOff>
          <xdr:row>104</xdr:row>
          <xdr:rowOff>22860</xdr:rowOff>
        </xdr:to>
        <xdr:sp macro="" textlink="">
          <xdr:nvSpPr>
            <xdr:cNvPr id="36896" name="Comment 32" hidden="1">
              <a:extLst>
                <a:ext uri="{FF2B5EF4-FFF2-40B4-BE49-F238E27FC236}">
                  <a16:creationId xmlns:a16="http://schemas.microsoft.com/office/drawing/2014/main" id="{7D2BC404-07A4-45C5-9F99-0E7F07941758}"/>
                </a:ext>
              </a:extLst>
            </xdr:cNvPr>
            <xdr:cNvSpPr txBox="1">
              <a:spLocks noChangeArrowheads="1"/>
            </xdr:cNvSpPr>
          </xdr:nvSpPr>
          <xdr:spPr bwMode="auto">
            <a:xfrm>
              <a:off x="2278380" y="17030700"/>
              <a:ext cx="196596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Note: 'Rh(max)' is an "absolute" value</a:t>
              </a:r>
            </a:p>
            <a:p>
              <a:pPr algn="l" rtl="0">
                <a:defRPr sz="1000"/>
              </a:pPr>
              <a:r>
                <a:rPr lang="en-US" sz="800" b="0" i="0" u="none" strike="noStrike" baseline="0%">
                  <a:solidFill>
                    <a:srgbClr val="000000"/>
                  </a:solidFill>
                  <a:latin typeface="Tahoma"/>
                  <a:ea typeface="Tahoma"/>
                  <a:cs typeface="Tahoma"/>
                </a:rPr>
                <a:t>          with no particular sign convention,</a:t>
              </a:r>
            </a:p>
            <a:p>
              <a:pPr algn="l" rtl="0">
                <a:defRPr sz="1000"/>
              </a:pPr>
              <a:r>
                <a:rPr lang="en-US" sz="800" b="0" i="0" u="none" strike="noStrike" baseline="0%">
                  <a:solidFill>
                    <a:srgbClr val="000000"/>
                  </a:solidFill>
                  <a:latin typeface="Tahoma"/>
                  <a:ea typeface="Tahoma"/>
                  <a:cs typeface="Tahoma"/>
                </a:rPr>
                <a:t>          thus no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29</xdr:col>
          <xdr:colOff>106680</xdr:colOff>
          <xdr:row>0</xdr:row>
          <xdr:rowOff>106680</xdr:rowOff>
        </xdr:from>
        <xdr:to>
          <xdr:col>31</xdr:col>
          <xdr:colOff>274320</xdr:colOff>
          <xdr:row>7</xdr:row>
          <xdr:rowOff>38100</xdr:rowOff>
        </xdr:to>
        <xdr:sp macro="" textlink="">
          <xdr:nvSpPr>
            <xdr:cNvPr id="36899" name="Comment 35" hidden="1">
              <a:extLst>
                <a:ext uri="{FF2B5EF4-FFF2-40B4-BE49-F238E27FC236}">
                  <a16:creationId xmlns:a16="http://schemas.microsoft.com/office/drawing/2014/main" id="{9EB40896-A078-4DC0-A07A-97BA462792E0}"/>
                </a:ext>
              </a:extLst>
            </xdr:cNvPr>
            <xdr:cNvSpPr txBox="1">
              <a:spLocks noChangeArrowheads="1"/>
            </xdr:cNvSpPr>
          </xdr:nvSpPr>
          <xdr:spPr bwMode="auto">
            <a:xfrm>
              <a:off x="8176260" y="106680"/>
              <a:ext cx="1432560" cy="11353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user may manually adjust the scaling of the plotted pile group by adjusting the "X" and "Y" plot scale factors below.  The object is to try to equalize the maximum X-axis and Y-axis values which are shown.</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106680</xdr:colOff>
          <xdr:row>7</xdr:row>
          <xdr:rowOff>68580</xdr:rowOff>
        </xdr:from>
        <xdr:to>
          <xdr:col>6</xdr:col>
          <xdr:colOff>274320</xdr:colOff>
          <xdr:row>9</xdr:row>
          <xdr:rowOff>60960</xdr:rowOff>
        </xdr:to>
        <xdr:sp macro="" textlink="">
          <xdr:nvSpPr>
            <xdr:cNvPr id="36930" name="Comment 66" hidden="1">
              <a:extLst>
                <a:ext uri="{FF2B5EF4-FFF2-40B4-BE49-F238E27FC236}">
                  <a16:creationId xmlns:a16="http://schemas.microsoft.com/office/drawing/2014/main" id="{E97FF979-1391-45C3-B2A2-ED9D2B717986}"/>
                </a:ext>
              </a:extLst>
            </xdr:cNvPr>
            <xdr:cNvSpPr txBox="1">
              <a:spLocks noChangeArrowheads="1"/>
            </xdr:cNvSpPr>
          </xdr:nvSpPr>
          <xdr:spPr bwMode="auto">
            <a:xfrm>
              <a:off x="2316480" y="1272540"/>
              <a:ext cx="2072640" cy="3276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2.</a:t>
              </a:r>
            </a:p>
            <a:p>
              <a:pPr algn="l" rtl="0">
                <a:defRPr sz="1000"/>
              </a:pPr>
              <a:r>
                <a:rPr lang="en-US" sz="800" b="1" i="0" u="none" strike="noStrike" baseline="0%">
                  <a:solidFill>
                    <a:srgbClr val="000000"/>
                  </a:solidFill>
                  <a:latin typeface="Tahoma"/>
                  <a:ea typeface="Tahoma"/>
                  <a:cs typeface="Tahoma"/>
                </a:rPr>
                <a:t>The maximum number of piles = 75.</a:t>
              </a:r>
            </a:p>
          </xdr:txBody>
        </xdr:sp>
        <xdr:clientData/>
      </xdr:twoCellAnchor>
    </mc:Fallback>
  </mc:AlternateContent>
  <mc:AlternateContent xmlns:mc="http://schemas.openxmlformats.org/markup-compatibility/2006">
    <mc:Choice xmlns:v="urn:schemas-microsoft-com:vml" Requires="v"/>
    <mc:Fallback>
      <xdr:twoCellAnchor editAs="absolute">
        <xdr:from>
          <xdr:col>33</xdr:col>
          <xdr:colOff>91440</xdr:colOff>
          <xdr:row>56</xdr:row>
          <xdr:rowOff>68580</xdr:rowOff>
        </xdr:from>
        <xdr:to>
          <xdr:col>36</xdr:col>
          <xdr:colOff>175260</xdr:colOff>
          <xdr:row>58</xdr:row>
          <xdr:rowOff>60960</xdr:rowOff>
        </xdr:to>
        <xdr:sp macro="" textlink="">
          <xdr:nvSpPr>
            <xdr:cNvPr id="36936" name="Comment 72" hidden="1">
              <a:extLst>
                <a:ext uri="{FF2B5EF4-FFF2-40B4-BE49-F238E27FC236}">
                  <a16:creationId xmlns:a16="http://schemas.microsoft.com/office/drawing/2014/main" id="{FCF35237-51FD-4CE6-9713-83629F54A2BF}"/>
                </a:ext>
              </a:extLst>
            </xdr:cNvPr>
            <xdr:cNvSpPr txBox="1">
              <a:spLocks noChangeArrowheads="1"/>
            </xdr:cNvSpPr>
          </xdr:nvSpPr>
          <xdr:spPr bwMode="auto">
            <a:xfrm>
              <a:off x="10690860" y="9486900"/>
              <a:ext cx="1958340" cy="3276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3.</a:t>
              </a:r>
            </a:p>
            <a:p>
              <a:pPr algn="l" rtl="0">
                <a:defRPr sz="1000"/>
              </a:pPr>
              <a:r>
                <a:rPr lang="en-US" sz="800" b="1" i="0" u="none" strike="noStrike" baseline="0%">
                  <a:solidFill>
                    <a:srgbClr val="000000"/>
                  </a:solidFill>
                  <a:latin typeface="Tahoma"/>
                  <a:ea typeface="Tahoma"/>
                  <a:cs typeface="Tahoma"/>
                </a:rPr>
                <a:t>The maximum number of piles = 75.</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56</xdr:row>
          <xdr:rowOff>68580</xdr:rowOff>
        </xdr:from>
        <xdr:to>
          <xdr:col>5</xdr:col>
          <xdr:colOff>144780</xdr:colOff>
          <xdr:row>62</xdr:row>
          <xdr:rowOff>99060</xdr:rowOff>
        </xdr:to>
        <xdr:sp macro="" textlink="">
          <xdr:nvSpPr>
            <xdr:cNvPr id="37067" name="Comment 203" hidden="1">
              <a:extLst>
                <a:ext uri="{FF2B5EF4-FFF2-40B4-BE49-F238E27FC236}">
                  <a16:creationId xmlns:a16="http://schemas.microsoft.com/office/drawing/2014/main" id="{B8CB43F5-57DB-482F-B862-93D1BD4DAB06}"/>
                </a:ext>
              </a:extLst>
            </xdr:cNvPr>
            <xdr:cNvSpPr txBox="1">
              <a:spLocks noChangeArrowheads="1"/>
            </xdr:cNvSpPr>
          </xdr:nvSpPr>
          <xdr:spPr bwMode="auto">
            <a:xfrm>
              <a:off x="1691640" y="9486900"/>
              <a:ext cx="1943100" cy="10363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X-axis Moment of Inertia, 'Ix',  for the pile group is calculated as follows:</a:t>
              </a:r>
            </a:p>
            <a:p>
              <a:pPr algn="l" rtl="0">
                <a:defRPr sz="1000"/>
              </a:pPr>
              <a:r>
                <a:rPr lang="en-US" sz="800" b="0" i="0" u="none" strike="noStrike" baseline="0%">
                  <a:solidFill>
                    <a:srgbClr val="000000"/>
                  </a:solidFill>
                  <a:latin typeface="Tahoma"/>
                  <a:ea typeface="Tahoma"/>
                  <a:cs typeface="Tahoma"/>
                </a:rPr>
                <a:t>   Ix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(dy)^2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 </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57</xdr:row>
          <xdr:rowOff>68580</xdr:rowOff>
        </xdr:from>
        <xdr:to>
          <xdr:col>5</xdr:col>
          <xdr:colOff>144780</xdr:colOff>
          <xdr:row>63</xdr:row>
          <xdr:rowOff>76200</xdr:rowOff>
        </xdr:to>
        <xdr:sp macro="" textlink="">
          <xdr:nvSpPr>
            <xdr:cNvPr id="37068" name="Comment 204" hidden="1">
              <a:extLst>
                <a:ext uri="{FF2B5EF4-FFF2-40B4-BE49-F238E27FC236}">
                  <a16:creationId xmlns:a16="http://schemas.microsoft.com/office/drawing/2014/main" id="{B3B263B9-8F99-45FF-99DA-997F92FE88CC}"/>
                </a:ext>
              </a:extLst>
            </xdr:cNvPr>
            <xdr:cNvSpPr txBox="1">
              <a:spLocks noChangeArrowheads="1"/>
            </xdr:cNvSpPr>
          </xdr:nvSpPr>
          <xdr:spPr bwMode="auto">
            <a:xfrm>
              <a:off x="1691640" y="9654540"/>
              <a:ext cx="1943100" cy="10134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Y-axis Moment of Inertia, 'Iy',  for the pile group is calculated as follows:</a:t>
              </a:r>
            </a:p>
            <a:p>
              <a:pPr algn="l" rtl="0">
                <a:defRPr sz="1000"/>
              </a:pPr>
              <a:r>
                <a:rPr lang="en-US" sz="800" b="0" i="0" u="none" strike="noStrike" baseline="0%">
                  <a:solidFill>
                    <a:srgbClr val="000000"/>
                  </a:solidFill>
                  <a:latin typeface="Tahoma"/>
                  <a:ea typeface="Tahoma"/>
                  <a:cs typeface="Tahoma"/>
                </a:rPr>
                <a:t>   Iy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 </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58</xdr:row>
          <xdr:rowOff>68580</xdr:rowOff>
        </xdr:from>
        <xdr:to>
          <xdr:col>5</xdr:col>
          <xdr:colOff>144780</xdr:colOff>
          <xdr:row>61</xdr:row>
          <xdr:rowOff>22860</xdr:rowOff>
        </xdr:to>
        <xdr:sp macro="" textlink="">
          <xdr:nvSpPr>
            <xdr:cNvPr id="37069" name="Comment 205" hidden="1">
              <a:extLst>
                <a:ext uri="{FF2B5EF4-FFF2-40B4-BE49-F238E27FC236}">
                  <a16:creationId xmlns:a16="http://schemas.microsoft.com/office/drawing/2014/main" id="{17409019-333B-42EC-B1D4-F6746FA92754}"/>
                </a:ext>
              </a:extLst>
            </xdr:cNvPr>
            <xdr:cNvSpPr txBox="1">
              <a:spLocks noChangeArrowheads="1"/>
            </xdr:cNvSpPr>
          </xdr:nvSpPr>
          <xdr:spPr bwMode="auto">
            <a:xfrm>
              <a:off x="1691640" y="9822180"/>
              <a:ext cx="194310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Polar Moment of Inertia for the pile group is calculated as follows:</a:t>
              </a:r>
            </a:p>
            <a:p>
              <a:pPr algn="l" rtl="0">
                <a:defRPr sz="1000"/>
              </a:pPr>
              <a:r>
                <a:rPr lang="en-US" sz="800" b="0" i="0" u="none" strike="noStrike" baseline="0%">
                  <a:solidFill>
                    <a:srgbClr val="000000"/>
                  </a:solidFill>
                  <a:latin typeface="Tahoma"/>
                  <a:ea typeface="Tahoma"/>
                  <a:cs typeface="Tahoma"/>
                </a:rPr>
                <a:t>   J = Ix+Iy</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59</xdr:row>
          <xdr:rowOff>68580</xdr:rowOff>
        </xdr:from>
        <xdr:to>
          <xdr:col>5</xdr:col>
          <xdr:colOff>175260</xdr:colOff>
          <xdr:row>68</xdr:row>
          <xdr:rowOff>129540</xdr:rowOff>
        </xdr:to>
        <xdr:sp macro="" textlink="">
          <xdr:nvSpPr>
            <xdr:cNvPr id="37070" name="Comment 206" hidden="1">
              <a:extLst>
                <a:ext uri="{FF2B5EF4-FFF2-40B4-BE49-F238E27FC236}">
                  <a16:creationId xmlns:a16="http://schemas.microsoft.com/office/drawing/2014/main" id="{BFF27E28-A1F5-4883-A19A-CB8B10C89AF7}"/>
                </a:ext>
              </a:extLst>
            </xdr:cNvPr>
            <xdr:cNvSpPr txBox="1">
              <a:spLocks noChangeArrowheads="1"/>
            </xdr:cNvSpPr>
          </xdr:nvSpPr>
          <xdr:spPr bwMode="auto">
            <a:xfrm>
              <a:off x="1691640" y="9989820"/>
              <a:ext cx="1973580" cy="15697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Product Moment of Inertia, 'Ixy', for the pile group is calculated as follows:</a:t>
              </a:r>
            </a:p>
            <a:p>
              <a:pPr algn="l" rtl="0">
                <a:defRPr sz="1000"/>
              </a:pPr>
              <a:r>
                <a:rPr lang="en-US" sz="800" b="0" i="0" u="none" strike="noStrike" baseline="0%">
                  <a:solidFill>
                    <a:srgbClr val="000000"/>
                  </a:solidFill>
                  <a:latin typeface="Tahoma"/>
                  <a:ea typeface="Tahoma"/>
                  <a:cs typeface="Tahoma"/>
                </a:rPr>
                <a:t>   Ixy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(dx*dy)</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a:t>
              </a:r>
            </a:p>
            <a:p>
              <a:pPr algn="l" rtl="0">
                <a:defRPr sz="1000"/>
              </a:pPr>
              <a:r>
                <a:rPr lang="en-US" sz="800" b="0" i="0" u="none" strike="noStrike" baseline="0%">
                  <a:solidFill>
                    <a:srgbClr val="000000"/>
                  </a:solidFill>
                  <a:latin typeface="Tahoma"/>
                  <a:ea typeface="Tahoma"/>
                  <a:cs typeface="Tahoma"/>
                </a:rPr>
                <a:t>Note:  'Ixy' = 0  for a pile group with at</a:t>
              </a:r>
            </a:p>
            <a:p>
              <a:pPr algn="l" rtl="0">
                <a:defRPr sz="1000"/>
              </a:pPr>
              <a:r>
                <a:rPr lang="en-US" sz="800" b="0" i="0" u="none" strike="noStrike" baseline="0%">
                  <a:solidFill>
                    <a:srgbClr val="000000"/>
                  </a:solidFill>
                  <a:latin typeface="Tahoma"/>
                  <a:ea typeface="Tahoma"/>
                  <a:cs typeface="Tahoma"/>
                </a:rPr>
                <a:t>           least one axis of symmetry.</a:t>
              </a:r>
            </a:p>
          </xdr:txBody>
        </xdr:sp>
        <xdr:clientData/>
      </xdr:twoCellAnchor>
    </mc:Fallback>
  </mc:AlternateContent>
</xdr:wsDr>
</file>

<file path=xl/drawings/drawing5.xml><?xml version="1.0" encoding="utf-8"?>
<xdr:wsDr xmlns:xdr="http://purl.oclc.org/ooxml/drawingml/spreadsheetDrawing" xmlns:a="http://purl.oclc.org/ooxml/drawingml/main">
  <xdr:twoCellAnchor>
    <xdr:from>
      <xdr:col>44</xdr:col>
      <xdr:colOff>0</xdr:colOff>
      <xdr:row>1</xdr:row>
      <xdr:rowOff>0</xdr:rowOff>
    </xdr:from>
    <xdr:to>
      <xdr:col>46</xdr:col>
      <xdr:colOff>0</xdr:colOff>
      <xdr:row>4</xdr:row>
      <xdr:rowOff>0</xdr:rowOff>
    </xdr:to>
    <xdr:sp macro="" textlink="">
      <xdr:nvSpPr>
        <xdr:cNvPr id="80925" name="Rectangle 29">
          <a:extLst>
            <a:ext uri="{FF2B5EF4-FFF2-40B4-BE49-F238E27FC236}">
              <a16:creationId xmlns:a16="http://schemas.microsoft.com/office/drawing/2014/main" id="{C206FFBF-4A1D-468E-BB20-DFC124F887AF}"/>
            </a:ext>
          </a:extLst>
        </xdr:cNvPr>
        <xdr:cNvSpPr>
          <a:spLocks noChangeArrowheads="1"/>
        </xdr:cNvSpPr>
      </xdr:nvSpPr>
      <xdr:spPr bwMode="auto">
        <a:xfrm>
          <a:off x="12931140" y="198120"/>
          <a:ext cx="1249680" cy="50292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ffectLst>
          <a:outerShdw dist="107763"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510540</xdr:colOff>
      <xdr:row>100</xdr:row>
      <xdr:rowOff>45720</xdr:rowOff>
    </xdr:from>
    <xdr:to>
      <xdr:col>14</xdr:col>
      <xdr:colOff>129540</xdr:colOff>
      <xdr:row>138</xdr:row>
      <xdr:rowOff>129540</xdr:rowOff>
    </xdr:to>
    <xdr:graphicFrame macro="">
      <xdr:nvGraphicFramePr>
        <xdr:cNvPr id="80927" name="Chart 31">
          <a:extLst>
            <a:ext uri="{FF2B5EF4-FFF2-40B4-BE49-F238E27FC236}">
              <a16:creationId xmlns:a16="http://schemas.microsoft.com/office/drawing/2014/main" id="{E841C997-7475-49D1-8C53-E15B6AC27CAB}"/>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5</xdr:col>
      <xdr:colOff>220980</xdr:colOff>
      <xdr:row>113</xdr:row>
      <xdr:rowOff>91440</xdr:rowOff>
    </xdr:from>
    <xdr:to>
      <xdr:col>5</xdr:col>
      <xdr:colOff>220980</xdr:colOff>
      <xdr:row>115</xdr:row>
      <xdr:rowOff>129540</xdr:rowOff>
    </xdr:to>
    <xdr:sp macro="" textlink="">
      <xdr:nvSpPr>
        <xdr:cNvPr id="80928" name="Line 32">
          <a:extLst>
            <a:ext uri="{FF2B5EF4-FFF2-40B4-BE49-F238E27FC236}">
              <a16:creationId xmlns:a16="http://schemas.microsoft.com/office/drawing/2014/main" id="{CDF4085E-389C-4892-8D52-5B577E9C7D9E}"/>
            </a:ext>
          </a:extLst>
        </xdr:cNvPr>
        <xdr:cNvSpPr>
          <a:spLocks noChangeShapeType="1"/>
        </xdr:cNvSpPr>
      </xdr:nvSpPr>
      <xdr:spPr bwMode="auto">
        <a:xfrm flipV="1">
          <a:off x="3642360" y="19065240"/>
          <a:ext cx="0" cy="3733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320040</xdr:colOff>
      <xdr:row>137</xdr:row>
      <xdr:rowOff>7620</xdr:rowOff>
    </xdr:from>
    <xdr:to>
      <xdr:col>11</xdr:col>
      <xdr:colOff>68580</xdr:colOff>
      <xdr:row>137</xdr:row>
      <xdr:rowOff>7620</xdr:rowOff>
    </xdr:to>
    <xdr:sp macro="" textlink="">
      <xdr:nvSpPr>
        <xdr:cNvPr id="80929" name="Line 33">
          <a:extLst>
            <a:ext uri="{FF2B5EF4-FFF2-40B4-BE49-F238E27FC236}">
              <a16:creationId xmlns:a16="http://schemas.microsoft.com/office/drawing/2014/main" id="{E30D83B6-986C-4F50-BAD7-1CB0F3D30E57}"/>
            </a:ext>
          </a:extLst>
        </xdr:cNvPr>
        <xdr:cNvSpPr>
          <a:spLocks noChangeShapeType="1"/>
        </xdr:cNvSpPr>
      </xdr:nvSpPr>
      <xdr:spPr bwMode="auto">
        <a:xfrm>
          <a:off x="7002780" y="23004780"/>
          <a:ext cx="373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68580</xdr:colOff>
      <xdr:row>7</xdr:row>
      <xdr:rowOff>38100</xdr:rowOff>
    </xdr:from>
    <xdr:to>
      <xdr:col>44</xdr:col>
      <xdr:colOff>167640</xdr:colOff>
      <xdr:row>7</xdr:row>
      <xdr:rowOff>137160</xdr:rowOff>
    </xdr:to>
    <xdr:sp macro="" textlink="">
      <xdr:nvSpPr>
        <xdr:cNvPr id="80932" name="Oval 36">
          <a:extLst>
            <a:ext uri="{FF2B5EF4-FFF2-40B4-BE49-F238E27FC236}">
              <a16:creationId xmlns:a16="http://schemas.microsoft.com/office/drawing/2014/main" id="{80954B2B-866B-45A7-A870-958FE2D24EAD}"/>
            </a:ext>
          </a:extLst>
        </xdr:cNvPr>
        <xdr:cNvSpPr>
          <a:spLocks noChangeArrowheads="1"/>
        </xdr:cNvSpPr>
      </xdr:nvSpPr>
      <xdr:spPr bwMode="auto">
        <a:xfrm>
          <a:off x="12999720" y="1242060"/>
          <a:ext cx="99060" cy="990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round/>
          <a:headEnd/>
          <a:tailEnd/>
        </a:ln>
      </xdr:spPr>
    </xdr:sp>
    <xdr:clientData/>
  </xdr:twoCellAnchor>
  <xdr:twoCellAnchor>
    <xdr:from>
      <xdr:col>43</xdr:col>
      <xdr:colOff>441960</xdr:colOff>
      <xdr:row>6</xdr:row>
      <xdr:rowOff>91440</xdr:rowOff>
    </xdr:from>
    <xdr:to>
      <xdr:col>45</xdr:col>
      <xdr:colOff>381000</xdr:colOff>
      <xdr:row>13</xdr:row>
      <xdr:rowOff>60960</xdr:rowOff>
    </xdr:to>
    <xdr:sp macro="" textlink="">
      <xdr:nvSpPr>
        <xdr:cNvPr id="80933" name="Rectangle 37">
          <a:extLst>
            <a:ext uri="{FF2B5EF4-FFF2-40B4-BE49-F238E27FC236}">
              <a16:creationId xmlns:a16="http://schemas.microsoft.com/office/drawing/2014/main" id="{6D066465-8469-4572-9710-B92CB7DC750E}"/>
            </a:ext>
          </a:extLst>
        </xdr:cNvPr>
        <xdr:cNvSpPr>
          <a:spLocks noChangeArrowheads="1"/>
        </xdr:cNvSpPr>
      </xdr:nvSpPr>
      <xdr:spPr bwMode="auto">
        <a:xfrm>
          <a:off x="12748260" y="1127760"/>
          <a:ext cx="118872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43</xdr:col>
      <xdr:colOff>441960</xdr:colOff>
      <xdr:row>5</xdr:row>
      <xdr:rowOff>91440</xdr:rowOff>
    </xdr:from>
    <xdr:to>
      <xdr:col>43</xdr:col>
      <xdr:colOff>441960</xdr:colOff>
      <xdr:row>6</xdr:row>
      <xdr:rowOff>76200</xdr:rowOff>
    </xdr:to>
    <xdr:sp macro="" textlink="">
      <xdr:nvSpPr>
        <xdr:cNvPr id="80934" name="Line 38">
          <a:extLst>
            <a:ext uri="{FF2B5EF4-FFF2-40B4-BE49-F238E27FC236}">
              <a16:creationId xmlns:a16="http://schemas.microsoft.com/office/drawing/2014/main" id="{76FF327D-E583-41BE-AAAF-9E1630A212DA}"/>
            </a:ext>
          </a:extLst>
        </xdr:cNvPr>
        <xdr:cNvSpPr>
          <a:spLocks noChangeShapeType="1"/>
        </xdr:cNvSpPr>
      </xdr:nvSpPr>
      <xdr:spPr bwMode="auto">
        <a:xfrm flipV="1">
          <a:off x="12748260" y="96012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43</xdr:col>
      <xdr:colOff>320040</xdr:colOff>
      <xdr:row>13</xdr:row>
      <xdr:rowOff>60960</xdr:rowOff>
    </xdr:from>
    <xdr:to>
      <xdr:col>43</xdr:col>
      <xdr:colOff>441960</xdr:colOff>
      <xdr:row>14</xdr:row>
      <xdr:rowOff>7620</xdr:rowOff>
    </xdr:to>
    <xdr:sp macro="" textlink="">
      <xdr:nvSpPr>
        <xdr:cNvPr id="80935" name="Line 39">
          <a:extLst>
            <a:ext uri="{FF2B5EF4-FFF2-40B4-BE49-F238E27FC236}">
              <a16:creationId xmlns:a16="http://schemas.microsoft.com/office/drawing/2014/main" id="{FADD6E98-E87E-49A4-A94E-6E183F940B1B}"/>
            </a:ext>
          </a:extLst>
        </xdr:cNvPr>
        <xdr:cNvSpPr>
          <a:spLocks noChangeShapeType="1"/>
        </xdr:cNvSpPr>
      </xdr:nvSpPr>
      <xdr:spPr bwMode="auto">
        <a:xfrm flipH="1">
          <a:off x="12626340" y="2270760"/>
          <a:ext cx="12192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45</xdr:col>
      <xdr:colOff>388620</xdr:colOff>
      <xdr:row>13</xdr:row>
      <xdr:rowOff>60960</xdr:rowOff>
    </xdr:from>
    <xdr:to>
      <xdr:col>45</xdr:col>
      <xdr:colOff>548640</xdr:colOff>
      <xdr:row>13</xdr:row>
      <xdr:rowOff>60960</xdr:rowOff>
    </xdr:to>
    <xdr:sp macro="" textlink="">
      <xdr:nvSpPr>
        <xdr:cNvPr id="80936" name="Line 40">
          <a:extLst>
            <a:ext uri="{FF2B5EF4-FFF2-40B4-BE49-F238E27FC236}">
              <a16:creationId xmlns:a16="http://schemas.microsoft.com/office/drawing/2014/main" id="{DCE25765-917F-4A8F-A4CC-03A3FC19630B}"/>
            </a:ext>
          </a:extLst>
        </xdr:cNvPr>
        <xdr:cNvSpPr>
          <a:spLocks noChangeShapeType="1"/>
        </xdr:cNvSpPr>
      </xdr:nvSpPr>
      <xdr:spPr bwMode="auto">
        <a:xfrm flipV="1">
          <a:off x="13944600" y="2270760"/>
          <a:ext cx="1600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43</xdr:col>
      <xdr:colOff>441960</xdr:colOff>
      <xdr:row>19</xdr:row>
      <xdr:rowOff>144780</xdr:rowOff>
    </xdr:from>
    <xdr:to>
      <xdr:col>45</xdr:col>
      <xdr:colOff>381000</xdr:colOff>
      <xdr:row>21</xdr:row>
      <xdr:rowOff>45720</xdr:rowOff>
    </xdr:to>
    <xdr:sp macro="" textlink="">
      <xdr:nvSpPr>
        <xdr:cNvPr id="80937" name="Rectangle 41">
          <a:extLst>
            <a:ext uri="{FF2B5EF4-FFF2-40B4-BE49-F238E27FC236}">
              <a16:creationId xmlns:a16="http://schemas.microsoft.com/office/drawing/2014/main" id="{38A10337-8110-4FCA-8F6A-983D36FF166A}"/>
            </a:ext>
          </a:extLst>
        </xdr:cNvPr>
        <xdr:cNvSpPr>
          <a:spLocks noChangeArrowheads="1"/>
        </xdr:cNvSpPr>
      </xdr:nvSpPr>
      <xdr:spPr bwMode="auto">
        <a:xfrm>
          <a:off x="12748260" y="3360420"/>
          <a:ext cx="1188720" cy="2362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44</xdr:col>
      <xdr:colOff>251460</xdr:colOff>
      <xdr:row>18</xdr:row>
      <xdr:rowOff>160020</xdr:rowOff>
    </xdr:from>
    <xdr:to>
      <xdr:col>44</xdr:col>
      <xdr:colOff>563880</xdr:colOff>
      <xdr:row>19</xdr:row>
      <xdr:rowOff>144780</xdr:rowOff>
    </xdr:to>
    <xdr:sp macro="" textlink="">
      <xdr:nvSpPr>
        <xdr:cNvPr id="80938" name="Rectangle 42">
          <a:extLst>
            <a:ext uri="{FF2B5EF4-FFF2-40B4-BE49-F238E27FC236}">
              <a16:creationId xmlns:a16="http://schemas.microsoft.com/office/drawing/2014/main" id="{A673E6C7-878D-4B06-92CF-3F40F87CD9F8}"/>
            </a:ext>
          </a:extLst>
        </xdr:cNvPr>
        <xdr:cNvSpPr>
          <a:spLocks noChangeArrowheads="1"/>
        </xdr:cNvSpPr>
      </xdr:nvSpPr>
      <xdr:spPr bwMode="auto">
        <a:xfrm>
          <a:off x="13182600" y="3208020"/>
          <a:ext cx="31242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43</xdr:col>
      <xdr:colOff>556260</xdr:colOff>
      <xdr:row>21</xdr:row>
      <xdr:rowOff>45720</xdr:rowOff>
    </xdr:from>
    <xdr:to>
      <xdr:col>43</xdr:col>
      <xdr:colOff>556260</xdr:colOff>
      <xdr:row>23</xdr:row>
      <xdr:rowOff>76200</xdr:rowOff>
    </xdr:to>
    <xdr:sp macro="" textlink="">
      <xdr:nvSpPr>
        <xdr:cNvPr id="80939" name="Line 43">
          <a:extLst>
            <a:ext uri="{FF2B5EF4-FFF2-40B4-BE49-F238E27FC236}">
              <a16:creationId xmlns:a16="http://schemas.microsoft.com/office/drawing/2014/main" id="{B5BFE1FD-698A-4CC4-BFF7-3BA015227300}"/>
            </a:ext>
          </a:extLst>
        </xdr:cNvPr>
        <xdr:cNvSpPr>
          <a:spLocks noChangeShapeType="1"/>
        </xdr:cNvSpPr>
      </xdr:nvSpPr>
      <xdr:spPr bwMode="auto">
        <a:xfrm>
          <a:off x="1286256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21</xdr:row>
      <xdr:rowOff>45720</xdr:rowOff>
    </xdr:from>
    <xdr:to>
      <xdr:col>44</xdr:col>
      <xdr:colOff>76200</xdr:colOff>
      <xdr:row>23</xdr:row>
      <xdr:rowOff>76200</xdr:rowOff>
    </xdr:to>
    <xdr:sp macro="" textlink="">
      <xdr:nvSpPr>
        <xdr:cNvPr id="80940" name="Line 44">
          <a:extLst>
            <a:ext uri="{FF2B5EF4-FFF2-40B4-BE49-F238E27FC236}">
              <a16:creationId xmlns:a16="http://schemas.microsoft.com/office/drawing/2014/main" id="{47808B12-FC96-4CF5-949F-FFE41722B7A7}"/>
            </a:ext>
          </a:extLst>
        </xdr:cNvPr>
        <xdr:cNvSpPr>
          <a:spLocks noChangeShapeType="1"/>
        </xdr:cNvSpPr>
      </xdr:nvSpPr>
      <xdr:spPr bwMode="auto">
        <a:xfrm>
          <a:off x="1300734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480060</xdr:colOff>
      <xdr:row>23</xdr:row>
      <xdr:rowOff>76200</xdr:rowOff>
    </xdr:from>
    <xdr:to>
      <xdr:col>43</xdr:col>
      <xdr:colOff>586740</xdr:colOff>
      <xdr:row>23</xdr:row>
      <xdr:rowOff>76200</xdr:rowOff>
    </xdr:to>
    <xdr:sp macro="" textlink="">
      <xdr:nvSpPr>
        <xdr:cNvPr id="80941" name="Line 45">
          <a:extLst>
            <a:ext uri="{FF2B5EF4-FFF2-40B4-BE49-F238E27FC236}">
              <a16:creationId xmlns:a16="http://schemas.microsoft.com/office/drawing/2014/main" id="{152E23E6-D7BC-4B64-B93A-788B2BB7E6E6}"/>
            </a:ext>
          </a:extLst>
        </xdr:cNvPr>
        <xdr:cNvSpPr>
          <a:spLocks noChangeShapeType="1"/>
        </xdr:cNvSpPr>
      </xdr:nvSpPr>
      <xdr:spPr bwMode="auto">
        <a:xfrm>
          <a:off x="1278636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38100</xdr:colOff>
      <xdr:row>23</xdr:row>
      <xdr:rowOff>76200</xdr:rowOff>
    </xdr:from>
    <xdr:to>
      <xdr:col>44</xdr:col>
      <xdr:colOff>144780</xdr:colOff>
      <xdr:row>23</xdr:row>
      <xdr:rowOff>76200</xdr:rowOff>
    </xdr:to>
    <xdr:sp macro="" textlink="">
      <xdr:nvSpPr>
        <xdr:cNvPr id="80942" name="Line 46">
          <a:extLst>
            <a:ext uri="{FF2B5EF4-FFF2-40B4-BE49-F238E27FC236}">
              <a16:creationId xmlns:a16="http://schemas.microsoft.com/office/drawing/2014/main" id="{3040FA60-09DE-43DB-8175-0D4FE0942660}"/>
            </a:ext>
          </a:extLst>
        </xdr:cNvPr>
        <xdr:cNvSpPr>
          <a:spLocks noChangeShapeType="1"/>
        </xdr:cNvSpPr>
      </xdr:nvSpPr>
      <xdr:spPr bwMode="auto">
        <a:xfrm>
          <a:off x="1296924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586740</xdr:colOff>
      <xdr:row>23</xdr:row>
      <xdr:rowOff>76200</xdr:rowOff>
    </xdr:from>
    <xdr:to>
      <xdr:col>43</xdr:col>
      <xdr:colOff>609600</xdr:colOff>
      <xdr:row>23</xdr:row>
      <xdr:rowOff>99060</xdr:rowOff>
    </xdr:to>
    <xdr:sp macro="" textlink="">
      <xdr:nvSpPr>
        <xdr:cNvPr id="80943" name="Line 47">
          <a:extLst>
            <a:ext uri="{FF2B5EF4-FFF2-40B4-BE49-F238E27FC236}">
              <a16:creationId xmlns:a16="http://schemas.microsoft.com/office/drawing/2014/main" id="{867F089F-732F-454D-84AD-85FF378E253C}"/>
            </a:ext>
          </a:extLst>
        </xdr:cNvPr>
        <xdr:cNvSpPr>
          <a:spLocks noChangeShapeType="1"/>
        </xdr:cNvSpPr>
      </xdr:nvSpPr>
      <xdr:spPr bwMode="auto">
        <a:xfrm>
          <a:off x="1289304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22860</xdr:colOff>
      <xdr:row>23</xdr:row>
      <xdr:rowOff>60960</xdr:rowOff>
    </xdr:from>
    <xdr:to>
      <xdr:col>44</xdr:col>
      <xdr:colOff>45720</xdr:colOff>
      <xdr:row>23</xdr:row>
      <xdr:rowOff>83820</xdr:rowOff>
    </xdr:to>
    <xdr:sp macro="" textlink="">
      <xdr:nvSpPr>
        <xdr:cNvPr id="80944" name="Line 48">
          <a:extLst>
            <a:ext uri="{FF2B5EF4-FFF2-40B4-BE49-F238E27FC236}">
              <a16:creationId xmlns:a16="http://schemas.microsoft.com/office/drawing/2014/main" id="{EA12B700-3712-4027-A58C-CC72047D7044}"/>
            </a:ext>
          </a:extLst>
        </xdr:cNvPr>
        <xdr:cNvSpPr>
          <a:spLocks noChangeShapeType="1"/>
        </xdr:cNvSpPr>
      </xdr:nvSpPr>
      <xdr:spPr bwMode="auto">
        <a:xfrm flipH="1" flipV="1">
          <a:off x="1295400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601980</xdr:colOff>
      <xdr:row>23</xdr:row>
      <xdr:rowOff>60960</xdr:rowOff>
    </xdr:from>
    <xdr:to>
      <xdr:col>44</xdr:col>
      <xdr:colOff>22860</xdr:colOff>
      <xdr:row>23</xdr:row>
      <xdr:rowOff>99060</xdr:rowOff>
    </xdr:to>
    <xdr:sp macro="" textlink="">
      <xdr:nvSpPr>
        <xdr:cNvPr id="80945" name="Line 49">
          <a:extLst>
            <a:ext uri="{FF2B5EF4-FFF2-40B4-BE49-F238E27FC236}">
              <a16:creationId xmlns:a16="http://schemas.microsoft.com/office/drawing/2014/main" id="{BC6BAD79-74AC-4C52-B046-CC169EAE63D4}"/>
            </a:ext>
          </a:extLst>
        </xdr:cNvPr>
        <xdr:cNvSpPr>
          <a:spLocks noChangeShapeType="1"/>
        </xdr:cNvSpPr>
      </xdr:nvSpPr>
      <xdr:spPr bwMode="auto">
        <a:xfrm flipV="1">
          <a:off x="12908280" y="3947160"/>
          <a:ext cx="4572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114300</xdr:colOff>
      <xdr:row>21</xdr:row>
      <xdr:rowOff>45720</xdr:rowOff>
    </xdr:from>
    <xdr:to>
      <xdr:col>45</xdr:col>
      <xdr:colOff>114300</xdr:colOff>
      <xdr:row>23</xdr:row>
      <xdr:rowOff>76200</xdr:rowOff>
    </xdr:to>
    <xdr:sp macro="" textlink="">
      <xdr:nvSpPr>
        <xdr:cNvPr id="80946" name="Line 50">
          <a:extLst>
            <a:ext uri="{FF2B5EF4-FFF2-40B4-BE49-F238E27FC236}">
              <a16:creationId xmlns:a16="http://schemas.microsoft.com/office/drawing/2014/main" id="{309532D5-78CD-44DF-9717-C9A0CA61C74B}"/>
            </a:ext>
          </a:extLst>
        </xdr:cNvPr>
        <xdr:cNvSpPr>
          <a:spLocks noChangeShapeType="1"/>
        </xdr:cNvSpPr>
      </xdr:nvSpPr>
      <xdr:spPr bwMode="auto">
        <a:xfrm>
          <a:off x="1367028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266700</xdr:colOff>
      <xdr:row>21</xdr:row>
      <xdr:rowOff>45720</xdr:rowOff>
    </xdr:from>
    <xdr:to>
      <xdr:col>45</xdr:col>
      <xdr:colOff>266700</xdr:colOff>
      <xdr:row>23</xdr:row>
      <xdr:rowOff>76200</xdr:rowOff>
    </xdr:to>
    <xdr:sp macro="" textlink="">
      <xdr:nvSpPr>
        <xdr:cNvPr id="80947" name="Line 51">
          <a:extLst>
            <a:ext uri="{FF2B5EF4-FFF2-40B4-BE49-F238E27FC236}">
              <a16:creationId xmlns:a16="http://schemas.microsoft.com/office/drawing/2014/main" id="{E5DC76B1-C897-434F-A5C5-5CD760AB092B}"/>
            </a:ext>
          </a:extLst>
        </xdr:cNvPr>
        <xdr:cNvSpPr>
          <a:spLocks noChangeShapeType="1"/>
        </xdr:cNvSpPr>
      </xdr:nvSpPr>
      <xdr:spPr bwMode="auto">
        <a:xfrm>
          <a:off x="1382268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38100</xdr:colOff>
      <xdr:row>23</xdr:row>
      <xdr:rowOff>76200</xdr:rowOff>
    </xdr:from>
    <xdr:to>
      <xdr:col>45</xdr:col>
      <xdr:colOff>144780</xdr:colOff>
      <xdr:row>23</xdr:row>
      <xdr:rowOff>76200</xdr:rowOff>
    </xdr:to>
    <xdr:sp macro="" textlink="">
      <xdr:nvSpPr>
        <xdr:cNvPr id="80948" name="Line 52">
          <a:extLst>
            <a:ext uri="{FF2B5EF4-FFF2-40B4-BE49-F238E27FC236}">
              <a16:creationId xmlns:a16="http://schemas.microsoft.com/office/drawing/2014/main" id="{DEFFC65E-12B6-4EB5-A75F-8DFA8DD4D783}"/>
            </a:ext>
          </a:extLst>
        </xdr:cNvPr>
        <xdr:cNvSpPr>
          <a:spLocks noChangeShapeType="1"/>
        </xdr:cNvSpPr>
      </xdr:nvSpPr>
      <xdr:spPr bwMode="auto">
        <a:xfrm>
          <a:off x="1359408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220980</xdr:colOff>
      <xdr:row>23</xdr:row>
      <xdr:rowOff>76200</xdr:rowOff>
    </xdr:from>
    <xdr:to>
      <xdr:col>45</xdr:col>
      <xdr:colOff>327660</xdr:colOff>
      <xdr:row>23</xdr:row>
      <xdr:rowOff>76200</xdr:rowOff>
    </xdr:to>
    <xdr:sp macro="" textlink="">
      <xdr:nvSpPr>
        <xdr:cNvPr id="80949" name="Line 53">
          <a:extLst>
            <a:ext uri="{FF2B5EF4-FFF2-40B4-BE49-F238E27FC236}">
              <a16:creationId xmlns:a16="http://schemas.microsoft.com/office/drawing/2014/main" id="{225944DC-376B-42DD-9F07-E2BBE5E3F0D8}"/>
            </a:ext>
          </a:extLst>
        </xdr:cNvPr>
        <xdr:cNvSpPr>
          <a:spLocks noChangeShapeType="1"/>
        </xdr:cNvSpPr>
      </xdr:nvSpPr>
      <xdr:spPr bwMode="auto">
        <a:xfrm>
          <a:off x="1377696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144780</xdr:colOff>
      <xdr:row>23</xdr:row>
      <xdr:rowOff>76200</xdr:rowOff>
    </xdr:from>
    <xdr:to>
      <xdr:col>45</xdr:col>
      <xdr:colOff>167640</xdr:colOff>
      <xdr:row>23</xdr:row>
      <xdr:rowOff>99060</xdr:rowOff>
    </xdr:to>
    <xdr:sp macro="" textlink="">
      <xdr:nvSpPr>
        <xdr:cNvPr id="80950" name="Line 54">
          <a:extLst>
            <a:ext uri="{FF2B5EF4-FFF2-40B4-BE49-F238E27FC236}">
              <a16:creationId xmlns:a16="http://schemas.microsoft.com/office/drawing/2014/main" id="{DD1374DA-22AE-483B-8E59-8DCE2644FF8B}"/>
            </a:ext>
          </a:extLst>
        </xdr:cNvPr>
        <xdr:cNvSpPr>
          <a:spLocks noChangeShapeType="1"/>
        </xdr:cNvSpPr>
      </xdr:nvSpPr>
      <xdr:spPr bwMode="auto">
        <a:xfrm>
          <a:off x="1370076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205740</xdr:colOff>
      <xdr:row>23</xdr:row>
      <xdr:rowOff>60960</xdr:rowOff>
    </xdr:from>
    <xdr:to>
      <xdr:col>45</xdr:col>
      <xdr:colOff>228600</xdr:colOff>
      <xdr:row>23</xdr:row>
      <xdr:rowOff>83820</xdr:rowOff>
    </xdr:to>
    <xdr:sp macro="" textlink="">
      <xdr:nvSpPr>
        <xdr:cNvPr id="80951" name="Line 55">
          <a:extLst>
            <a:ext uri="{FF2B5EF4-FFF2-40B4-BE49-F238E27FC236}">
              <a16:creationId xmlns:a16="http://schemas.microsoft.com/office/drawing/2014/main" id="{E5306BB6-982A-4EC3-8E8D-B37524FB7164}"/>
            </a:ext>
          </a:extLst>
        </xdr:cNvPr>
        <xdr:cNvSpPr>
          <a:spLocks noChangeShapeType="1"/>
        </xdr:cNvSpPr>
      </xdr:nvSpPr>
      <xdr:spPr bwMode="auto">
        <a:xfrm flipH="1" flipV="1">
          <a:off x="1376172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167640</xdr:colOff>
      <xdr:row>23</xdr:row>
      <xdr:rowOff>60960</xdr:rowOff>
    </xdr:from>
    <xdr:to>
      <xdr:col>45</xdr:col>
      <xdr:colOff>205740</xdr:colOff>
      <xdr:row>23</xdr:row>
      <xdr:rowOff>99060</xdr:rowOff>
    </xdr:to>
    <xdr:sp macro="" textlink="">
      <xdr:nvSpPr>
        <xdr:cNvPr id="80952" name="Line 56">
          <a:extLst>
            <a:ext uri="{FF2B5EF4-FFF2-40B4-BE49-F238E27FC236}">
              <a16:creationId xmlns:a16="http://schemas.microsoft.com/office/drawing/2014/main" id="{8B9050E6-7465-4BB4-9846-AAAC9A1CE002}"/>
            </a:ext>
          </a:extLst>
        </xdr:cNvPr>
        <xdr:cNvSpPr>
          <a:spLocks noChangeShapeType="1"/>
        </xdr:cNvSpPr>
      </xdr:nvSpPr>
      <xdr:spPr bwMode="auto">
        <a:xfrm flipV="1">
          <a:off x="13723620" y="3947160"/>
          <a:ext cx="3810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556260</xdr:colOff>
      <xdr:row>20</xdr:row>
      <xdr:rowOff>160020</xdr:rowOff>
    </xdr:from>
    <xdr:to>
      <xdr:col>43</xdr:col>
      <xdr:colOff>556260</xdr:colOff>
      <xdr:row>21</xdr:row>
      <xdr:rowOff>45720</xdr:rowOff>
    </xdr:to>
    <xdr:sp macro="" textlink="">
      <xdr:nvSpPr>
        <xdr:cNvPr id="80953" name="Line 57">
          <a:extLst>
            <a:ext uri="{FF2B5EF4-FFF2-40B4-BE49-F238E27FC236}">
              <a16:creationId xmlns:a16="http://schemas.microsoft.com/office/drawing/2014/main" id="{A4538B18-F086-47F5-A263-143CFF20E6D8}"/>
            </a:ext>
          </a:extLst>
        </xdr:cNvPr>
        <xdr:cNvSpPr>
          <a:spLocks noChangeShapeType="1"/>
        </xdr:cNvSpPr>
      </xdr:nvSpPr>
      <xdr:spPr bwMode="auto">
        <a:xfrm flipV="1">
          <a:off x="1286256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20</xdr:row>
      <xdr:rowOff>160020</xdr:rowOff>
    </xdr:from>
    <xdr:to>
      <xdr:col>44</xdr:col>
      <xdr:colOff>76200</xdr:colOff>
      <xdr:row>21</xdr:row>
      <xdr:rowOff>45720</xdr:rowOff>
    </xdr:to>
    <xdr:sp macro="" textlink="">
      <xdr:nvSpPr>
        <xdr:cNvPr id="80954" name="Line 58">
          <a:extLst>
            <a:ext uri="{FF2B5EF4-FFF2-40B4-BE49-F238E27FC236}">
              <a16:creationId xmlns:a16="http://schemas.microsoft.com/office/drawing/2014/main" id="{ABB965D9-6EF9-4603-9A87-EA2FBF7223E1}"/>
            </a:ext>
          </a:extLst>
        </xdr:cNvPr>
        <xdr:cNvSpPr>
          <a:spLocks noChangeShapeType="1"/>
        </xdr:cNvSpPr>
      </xdr:nvSpPr>
      <xdr:spPr bwMode="auto">
        <a:xfrm flipV="1">
          <a:off x="1300734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114300</xdr:colOff>
      <xdr:row>20</xdr:row>
      <xdr:rowOff>160020</xdr:rowOff>
    </xdr:from>
    <xdr:to>
      <xdr:col>45</xdr:col>
      <xdr:colOff>114300</xdr:colOff>
      <xdr:row>21</xdr:row>
      <xdr:rowOff>45720</xdr:rowOff>
    </xdr:to>
    <xdr:sp macro="" textlink="">
      <xdr:nvSpPr>
        <xdr:cNvPr id="80955" name="Line 59">
          <a:extLst>
            <a:ext uri="{FF2B5EF4-FFF2-40B4-BE49-F238E27FC236}">
              <a16:creationId xmlns:a16="http://schemas.microsoft.com/office/drawing/2014/main" id="{69232B0B-6D85-413B-83BF-765EDC1BB0DB}"/>
            </a:ext>
          </a:extLst>
        </xdr:cNvPr>
        <xdr:cNvSpPr>
          <a:spLocks noChangeShapeType="1"/>
        </xdr:cNvSpPr>
      </xdr:nvSpPr>
      <xdr:spPr bwMode="auto">
        <a:xfrm flipV="1">
          <a:off x="1367028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266700</xdr:colOff>
      <xdr:row>20</xdr:row>
      <xdr:rowOff>160020</xdr:rowOff>
    </xdr:from>
    <xdr:to>
      <xdr:col>45</xdr:col>
      <xdr:colOff>266700</xdr:colOff>
      <xdr:row>21</xdr:row>
      <xdr:rowOff>45720</xdr:rowOff>
    </xdr:to>
    <xdr:sp macro="" textlink="">
      <xdr:nvSpPr>
        <xdr:cNvPr id="80956" name="Line 60">
          <a:extLst>
            <a:ext uri="{FF2B5EF4-FFF2-40B4-BE49-F238E27FC236}">
              <a16:creationId xmlns:a16="http://schemas.microsoft.com/office/drawing/2014/main" id="{A863F8D9-DC7F-4B5D-B464-8EAAC49772A1}"/>
            </a:ext>
          </a:extLst>
        </xdr:cNvPr>
        <xdr:cNvSpPr>
          <a:spLocks noChangeShapeType="1"/>
        </xdr:cNvSpPr>
      </xdr:nvSpPr>
      <xdr:spPr bwMode="auto">
        <a:xfrm flipV="1">
          <a:off x="1382268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43</xdr:col>
      <xdr:colOff>556260</xdr:colOff>
      <xdr:row>21</xdr:row>
      <xdr:rowOff>0</xdr:rowOff>
    </xdr:from>
    <xdr:to>
      <xdr:col>44</xdr:col>
      <xdr:colOff>76200</xdr:colOff>
      <xdr:row>21</xdr:row>
      <xdr:rowOff>0</xdr:rowOff>
    </xdr:to>
    <xdr:sp macro="" textlink="">
      <xdr:nvSpPr>
        <xdr:cNvPr id="80957" name="Line 61">
          <a:extLst>
            <a:ext uri="{FF2B5EF4-FFF2-40B4-BE49-F238E27FC236}">
              <a16:creationId xmlns:a16="http://schemas.microsoft.com/office/drawing/2014/main" id="{45388018-B6E8-47AB-B987-B2A74F31433F}"/>
            </a:ext>
          </a:extLst>
        </xdr:cNvPr>
        <xdr:cNvSpPr>
          <a:spLocks noChangeShapeType="1"/>
        </xdr:cNvSpPr>
      </xdr:nvSpPr>
      <xdr:spPr bwMode="auto">
        <a:xfrm>
          <a:off x="1286256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114300</xdr:colOff>
      <xdr:row>21</xdr:row>
      <xdr:rowOff>0</xdr:rowOff>
    </xdr:from>
    <xdr:to>
      <xdr:col>45</xdr:col>
      <xdr:colOff>259080</xdr:colOff>
      <xdr:row>21</xdr:row>
      <xdr:rowOff>0</xdr:rowOff>
    </xdr:to>
    <xdr:sp macro="" textlink="">
      <xdr:nvSpPr>
        <xdr:cNvPr id="80958" name="Line 62">
          <a:extLst>
            <a:ext uri="{FF2B5EF4-FFF2-40B4-BE49-F238E27FC236}">
              <a16:creationId xmlns:a16="http://schemas.microsoft.com/office/drawing/2014/main" id="{533FF62B-DABC-41A5-8A8B-25A42E0FD304}"/>
            </a:ext>
          </a:extLst>
        </xdr:cNvPr>
        <xdr:cNvSpPr>
          <a:spLocks noChangeShapeType="1"/>
        </xdr:cNvSpPr>
      </xdr:nvSpPr>
      <xdr:spPr bwMode="auto">
        <a:xfrm>
          <a:off x="1367028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43</xdr:col>
      <xdr:colOff>617220</xdr:colOff>
      <xdr:row>18</xdr:row>
      <xdr:rowOff>160020</xdr:rowOff>
    </xdr:from>
    <xdr:to>
      <xdr:col>44</xdr:col>
      <xdr:colOff>213360</xdr:colOff>
      <xdr:row>18</xdr:row>
      <xdr:rowOff>160020</xdr:rowOff>
    </xdr:to>
    <xdr:sp macro="" textlink="">
      <xdr:nvSpPr>
        <xdr:cNvPr id="80959" name="Line 63">
          <a:extLst>
            <a:ext uri="{FF2B5EF4-FFF2-40B4-BE49-F238E27FC236}">
              <a16:creationId xmlns:a16="http://schemas.microsoft.com/office/drawing/2014/main" id="{791AD506-7C69-4570-967C-7920C8ADFA80}"/>
            </a:ext>
          </a:extLst>
        </xdr:cNvPr>
        <xdr:cNvSpPr>
          <a:spLocks noChangeShapeType="1"/>
        </xdr:cNvSpPr>
      </xdr:nvSpPr>
      <xdr:spPr bwMode="auto">
        <a:xfrm>
          <a:off x="12923520" y="3208020"/>
          <a:ext cx="2209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43</xdr:col>
      <xdr:colOff>236220</xdr:colOff>
      <xdr:row>21</xdr:row>
      <xdr:rowOff>0</xdr:rowOff>
    </xdr:from>
    <xdr:to>
      <xdr:col>43</xdr:col>
      <xdr:colOff>518160</xdr:colOff>
      <xdr:row>21</xdr:row>
      <xdr:rowOff>0</xdr:rowOff>
    </xdr:to>
    <xdr:sp macro="" textlink="">
      <xdr:nvSpPr>
        <xdr:cNvPr id="80960" name="Line 64">
          <a:extLst>
            <a:ext uri="{FF2B5EF4-FFF2-40B4-BE49-F238E27FC236}">
              <a16:creationId xmlns:a16="http://schemas.microsoft.com/office/drawing/2014/main" id="{02387A95-F850-4A33-BF3A-68564B6D7575}"/>
            </a:ext>
          </a:extLst>
        </xdr:cNvPr>
        <xdr:cNvSpPr>
          <a:spLocks noChangeShapeType="1"/>
        </xdr:cNvSpPr>
      </xdr:nvSpPr>
      <xdr:spPr bwMode="auto">
        <a:xfrm>
          <a:off x="12542520" y="355092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236220</xdr:colOff>
      <xdr:row>18</xdr:row>
      <xdr:rowOff>160020</xdr:rowOff>
    </xdr:from>
    <xdr:to>
      <xdr:col>43</xdr:col>
      <xdr:colOff>579120</xdr:colOff>
      <xdr:row>18</xdr:row>
      <xdr:rowOff>160020</xdr:rowOff>
    </xdr:to>
    <xdr:sp macro="" textlink="">
      <xdr:nvSpPr>
        <xdr:cNvPr id="80961" name="Line 65">
          <a:extLst>
            <a:ext uri="{FF2B5EF4-FFF2-40B4-BE49-F238E27FC236}">
              <a16:creationId xmlns:a16="http://schemas.microsoft.com/office/drawing/2014/main" id="{7EC6D072-2932-4D6F-B184-7557361717B0}"/>
            </a:ext>
          </a:extLst>
        </xdr:cNvPr>
        <xdr:cNvSpPr>
          <a:spLocks noChangeShapeType="1"/>
        </xdr:cNvSpPr>
      </xdr:nvSpPr>
      <xdr:spPr bwMode="auto">
        <a:xfrm>
          <a:off x="12542520" y="320802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320040</xdr:colOff>
      <xdr:row>18</xdr:row>
      <xdr:rowOff>160020</xdr:rowOff>
    </xdr:from>
    <xdr:to>
      <xdr:col>43</xdr:col>
      <xdr:colOff>320040</xdr:colOff>
      <xdr:row>21</xdr:row>
      <xdr:rowOff>0</xdr:rowOff>
    </xdr:to>
    <xdr:sp macro="" textlink="">
      <xdr:nvSpPr>
        <xdr:cNvPr id="80962" name="Line 66">
          <a:extLst>
            <a:ext uri="{FF2B5EF4-FFF2-40B4-BE49-F238E27FC236}">
              <a16:creationId xmlns:a16="http://schemas.microsoft.com/office/drawing/2014/main" id="{D6514977-D8C7-4C6E-A85F-2C91AB306E0F}"/>
            </a:ext>
          </a:extLst>
        </xdr:cNvPr>
        <xdr:cNvSpPr>
          <a:spLocks noChangeShapeType="1"/>
        </xdr:cNvSpPr>
      </xdr:nvSpPr>
      <xdr:spPr bwMode="auto">
        <a:xfrm>
          <a:off x="12626340" y="320802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44</xdr:col>
      <xdr:colOff>411480</xdr:colOff>
      <xdr:row>16</xdr:row>
      <xdr:rowOff>45720</xdr:rowOff>
    </xdr:from>
    <xdr:to>
      <xdr:col>44</xdr:col>
      <xdr:colOff>411480</xdr:colOff>
      <xdr:row>18</xdr:row>
      <xdr:rowOff>144780</xdr:rowOff>
    </xdr:to>
    <xdr:sp macro="" textlink="">
      <xdr:nvSpPr>
        <xdr:cNvPr id="80963" name="Line 67">
          <a:extLst>
            <a:ext uri="{FF2B5EF4-FFF2-40B4-BE49-F238E27FC236}">
              <a16:creationId xmlns:a16="http://schemas.microsoft.com/office/drawing/2014/main" id="{427BE79B-6E95-4D2E-AC31-81753F7F0296}"/>
            </a:ext>
          </a:extLst>
        </xdr:cNvPr>
        <xdr:cNvSpPr>
          <a:spLocks noChangeShapeType="1"/>
        </xdr:cNvSpPr>
      </xdr:nvSpPr>
      <xdr:spPr bwMode="auto">
        <a:xfrm>
          <a:off x="13342620" y="2758440"/>
          <a:ext cx="0" cy="434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44</xdr:col>
      <xdr:colOff>76200</xdr:colOff>
      <xdr:row>24</xdr:row>
      <xdr:rowOff>0</xdr:rowOff>
    </xdr:from>
    <xdr:to>
      <xdr:col>45</xdr:col>
      <xdr:colOff>137160</xdr:colOff>
      <xdr:row>25</xdr:row>
      <xdr:rowOff>60960</xdr:rowOff>
    </xdr:to>
    <xdr:sp macro="" textlink="">
      <xdr:nvSpPr>
        <xdr:cNvPr id="80964" name="Text Box 68">
          <a:extLst>
            <a:ext uri="{FF2B5EF4-FFF2-40B4-BE49-F238E27FC236}">
              <a16:creationId xmlns:a16="http://schemas.microsoft.com/office/drawing/2014/main" id="{E710519F-A2E4-491E-8E7A-6EC70168A098}"/>
            </a:ext>
          </a:extLst>
        </xdr:cNvPr>
        <xdr:cNvSpPr txBox="1">
          <a:spLocks noChangeArrowheads="1"/>
        </xdr:cNvSpPr>
      </xdr:nvSpPr>
      <xdr:spPr bwMode="auto">
        <a:xfrm>
          <a:off x="13007340" y="4053840"/>
          <a:ext cx="685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Elevation</a:t>
          </a:r>
        </a:p>
      </xdr:txBody>
    </xdr:sp>
    <xdr:clientData/>
  </xdr:twoCellAnchor>
  <xdr:twoCellAnchor>
    <xdr:from>
      <xdr:col>44</xdr:col>
      <xdr:colOff>236220</xdr:colOff>
      <xdr:row>14</xdr:row>
      <xdr:rowOff>0</xdr:rowOff>
    </xdr:from>
    <xdr:to>
      <xdr:col>45</xdr:col>
      <xdr:colOff>7620</xdr:colOff>
      <xdr:row>15</xdr:row>
      <xdr:rowOff>38100</xdr:rowOff>
    </xdr:to>
    <xdr:sp macro="" textlink="">
      <xdr:nvSpPr>
        <xdr:cNvPr id="80965" name="Text Box 69">
          <a:extLst>
            <a:ext uri="{FF2B5EF4-FFF2-40B4-BE49-F238E27FC236}">
              <a16:creationId xmlns:a16="http://schemas.microsoft.com/office/drawing/2014/main" id="{5F29422A-1151-4165-8C93-E4A059AD199F}"/>
            </a:ext>
          </a:extLst>
        </xdr:cNvPr>
        <xdr:cNvSpPr txBox="1">
          <a:spLocks noChangeArrowheads="1"/>
        </xdr:cNvSpPr>
      </xdr:nvSpPr>
      <xdr:spPr bwMode="auto">
        <a:xfrm>
          <a:off x="13167360" y="2377440"/>
          <a:ext cx="3962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Plan</a:t>
          </a:r>
        </a:p>
      </xdr:txBody>
    </xdr:sp>
    <xdr:clientData/>
  </xdr:twoCellAnchor>
  <xdr:twoCellAnchor>
    <xdr:from>
      <xdr:col>43</xdr:col>
      <xdr:colOff>556260</xdr:colOff>
      <xdr:row>11</xdr:row>
      <xdr:rowOff>129540</xdr:rowOff>
    </xdr:from>
    <xdr:to>
      <xdr:col>44</xdr:col>
      <xdr:colOff>76200</xdr:colOff>
      <xdr:row>12</xdr:row>
      <xdr:rowOff>106680</xdr:rowOff>
    </xdr:to>
    <xdr:sp macro="" textlink="">
      <xdr:nvSpPr>
        <xdr:cNvPr id="80966" name="Oval 70">
          <a:extLst>
            <a:ext uri="{FF2B5EF4-FFF2-40B4-BE49-F238E27FC236}">
              <a16:creationId xmlns:a16="http://schemas.microsoft.com/office/drawing/2014/main" id="{EF01D56B-A8C3-4D92-B67C-341A6B3EF30F}"/>
            </a:ext>
          </a:extLst>
        </xdr:cNvPr>
        <xdr:cNvSpPr>
          <a:spLocks noChangeArrowheads="1"/>
        </xdr:cNvSpPr>
      </xdr:nvSpPr>
      <xdr:spPr bwMode="auto">
        <a:xfrm>
          <a:off x="12862560" y="2004060"/>
          <a:ext cx="14478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43</xdr:col>
      <xdr:colOff>556260</xdr:colOff>
      <xdr:row>7</xdr:row>
      <xdr:rowOff>38100</xdr:rowOff>
    </xdr:from>
    <xdr:to>
      <xdr:col>44</xdr:col>
      <xdr:colOff>76200</xdr:colOff>
      <xdr:row>8</xdr:row>
      <xdr:rowOff>22860</xdr:rowOff>
    </xdr:to>
    <xdr:sp macro="" textlink="">
      <xdr:nvSpPr>
        <xdr:cNvPr id="80967" name="Oval 71">
          <a:extLst>
            <a:ext uri="{FF2B5EF4-FFF2-40B4-BE49-F238E27FC236}">
              <a16:creationId xmlns:a16="http://schemas.microsoft.com/office/drawing/2014/main" id="{B788A95E-CE77-464F-9F24-3A5486A3E5E1}"/>
            </a:ext>
          </a:extLst>
        </xdr:cNvPr>
        <xdr:cNvSpPr>
          <a:spLocks noChangeArrowheads="1"/>
        </xdr:cNvSpPr>
      </xdr:nvSpPr>
      <xdr:spPr bwMode="auto">
        <a:xfrm>
          <a:off x="12862560" y="1242060"/>
          <a:ext cx="14478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114300</xdr:colOff>
      <xdr:row>11</xdr:row>
      <xdr:rowOff>129540</xdr:rowOff>
    </xdr:from>
    <xdr:to>
      <xdr:col>45</xdr:col>
      <xdr:colOff>266700</xdr:colOff>
      <xdr:row>12</xdr:row>
      <xdr:rowOff>106680</xdr:rowOff>
    </xdr:to>
    <xdr:sp macro="" textlink="">
      <xdr:nvSpPr>
        <xdr:cNvPr id="80968" name="Oval 72">
          <a:extLst>
            <a:ext uri="{FF2B5EF4-FFF2-40B4-BE49-F238E27FC236}">
              <a16:creationId xmlns:a16="http://schemas.microsoft.com/office/drawing/2014/main" id="{92ED159D-3F05-4273-ADDF-A6F6ECC9C028}"/>
            </a:ext>
          </a:extLst>
        </xdr:cNvPr>
        <xdr:cNvSpPr>
          <a:spLocks noChangeArrowheads="1"/>
        </xdr:cNvSpPr>
      </xdr:nvSpPr>
      <xdr:spPr bwMode="auto">
        <a:xfrm>
          <a:off x="13670280" y="2004060"/>
          <a:ext cx="15240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114300</xdr:colOff>
      <xdr:row>7</xdr:row>
      <xdr:rowOff>38100</xdr:rowOff>
    </xdr:from>
    <xdr:to>
      <xdr:col>45</xdr:col>
      <xdr:colOff>266700</xdr:colOff>
      <xdr:row>8</xdr:row>
      <xdr:rowOff>22860</xdr:rowOff>
    </xdr:to>
    <xdr:sp macro="" textlink="">
      <xdr:nvSpPr>
        <xdr:cNvPr id="80969" name="Oval 73">
          <a:extLst>
            <a:ext uri="{FF2B5EF4-FFF2-40B4-BE49-F238E27FC236}">
              <a16:creationId xmlns:a16="http://schemas.microsoft.com/office/drawing/2014/main" id="{D365B827-97DB-4F19-B3AB-EBFCB120E25F}"/>
            </a:ext>
          </a:extLst>
        </xdr:cNvPr>
        <xdr:cNvSpPr>
          <a:spLocks noChangeArrowheads="1"/>
        </xdr:cNvSpPr>
      </xdr:nvSpPr>
      <xdr:spPr bwMode="auto">
        <a:xfrm>
          <a:off x="13670280" y="124206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251460</xdr:colOff>
      <xdr:row>9</xdr:row>
      <xdr:rowOff>0</xdr:rowOff>
    </xdr:from>
    <xdr:to>
      <xdr:col>44</xdr:col>
      <xdr:colOff>563880</xdr:colOff>
      <xdr:row>10</xdr:row>
      <xdr:rowOff>144780</xdr:rowOff>
    </xdr:to>
    <xdr:sp macro="" textlink="">
      <xdr:nvSpPr>
        <xdr:cNvPr id="80970" name="Rectangle 74">
          <a:extLst>
            <a:ext uri="{FF2B5EF4-FFF2-40B4-BE49-F238E27FC236}">
              <a16:creationId xmlns:a16="http://schemas.microsoft.com/office/drawing/2014/main" id="{C91D447E-6411-4DFA-B3EA-A061AA0EF5DB}"/>
            </a:ext>
          </a:extLst>
        </xdr:cNvPr>
        <xdr:cNvSpPr>
          <a:spLocks noChangeArrowheads="1"/>
        </xdr:cNvSpPr>
      </xdr:nvSpPr>
      <xdr:spPr bwMode="auto">
        <a:xfrm>
          <a:off x="13182600" y="1539240"/>
          <a:ext cx="312420" cy="3124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44</xdr:col>
      <xdr:colOff>411480</xdr:colOff>
      <xdr:row>7</xdr:row>
      <xdr:rowOff>129540</xdr:rowOff>
    </xdr:from>
    <xdr:to>
      <xdr:col>44</xdr:col>
      <xdr:colOff>411480</xdr:colOff>
      <xdr:row>9</xdr:row>
      <xdr:rowOff>137160</xdr:rowOff>
    </xdr:to>
    <xdr:sp macro="" textlink="">
      <xdr:nvSpPr>
        <xdr:cNvPr id="80971" name="Line 75">
          <a:extLst>
            <a:ext uri="{FF2B5EF4-FFF2-40B4-BE49-F238E27FC236}">
              <a16:creationId xmlns:a16="http://schemas.microsoft.com/office/drawing/2014/main" id="{84EE121C-9991-45EB-907E-DEA24426B14E}"/>
            </a:ext>
          </a:extLst>
        </xdr:cNvPr>
        <xdr:cNvSpPr>
          <a:spLocks noChangeShapeType="1"/>
        </xdr:cNvSpPr>
      </xdr:nvSpPr>
      <xdr:spPr bwMode="auto">
        <a:xfrm flipV="1">
          <a:off x="13342620" y="13335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426720</xdr:colOff>
      <xdr:row>9</xdr:row>
      <xdr:rowOff>160020</xdr:rowOff>
    </xdr:from>
    <xdr:to>
      <xdr:col>45</xdr:col>
      <xdr:colOff>175260</xdr:colOff>
      <xdr:row>9</xdr:row>
      <xdr:rowOff>160020</xdr:rowOff>
    </xdr:to>
    <xdr:sp macro="" textlink="">
      <xdr:nvSpPr>
        <xdr:cNvPr id="80972" name="Line 76">
          <a:extLst>
            <a:ext uri="{FF2B5EF4-FFF2-40B4-BE49-F238E27FC236}">
              <a16:creationId xmlns:a16="http://schemas.microsoft.com/office/drawing/2014/main" id="{44C9A015-143F-4E18-B756-5EE8104C7EBB}"/>
            </a:ext>
          </a:extLst>
        </xdr:cNvPr>
        <xdr:cNvSpPr>
          <a:spLocks noChangeShapeType="1"/>
        </xdr:cNvSpPr>
      </xdr:nvSpPr>
      <xdr:spPr bwMode="auto">
        <a:xfrm>
          <a:off x="13357860" y="1699260"/>
          <a:ext cx="373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441960</xdr:colOff>
      <xdr:row>8</xdr:row>
      <xdr:rowOff>68580</xdr:rowOff>
    </xdr:from>
    <xdr:to>
      <xdr:col>44</xdr:col>
      <xdr:colOff>411480</xdr:colOff>
      <xdr:row>8</xdr:row>
      <xdr:rowOff>68580</xdr:rowOff>
    </xdr:to>
    <xdr:sp macro="" textlink="">
      <xdr:nvSpPr>
        <xdr:cNvPr id="80973" name="Line 77">
          <a:extLst>
            <a:ext uri="{FF2B5EF4-FFF2-40B4-BE49-F238E27FC236}">
              <a16:creationId xmlns:a16="http://schemas.microsoft.com/office/drawing/2014/main" id="{713D22AE-35F1-4F39-B3CB-F3933CCB591C}"/>
            </a:ext>
          </a:extLst>
        </xdr:cNvPr>
        <xdr:cNvSpPr>
          <a:spLocks noChangeShapeType="1"/>
        </xdr:cNvSpPr>
      </xdr:nvSpPr>
      <xdr:spPr bwMode="auto">
        <a:xfrm>
          <a:off x="12748260" y="1440180"/>
          <a:ext cx="594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45</xdr:col>
      <xdr:colOff>38100</xdr:colOff>
      <xdr:row>9</xdr:row>
      <xdr:rowOff>160020</xdr:rowOff>
    </xdr:from>
    <xdr:to>
      <xdr:col>45</xdr:col>
      <xdr:colOff>38100</xdr:colOff>
      <xdr:row>13</xdr:row>
      <xdr:rowOff>60960</xdr:rowOff>
    </xdr:to>
    <xdr:sp macro="" textlink="">
      <xdr:nvSpPr>
        <xdr:cNvPr id="80974" name="Line 78">
          <a:extLst>
            <a:ext uri="{FF2B5EF4-FFF2-40B4-BE49-F238E27FC236}">
              <a16:creationId xmlns:a16="http://schemas.microsoft.com/office/drawing/2014/main" id="{916B793F-3A78-4B4A-B5E0-0254CB4940B7}"/>
            </a:ext>
          </a:extLst>
        </xdr:cNvPr>
        <xdr:cNvSpPr>
          <a:spLocks noChangeShapeType="1"/>
        </xdr:cNvSpPr>
      </xdr:nvSpPr>
      <xdr:spPr bwMode="auto">
        <a:xfrm>
          <a:off x="13594080" y="169926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43</xdr:col>
      <xdr:colOff>457200</xdr:colOff>
      <xdr:row>12</xdr:row>
      <xdr:rowOff>38100</xdr:rowOff>
    </xdr:from>
    <xdr:to>
      <xdr:col>44</xdr:col>
      <xdr:colOff>7620</xdr:colOff>
      <xdr:row>13</xdr:row>
      <xdr:rowOff>68580</xdr:rowOff>
    </xdr:to>
    <xdr:sp macro="" textlink="">
      <xdr:nvSpPr>
        <xdr:cNvPr id="80975" name="Text Box 79">
          <a:extLst>
            <a:ext uri="{FF2B5EF4-FFF2-40B4-BE49-F238E27FC236}">
              <a16:creationId xmlns:a16="http://schemas.microsoft.com/office/drawing/2014/main" id="{A2A55499-10BE-4F79-98EF-57EAAAF85783}"/>
            </a:ext>
          </a:extLst>
        </xdr:cNvPr>
        <xdr:cNvSpPr txBox="1">
          <a:spLocks noChangeArrowheads="1"/>
        </xdr:cNvSpPr>
      </xdr:nvSpPr>
      <xdr:spPr bwMode="auto">
        <a:xfrm>
          <a:off x="12763500" y="20802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1</a:t>
          </a:r>
        </a:p>
      </xdr:txBody>
    </xdr:sp>
    <xdr:clientData/>
  </xdr:twoCellAnchor>
  <xdr:twoCellAnchor>
    <xdr:from>
      <xdr:col>45</xdr:col>
      <xdr:colOff>243840</xdr:colOff>
      <xdr:row>12</xdr:row>
      <xdr:rowOff>45720</xdr:rowOff>
    </xdr:from>
    <xdr:to>
      <xdr:col>45</xdr:col>
      <xdr:colOff>419100</xdr:colOff>
      <xdr:row>13</xdr:row>
      <xdr:rowOff>76200</xdr:rowOff>
    </xdr:to>
    <xdr:sp macro="" textlink="">
      <xdr:nvSpPr>
        <xdr:cNvPr id="80976" name="Text Box 80">
          <a:extLst>
            <a:ext uri="{FF2B5EF4-FFF2-40B4-BE49-F238E27FC236}">
              <a16:creationId xmlns:a16="http://schemas.microsoft.com/office/drawing/2014/main" id="{ED8A071B-2844-4E1B-A300-18BB42C4E0A8}"/>
            </a:ext>
          </a:extLst>
        </xdr:cNvPr>
        <xdr:cNvSpPr txBox="1">
          <a:spLocks noChangeArrowheads="1"/>
        </xdr:cNvSpPr>
      </xdr:nvSpPr>
      <xdr:spPr bwMode="auto">
        <a:xfrm>
          <a:off x="13799820" y="20878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2</a:t>
          </a:r>
        </a:p>
      </xdr:txBody>
    </xdr:sp>
    <xdr:clientData/>
  </xdr:twoCellAnchor>
  <xdr:twoCellAnchor>
    <xdr:from>
      <xdr:col>43</xdr:col>
      <xdr:colOff>449580</xdr:colOff>
      <xdr:row>6</xdr:row>
      <xdr:rowOff>91440</xdr:rowOff>
    </xdr:from>
    <xdr:to>
      <xdr:col>44</xdr:col>
      <xdr:colOff>0</xdr:colOff>
      <xdr:row>7</xdr:row>
      <xdr:rowOff>121920</xdr:rowOff>
    </xdr:to>
    <xdr:sp macro="" textlink="">
      <xdr:nvSpPr>
        <xdr:cNvPr id="80977" name="Text Box 81">
          <a:extLst>
            <a:ext uri="{FF2B5EF4-FFF2-40B4-BE49-F238E27FC236}">
              <a16:creationId xmlns:a16="http://schemas.microsoft.com/office/drawing/2014/main" id="{301853DC-A918-4B05-B738-E699455A24C3}"/>
            </a:ext>
          </a:extLst>
        </xdr:cNvPr>
        <xdr:cNvSpPr txBox="1">
          <a:spLocks noChangeArrowheads="1"/>
        </xdr:cNvSpPr>
      </xdr:nvSpPr>
      <xdr:spPr bwMode="auto">
        <a:xfrm>
          <a:off x="12755880" y="11277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3</a:t>
          </a:r>
        </a:p>
      </xdr:txBody>
    </xdr:sp>
    <xdr:clientData/>
  </xdr:twoCellAnchor>
  <xdr:twoCellAnchor>
    <xdr:from>
      <xdr:col>45</xdr:col>
      <xdr:colOff>243840</xdr:colOff>
      <xdr:row>6</xdr:row>
      <xdr:rowOff>99060</xdr:rowOff>
    </xdr:from>
    <xdr:to>
      <xdr:col>45</xdr:col>
      <xdr:colOff>419100</xdr:colOff>
      <xdr:row>7</xdr:row>
      <xdr:rowOff>129540</xdr:rowOff>
    </xdr:to>
    <xdr:sp macro="" textlink="">
      <xdr:nvSpPr>
        <xdr:cNvPr id="80978" name="Text Box 82">
          <a:extLst>
            <a:ext uri="{FF2B5EF4-FFF2-40B4-BE49-F238E27FC236}">
              <a16:creationId xmlns:a16="http://schemas.microsoft.com/office/drawing/2014/main" id="{BC75333C-B27D-4498-8F8D-A019B87C9DB4}"/>
            </a:ext>
          </a:extLst>
        </xdr:cNvPr>
        <xdr:cNvSpPr txBox="1">
          <a:spLocks noChangeArrowheads="1"/>
        </xdr:cNvSpPr>
      </xdr:nvSpPr>
      <xdr:spPr bwMode="auto">
        <a:xfrm>
          <a:off x="13799820" y="11353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4</a:t>
          </a:r>
        </a:p>
      </xdr:txBody>
    </xdr:sp>
    <xdr:clientData/>
  </xdr:twoCellAnchor>
  <xdr:twoCellAnchor>
    <xdr:from>
      <xdr:col>43</xdr:col>
      <xdr:colOff>472440</xdr:colOff>
      <xdr:row>10</xdr:row>
      <xdr:rowOff>30480</xdr:rowOff>
    </xdr:from>
    <xdr:to>
      <xdr:col>44</xdr:col>
      <xdr:colOff>106680</xdr:colOff>
      <xdr:row>11</xdr:row>
      <xdr:rowOff>76200</xdr:rowOff>
    </xdr:to>
    <xdr:sp macro="" textlink="">
      <xdr:nvSpPr>
        <xdr:cNvPr id="80979" name="Text Box 83">
          <a:extLst>
            <a:ext uri="{FF2B5EF4-FFF2-40B4-BE49-F238E27FC236}">
              <a16:creationId xmlns:a16="http://schemas.microsoft.com/office/drawing/2014/main" id="{1FCABCD7-68B4-4E4A-BF1C-B517F91CA0C2}"/>
            </a:ext>
          </a:extLst>
        </xdr:cNvPr>
        <xdr:cNvSpPr txBox="1">
          <a:spLocks noChangeArrowheads="1"/>
        </xdr:cNvSpPr>
      </xdr:nvSpPr>
      <xdr:spPr bwMode="auto">
        <a:xfrm>
          <a:off x="12778740" y="173736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r>
            <a:rPr lang="en-US" sz="800" b="0" i="0" u="none" strike="noStrike" baseline="0%">
              <a:solidFill>
                <a:srgbClr val="0000FF"/>
              </a:solidFill>
              <a:latin typeface="Arial"/>
              <a:cs typeface="Arial"/>
            </a:rPr>
            <a:t>o</a:t>
          </a:r>
        </a:p>
      </xdr:txBody>
    </xdr:sp>
    <xdr:clientData/>
  </xdr:twoCellAnchor>
  <xdr:twoCellAnchor>
    <xdr:from>
      <xdr:col>44</xdr:col>
      <xdr:colOff>167640</xdr:colOff>
      <xdr:row>12</xdr:row>
      <xdr:rowOff>30480</xdr:rowOff>
    </xdr:from>
    <xdr:to>
      <xdr:col>44</xdr:col>
      <xdr:colOff>426720</xdr:colOff>
      <xdr:row>13</xdr:row>
      <xdr:rowOff>76200</xdr:rowOff>
    </xdr:to>
    <xdr:sp macro="" textlink="">
      <xdr:nvSpPr>
        <xdr:cNvPr id="80980" name="Text Box 84">
          <a:extLst>
            <a:ext uri="{FF2B5EF4-FFF2-40B4-BE49-F238E27FC236}">
              <a16:creationId xmlns:a16="http://schemas.microsoft.com/office/drawing/2014/main" id="{D92F84A3-D34D-4552-B8A7-7B58C92DF11E}"/>
            </a:ext>
          </a:extLst>
        </xdr:cNvPr>
        <xdr:cNvSpPr txBox="1">
          <a:spLocks noChangeArrowheads="1"/>
        </xdr:cNvSpPr>
      </xdr:nvSpPr>
      <xdr:spPr bwMode="auto">
        <a:xfrm>
          <a:off x="13098780" y="207264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yo</a:t>
          </a:r>
        </a:p>
      </xdr:txBody>
    </xdr:sp>
    <xdr:clientData/>
  </xdr:twoCellAnchor>
  <xdr:twoCellAnchor>
    <xdr:from>
      <xdr:col>44</xdr:col>
      <xdr:colOff>106680</xdr:colOff>
      <xdr:row>7</xdr:row>
      <xdr:rowOff>76200</xdr:rowOff>
    </xdr:from>
    <xdr:to>
      <xdr:col>44</xdr:col>
      <xdr:colOff>373380</xdr:colOff>
      <xdr:row>8</xdr:row>
      <xdr:rowOff>129540</xdr:rowOff>
    </xdr:to>
    <xdr:sp macro="" textlink="">
      <xdr:nvSpPr>
        <xdr:cNvPr id="80981" name="Text Box 85">
          <a:extLst>
            <a:ext uri="{FF2B5EF4-FFF2-40B4-BE49-F238E27FC236}">
              <a16:creationId xmlns:a16="http://schemas.microsoft.com/office/drawing/2014/main" id="{BF80E2F2-40D2-43B4-9A71-1C7C97803EA4}"/>
            </a:ext>
          </a:extLst>
        </xdr:cNvPr>
        <xdr:cNvSpPr txBox="1">
          <a:spLocks noChangeArrowheads="1"/>
        </xdr:cNvSpPr>
      </xdr:nvSpPr>
      <xdr:spPr bwMode="auto">
        <a:xfrm>
          <a:off x="13037820" y="128016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p>
      </xdr:txBody>
    </xdr:sp>
    <xdr:clientData/>
  </xdr:twoCellAnchor>
  <xdr:twoCellAnchor>
    <xdr:from>
      <xdr:col>45</xdr:col>
      <xdr:colOff>45720</xdr:colOff>
      <xdr:row>10</xdr:row>
      <xdr:rowOff>137160</xdr:rowOff>
    </xdr:from>
    <xdr:to>
      <xdr:col>45</xdr:col>
      <xdr:colOff>312420</xdr:colOff>
      <xdr:row>12</xdr:row>
      <xdr:rowOff>22860</xdr:rowOff>
    </xdr:to>
    <xdr:sp macro="" textlink="">
      <xdr:nvSpPr>
        <xdr:cNvPr id="80982" name="Text Box 86">
          <a:extLst>
            <a:ext uri="{FF2B5EF4-FFF2-40B4-BE49-F238E27FC236}">
              <a16:creationId xmlns:a16="http://schemas.microsoft.com/office/drawing/2014/main" id="{888FE9EA-2382-4F2A-8FED-1903733D0C4D}"/>
            </a:ext>
          </a:extLst>
        </xdr:cNvPr>
        <xdr:cNvSpPr txBox="1">
          <a:spLocks noChangeArrowheads="1"/>
        </xdr:cNvSpPr>
      </xdr:nvSpPr>
      <xdr:spPr bwMode="auto">
        <a:xfrm>
          <a:off x="13601700" y="184404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Y</a:t>
          </a:r>
        </a:p>
      </xdr:txBody>
    </xdr:sp>
    <xdr:clientData/>
  </xdr:twoCellAnchor>
  <xdr:twoCellAnchor>
    <xdr:from>
      <xdr:col>45</xdr:col>
      <xdr:colOff>548640</xdr:colOff>
      <xdr:row>12</xdr:row>
      <xdr:rowOff>144780</xdr:rowOff>
    </xdr:from>
    <xdr:to>
      <xdr:col>46</xdr:col>
      <xdr:colOff>182880</xdr:colOff>
      <xdr:row>14</xdr:row>
      <xdr:rowOff>30480</xdr:rowOff>
    </xdr:to>
    <xdr:sp macro="" textlink="">
      <xdr:nvSpPr>
        <xdr:cNvPr id="80983" name="Text Box 87">
          <a:extLst>
            <a:ext uri="{FF2B5EF4-FFF2-40B4-BE49-F238E27FC236}">
              <a16:creationId xmlns:a16="http://schemas.microsoft.com/office/drawing/2014/main" id="{C73ECDDF-36F1-4669-858E-F9FAFE4E1574}"/>
            </a:ext>
          </a:extLst>
        </xdr:cNvPr>
        <xdr:cNvSpPr txBox="1">
          <a:spLocks noChangeArrowheads="1"/>
        </xdr:cNvSpPr>
      </xdr:nvSpPr>
      <xdr:spPr bwMode="auto">
        <a:xfrm>
          <a:off x="14104620" y="2186940"/>
          <a:ext cx="2590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+X</a:t>
          </a:r>
        </a:p>
      </xdr:txBody>
    </xdr:sp>
    <xdr:clientData/>
  </xdr:twoCellAnchor>
  <xdr:twoCellAnchor>
    <xdr:from>
      <xdr:col>43</xdr:col>
      <xdr:colOff>312420</xdr:colOff>
      <xdr:row>4</xdr:row>
      <xdr:rowOff>99060</xdr:rowOff>
    </xdr:from>
    <xdr:to>
      <xdr:col>43</xdr:col>
      <xdr:colOff>579120</xdr:colOff>
      <xdr:row>5</xdr:row>
      <xdr:rowOff>144780</xdr:rowOff>
    </xdr:to>
    <xdr:sp macro="" textlink="">
      <xdr:nvSpPr>
        <xdr:cNvPr id="80984" name="Text Box 88">
          <a:extLst>
            <a:ext uri="{FF2B5EF4-FFF2-40B4-BE49-F238E27FC236}">
              <a16:creationId xmlns:a16="http://schemas.microsoft.com/office/drawing/2014/main" id="{F75B4DDA-BA03-4B98-B5EF-E8607877E67E}"/>
            </a:ext>
          </a:extLst>
        </xdr:cNvPr>
        <xdr:cNvSpPr txBox="1">
          <a:spLocks noChangeArrowheads="1"/>
        </xdr:cNvSpPr>
      </xdr:nvSpPr>
      <xdr:spPr bwMode="auto">
        <a:xfrm>
          <a:off x="12618720" y="800100"/>
          <a:ext cx="2667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+Y</a:t>
          </a:r>
        </a:p>
      </xdr:txBody>
    </xdr:sp>
    <xdr:clientData/>
  </xdr:twoCellAnchor>
  <xdr:twoCellAnchor>
    <xdr:from>
      <xdr:col>43</xdr:col>
      <xdr:colOff>129540</xdr:colOff>
      <xdr:row>13</xdr:row>
      <xdr:rowOff>99060</xdr:rowOff>
    </xdr:from>
    <xdr:to>
      <xdr:col>43</xdr:col>
      <xdr:colOff>388620</xdr:colOff>
      <xdr:row>14</xdr:row>
      <xdr:rowOff>144780</xdr:rowOff>
    </xdr:to>
    <xdr:sp macro="" textlink="">
      <xdr:nvSpPr>
        <xdr:cNvPr id="80985" name="Text Box 89">
          <a:extLst>
            <a:ext uri="{FF2B5EF4-FFF2-40B4-BE49-F238E27FC236}">
              <a16:creationId xmlns:a16="http://schemas.microsoft.com/office/drawing/2014/main" id="{38FC1097-249C-4096-9D7D-D58CCD0B6353}"/>
            </a:ext>
          </a:extLst>
        </xdr:cNvPr>
        <xdr:cNvSpPr txBox="1">
          <a:spLocks noChangeArrowheads="1"/>
        </xdr:cNvSpPr>
      </xdr:nvSpPr>
      <xdr:spPr bwMode="auto">
        <a:xfrm>
          <a:off x="12435840" y="230886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+Z</a:t>
          </a:r>
        </a:p>
      </xdr:txBody>
    </xdr:sp>
    <xdr:clientData/>
  </xdr:twoCellAnchor>
  <xdr:twoCellAnchor>
    <xdr:from>
      <xdr:col>44</xdr:col>
      <xdr:colOff>419100</xdr:colOff>
      <xdr:row>15</xdr:row>
      <xdr:rowOff>144780</xdr:rowOff>
    </xdr:from>
    <xdr:to>
      <xdr:col>45</xdr:col>
      <xdr:colOff>160020</xdr:colOff>
      <xdr:row>17</xdr:row>
      <xdr:rowOff>30480</xdr:rowOff>
    </xdr:to>
    <xdr:sp macro="" textlink="">
      <xdr:nvSpPr>
        <xdr:cNvPr id="80986" name="Text Box 90">
          <a:extLst>
            <a:ext uri="{FF2B5EF4-FFF2-40B4-BE49-F238E27FC236}">
              <a16:creationId xmlns:a16="http://schemas.microsoft.com/office/drawing/2014/main" id="{C83182D5-B22D-4C03-B01A-27CB315BDFE3}"/>
            </a:ext>
          </a:extLst>
        </xdr:cNvPr>
        <xdr:cNvSpPr txBox="1">
          <a:spLocks noChangeArrowheads="1"/>
        </xdr:cNvSpPr>
      </xdr:nvSpPr>
      <xdr:spPr bwMode="auto">
        <a:xfrm>
          <a:off x="13350240" y="2689860"/>
          <a:ext cx="3657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-P</a:t>
          </a:r>
          <a:r>
            <a:rPr lang="en-US" sz="800" b="1" i="0" u="none" strike="noStrike" baseline="0%">
              <a:solidFill>
                <a:srgbClr val="0000FF"/>
              </a:solidFill>
              <a:latin typeface="Arial"/>
              <a:cs typeface="Arial"/>
            </a:rPr>
            <a:t>z</a:t>
          </a:r>
        </a:p>
      </xdr:txBody>
    </xdr:sp>
    <xdr:clientData/>
  </xdr:twoCellAnchor>
  <xdr:twoCellAnchor>
    <xdr:from>
      <xdr:col>44</xdr:col>
      <xdr:colOff>548640</xdr:colOff>
      <xdr:row>18</xdr:row>
      <xdr:rowOff>0</xdr:rowOff>
    </xdr:from>
    <xdr:to>
      <xdr:col>45</xdr:col>
      <xdr:colOff>289560</xdr:colOff>
      <xdr:row>19</xdr:row>
      <xdr:rowOff>76200</xdr:rowOff>
    </xdr:to>
    <xdr:sp macro="" textlink="">
      <xdr:nvSpPr>
        <xdr:cNvPr id="80987" name="Text Box 91">
          <a:extLst>
            <a:ext uri="{FF2B5EF4-FFF2-40B4-BE49-F238E27FC236}">
              <a16:creationId xmlns:a16="http://schemas.microsoft.com/office/drawing/2014/main" id="{944282A4-B631-40AC-A3AF-A9EB538B54F7}"/>
            </a:ext>
          </a:extLst>
        </xdr:cNvPr>
        <xdr:cNvSpPr txBox="1">
          <a:spLocks noChangeArrowheads="1"/>
        </xdr:cNvSpPr>
      </xdr:nvSpPr>
      <xdr:spPr bwMode="auto">
        <a:xfrm>
          <a:off x="13479780" y="3048000"/>
          <a:ext cx="36576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+M</a:t>
          </a:r>
          <a:r>
            <a:rPr lang="en-US" sz="800" b="1" i="0" u="none" strike="noStrike" baseline="0%">
              <a:solidFill>
                <a:srgbClr val="0000FF"/>
              </a:solidFill>
              <a:latin typeface="Arial"/>
              <a:cs typeface="Arial"/>
            </a:rPr>
            <a:t>y</a:t>
          </a:r>
        </a:p>
      </xdr:txBody>
    </xdr:sp>
    <xdr:clientData/>
  </xdr:twoCellAnchor>
  <xdr:twoCellAnchor>
    <xdr:from>
      <xdr:col>43</xdr:col>
      <xdr:colOff>563880</xdr:colOff>
      <xdr:row>17</xdr:row>
      <xdr:rowOff>144780</xdr:rowOff>
    </xdr:from>
    <xdr:to>
      <xdr:col>44</xdr:col>
      <xdr:colOff>312420</xdr:colOff>
      <xdr:row>19</xdr:row>
      <xdr:rowOff>60960</xdr:rowOff>
    </xdr:to>
    <xdr:sp macro="" textlink="">
      <xdr:nvSpPr>
        <xdr:cNvPr id="80988" name="Text Box 92">
          <a:extLst>
            <a:ext uri="{FF2B5EF4-FFF2-40B4-BE49-F238E27FC236}">
              <a16:creationId xmlns:a16="http://schemas.microsoft.com/office/drawing/2014/main" id="{A28C1810-B4A1-4786-943F-9C8B7683B5BB}"/>
            </a:ext>
          </a:extLst>
        </xdr:cNvPr>
        <xdr:cNvSpPr txBox="1">
          <a:spLocks noChangeArrowheads="1"/>
        </xdr:cNvSpPr>
      </xdr:nvSpPr>
      <xdr:spPr bwMode="auto">
        <a:xfrm>
          <a:off x="12870180" y="3025140"/>
          <a:ext cx="373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+H</a:t>
          </a:r>
          <a:r>
            <a:rPr lang="en-US" sz="800" b="1" i="0" u="none" strike="noStrike" baseline="0%">
              <a:solidFill>
                <a:srgbClr val="0000FF"/>
              </a:solidFill>
              <a:latin typeface="Arial"/>
              <a:cs typeface="Arial"/>
            </a:rPr>
            <a:t>x</a:t>
          </a:r>
        </a:p>
      </xdr:txBody>
    </xdr:sp>
    <xdr:clientData/>
  </xdr:twoCellAnchor>
  <xdr:twoCellAnchor>
    <xdr:from>
      <xdr:col>43</xdr:col>
      <xdr:colOff>205740</xdr:colOff>
      <xdr:row>19</xdr:row>
      <xdr:rowOff>76200</xdr:rowOff>
    </xdr:from>
    <xdr:to>
      <xdr:col>43</xdr:col>
      <xdr:colOff>381000</xdr:colOff>
      <xdr:row>20</xdr:row>
      <xdr:rowOff>106680</xdr:rowOff>
    </xdr:to>
    <xdr:sp macro="" textlink="">
      <xdr:nvSpPr>
        <xdr:cNvPr id="80989" name="Text Box 93">
          <a:extLst>
            <a:ext uri="{FF2B5EF4-FFF2-40B4-BE49-F238E27FC236}">
              <a16:creationId xmlns:a16="http://schemas.microsoft.com/office/drawing/2014/main" id="{25CB04A7-FBDE-4E6C-AB98-3CAA538C5B37}"/>
            </a:ext>
          </a:extLst>
        </xdr:cNvPr>
        <xdr:cNvSpPr txBox="1">
          <a:spLocks noChangeArrowheads="1"/>
        </xdr:cNvSpPr>
      </xdr:nvSpPr>
      <xdr:spPr bwMode="auto">
        <a:xfrm>
          <a:off x="12512040" y="329184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h</a:t>
          </a:r>
        </a:p>
      </xdr:txBody>
    </xdr:sp>
    <xdr:clientData/>
  </xdr:twoCellAnchor>
  <xdr:twoCellAnchor>
    <xdr:from>
      <xdr:col>44</xdr:col>
      <xdr:colOff>251460</xdr:colOff>
      <xdr:row>17</xdr:row>
      <xdr:rowOff>22860</xdr:rowOff>
    </xdr:from>
    <xdr:to>
      <xdr:col>44</xdr:col>
      <xdr:colOff>563880</xdr:colOff>
      <xdr:row>19</xdr:row>
      <xdr:rowOff>0</xdr:rowOff>
    </xdr:to>
    <xdr:sp macro="" textlink="">
      <xdr:nvSpPr>
        <xdr:cNvPr id="80990" name="Arc 94">
          <a:extLst>
            <a:ext uri="{FF2B5EF4-FFF2-40B4-BE49-F238E27FC236}">
              <a16:creationId xmlns:a16="http://schemas.microsoft.com/office/drawing/2014/main" id="{8D126527-BAC8-4A89-A05F-AE429A2A745F}"/>
            </a:ext>
          </a:extLst>
        </xdr:cNvPr>
        <xdr:cNvSpPr>
          <a:spLocks/>
        </xdr:cNvSpPr>
      </xdr:nvSpPr>
      <xdr:spPr bwMode="auto">
        <a:xfrm rot="18900000">
          <a:off x="13182600" y="2903220"/>
          <a:ext cx="312420" cy="312420"/>
        </a:xfrm>
        <a:custGeom>
          <a:avLst/>
          <a:gdLst>
            <a:gd name="G0" fmla="+- 10424 0 0"/>
            <a:gd name="G1" fmla="+- 21600 0 0"/>
            <a:gd name="G2" fmla="+- 21600 0 0"/>
            <a:gd name="T0" fmla="*/ 0 w 32024"/>
            <a:gd name="T1" fmla="*/ 2682 h 33135"/>
            <a:gd name="T2" fmla="*/ 28686 w 32024"/>
            <a:gd name="T3" fmla="*/ 33135 h 33135"/>
            <a:gd name="T4" fmla="*/ 10424 w 32024"/>
            <a:gd name="T5" fmla="*/ 21600 h 33135"/>
          </a:gdLst>
          <a:ahLst/>
          <a:cxnLst>
            <a:cxn ang="0">
              <a:pos x="T0" y="T1"/>
            </a:cxn>
            <a:cxn ang="0">
              <a:pos x="T2" y="T3"/>
            </a:cxn>
            <a:cxn ang="0">
              <a:pos x="T4" y="T5"/>
            </a:cxn>
          </a:cxnLst>
          <a:rect l="0" t="0" r="r" b="b"/>
          <a:pathLst>
            <a:path w="32024" h="33135" fill="none" extrusionOk="0">
              <a:moveTo>
                <a:pt x="-1" y="2681"/>
              </a:moveTo>
              <a:cubicBezTo>
                <a:pt x="3192" y="922"/>
                <a:pt x="6778" y="0"/>
                <a:pt x="10424" y="0"/>
              </a:cubicBezTo>
              <a:cubicBezTo>
                <a:pt x="22353" y="0"/>
                <a:pt x="32024" y="9670"/>
                <a:pt x="32024" y="21600"/>
              </a:cubicBezTo>
              <a:cubicBezTo>
                <a:pt x="32024" y="25683"/>
                <a:pt x="30866" y="29682"/>
                <a:pt x="28686" y="33135"/>
              </a:cubicBezTo>
            </a:path>
            <a:path w="32024" h="33135" stroke="0" extrusionOk="0">
              <a:moveTo>
                <a:pt x="-1" y="2681"/>
              </a:moveTo>
              <a:cubicBezTo>
                <a:pt x="3192" y="922"/>
                <a:pt x="6778" y="0"/>
                <a:pt x="10424" y="0"/>
              </a:cubicBezTo>
              <a:cubicBezTo>
                <a:pt x="22353" y="0"/>
                <a:pt x="32024" y="9670"/>
                <a:pt x="32024" y="21600"/>
              </a:cubicBezTo>
              <a:cubicBezTo>
                <a:pt x="32024" y="25683"/>
                <a:pt x="30866" y="29682"/>
                <a:pt x="28686" y="33135"/>
              </a:cubicBezTo>
              <a:lnTo>
                <a:pt x="10424"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43</xdr:col>
      <xdr:colOff>320040</xdr:colOff>
      <xdr:row>12</xdr:row>
      <xdr:rowOff>99060</xdr:rowOff>
    </xdr:from>
    <xdr:to>
      <xdr:col>43</xdr:col>
      <xdr:colOff>495300</xdr:colOff>
      <xdr:row>13</xdr:row>
      <xdr:rowOff>129540</xdr:rowOff>
    </xdr:to>
    <xdr:sp macro="" textlink="">
      <xdr:nvSpPr>
        <xdr:cNvPr id="80991" name="Text Box 95">
          <a:extLst>
            <a:ext uri="{FF2B5EF4-FFF2-40B4-BE49-F238E27FC236}">
              <a16:creationId xmlns:a16="http://schemas.microsoft.com/office/drawing/2014/main" id="{3A216401-67AC-40E1-9098-A4B2F83F37DC}"/>
            </a:ext>
          </a:extLst>
        </xdr:cNvPr>
        <xdr:cNvSpPr txBox="1">
          <a:spLocks noChangeArrowheads="1"/>
        </xdr:cNvSpPr>
      </xdr:nvSpPr>
      <xdr:spPr bwMode="auto">
        <a:xfrm>
          <a:off x="12626340" y="214122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0</a:t>
          </a:r>
        </a:p>
      </xdr:txBody>
    </xdr:sp>
    <xdr:clientData/>
  </xdr:twoCellAnchor>
  <xdr:twoCellAnchor>
    <xdr:from>
      <xdr:col>44</xdr:col>
      <xdr:colOff>7620</xdr:colOff>
      <xdr:row>10</xdr:row>
      <xdr:rowOff>160020</xdr:rowOff>
    </xdr:from>
    <xdr:to>
      <xdr:col>44</xdr:col>
      <xdr:colOff>7620</xdr:colOff>
      <xdr:row>12</xdr:row>
      <xdr:rowOff>7620</xdr:rowOff>
    </xdr:to>
    <xdr:sp macro="" textlink="">
      <xdr:nvSpPr>
        <xdr:cNvPr id="80992" name="Line 96">
          <a:extLst>
            <a:ext uri="{FF2B5EF4-FFF2-40B4-BE49-F238E27FC236}">
              <a16:creationId xmlns:a16="http://schemas.microsoft.com/office/drawing/2014/main" id="{38C9454F-1750-49DB-A5A9-0A16A61C0034}"/>
            </a:ext>
          </a:extLst>
        </xdr:cNvPr>
        <xdr:cNvSpPr>
          <a:spLocks noChangeShapeType="1"/>
        </xdr:cNvSpPr>
      </xdr:nvSpPr>
      <xdr:spPr bwMode="auto">
        <a:xfrm flipV="1">
          <a:off x="12938760" y="1866900"/>
          <a:ext cx="0" cy="182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30480</xdr:colOff>
      <xdr:row>12</xdr:row>
      <xdr:rowOff>30480</xdr:rowOff>
    </xdr:from>
    <xdr:to>
      <xdr:col>44</xdr:col>
      <xdr:colOff>198120</xdr:colOff>
      <xdr:row>12</xdr:row>
      <xdr:rowOff>30480</xdr:rowOff>
    </xdr:to>
    <xdr:sp macro="" textlink="">
      <xdr:nvSpPr>
        <xdr:cNvPr id="80993" name="Line 97">
          <a:extLst>
            <a:ext uri="{FF2B5EF4-FFF2-40B4-BE49-F238E27FC236}">
              <a16:creationId xmlns:a16="http://schemas.microsoft.com/office/drawing/2014/main" id="{E3BD3941-D85D-4F54-8B56-C5AF1BEC9E9C}"/>
            </a:ext>
          </a:extLst>
        </xdr:cNvPr>
        <xdr:cNvSpPr>
          <a:spLocks noChangeShapeType="1"/>
        </xdr:cNvSpPr>
      </xdr:nvSpPr>
      <xdr:spPr bwMode="auto">
        <a:xfrm>
          <a:off x="12961620" y="2072640"/>
          <a:ext cx="167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441960</xdr:colOff>
      <xdr:row>11</xdr:row>
      <xdr:rowOff>38100</xdr:rowOff>
    </xdr:from>
    <xdr:to>
      <xdr:col>44</xdr:col>
      <xdr:colOff>7620</xdr:colOff>
      <xdr:row>11</xdr:row>
      <xdr:rowOff>38100</xdr:rowOff>
    </xdr:to>
    <xdr:sp macro="" textlink="">
      <xdr:nvSpPr>
        <xdr:cNvPr id="80994" name="Line 98">
          <a:extLst>
            <a:ext uri="{FF2B5EF4-FFF2-40B4-BE49-F238E27FC236}">
              <a16:creationId xmlns:a16="http://schemas.microsoft.com/office/drawing/2014/main" id="{7827D75D-1763-4557-A247-9E391E6F8EEE}"/>
            </a:ext>
          </a:extLst>
        </xdr:cNvPr>
        <xdr:cNvSpPr>
          <a:spLocks noChangeShapeType="1"/>
        </xdr:cNvSpPr>
      </xdr:nvSpPr>
      <xdr:spPr bwMode="auto">
        <a:xfrm>
          <a:off x="12748260" y="191262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44</xdr:col>
      <xdr:colOff>144780</xdr:colOff>
      <xdr:row>12</xdr:row>
      <xdr:rowOff>30480</xdr:rowOff>
    </xdr:from>
    <xdr:to>
      <xdr:col>44</xdr:col>
      <xdr:colOff>144780</xdr:colOff>
      <xdr:row>13</xdr:row>
      <xdr:rowOff>60960</xdr:rowOff>
    </xdr:to>
    <xdr:sp macro="" textlink="">
      <xdr:nvSpPr>
        <xdr:cNvPr id="80995" name="Line 99">
          <a:extLst>
            <a:ext uri="{FF2B5EF4-FFF2-40B4-BE49-F238E27FC236}">
              <a16:creationId xmlns:a16="http://schemas.microsoft.com/office/drawing/2014/main" id="{C3CC1A6B-CD3B-4B25-BD84-282AF7DFD573}"/>
            </a:ext>
          </a:extLst>
        </xdr:cNvPr>
        <xdr:cNvSpPr>
          <a:spLocks noChangeShapeType="1"/>
        </xdr:cNvSpPr>
      </xdr:nvSpPr>
      <xdr:spPr bwMode="auto">
        <a:xfrm>
          <a:off x="13075920" y="2072640"/>
          <a:ext cx="0" cy="198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44</xdr:col>
      <xdr:colOff>251460</xdr:colOff>
      <xdr:row>21</xdr:row>
      <xdr:rowOff>121920</xdr:rowOff>
    </xdr:from>
    <xdr:to>
      <xdr:col>44</xdr:col>
      <xdr:colOff>601980</xdr:colOff>
      <xdr:row>22</xdr:row>
      <xdr:rowOff>160020</xdr:rowOff>
    </xdr:to>
    <xdr:sp macro="" textlink="">
      <xdr:nvSpPr>
        <xdr:cNvPr id="80996" name="Text Box 100">
          <a:extLst>
            <a:ext uri="{FF2B5EF4-FFF2-40B4-BE49-F238E27FC236}">
              <a16:creationId xmlns:a16="http://schemas.microsoft.com/office/drawing/2014/main" id="{B464E938-8EA9-4F74-825B-98C5AEC957F5}"/>
            </a:ext>
          </a:extLst>
        </xdr:cNvPr>
        <xdr:cNvSpPr txBox="1">
          <a:spLocks noChangeArrowheads="1"/>
        </xdr:cNvSpPr>
      </xdr:nvSpPr>
      <xdr:spPr bwMode="auto">
        <a:xfrm>
          <a:off x="13182600" y="3672840"/>
          <a:ext cx="35052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Piles</a:t>
          </a:r>
        </a:p>
      </xdr:txBody>
    </xdr:sp>
    <xdr:clientData/>
  </xdr:twoCellAnchor>
  <xdr:twoCellAnchor>
    <xdr:from>
      <xdr:col>44</xdr:col>
      <xdr:colOff>76200</xdr:colOff>
      <xdr:row>22</xdr:row>
      <xdr:rowOff>30480</xdr:rowOff>
    </xdr:from>
    <xdr:to>
      <xdr:col>44</xdr:col>
      <xdr:colOff>213360</xdr:colOff>
      <xdr:row>22</xdr:row>
      <xdr:rowOff>30480</xdr:rowOff>
    </xdr:to>
    <xdr:sp macro="" textlink="">
      <xdr:nvSpPr>
        <xdr:cNvPr id="80997" name="Line 101">
          <a:extLst>
            <a:ext uri="{FF2B5EF4-FFF2-40B4-BE49-F238E27FC236}">
              <a16:creationId xmlns:a16="http://schemas.microsoft.com/office/drawing/2014/main" id="{6B37ECA8-B5EF-47CA-B102-661149199C2F}"/>
            </a:ext>
          </a:extLst>
        </xdr:cNvPr>
        <xdr:cNvSpPr>
          <a:spLocks noChangeShapeType="1"/>
        </xdr:cNvSpPr>
      </xdr:nvSpPr>
      <xdr:spPr bwMode="auto">
        <a:xfrm flipH="1">
          <a:off x="1300734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sm"/>
        </a:ln>
        <a:extLst>
          <a:ext uri="{909E8E84-426E-40DD-AFC4-6F175D3DCCD1}">
            <a14:hiddenFill xmlns:a14="http://schemas.microsoft.com/office/drawing/2010/main">
              <a:noFill/>
            </a14:hiddenFill>
          </a:ext>
        </a:extLst>
      </xdr:spPr>
    </xdr:sp>
    <xdr:clientData/>
  </xdr:twoCellAnchor>
  <xdr:twoCellAnchor>
    <xdr:from>
      <xdr:col>44</xdr:col>
      <xdr:colOff>601980</xdr:colOff>
      <xdr:row>22</xdr:row>
      <xdr:rowOff>30480</xdr:rowOff>
    </xdr:from>
    <xdr:to>
      <xdr:col>45</xdr:col>
      <xdr:colOff>114300</xdr:colOff>
      <xdr:row>22</xdr:row>
      <xdr:rowOff>30480</xdr:rowOff>
    </xdr:to>
    <xdr:sp macro="" textlink="">
      <xdr:nvSpPr>
        <xdr:cNvPr id="80998" name="Line 102">
          <a:extLst>
            <a:ext uri="{FF2B5EF4-FFF2-40B4-BE49-F238E27FC236}">
              <a16:creationId xmlns:a16="http://schemas.microsoft.com/office/drawing/2014/main" id="{F0471966-AEB1-488D-B50A-E5436E3ECA2D}"/>
            </a:ext>
          </a:extLst>
        </xdr:cNvPr>
        <xdr:cNvSpPr>
          <a:spLocks noChangeShapeType="1"/>
        </xdr:cNvSpPr>
      </xdr:nvSpPr>
      <xdr:spPr bwMode="auto">
        <a:xfrm>
          <a:off x="1353312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sm"/>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v="urn:schemas-microsoft-com:vml" Requires="v"/>
    <mc:Fallback>
      <xdr:twoCellAnchor editAs="absolute">
        <xdr:from>
          <xdr:col>44</xdr:col>
          <xdr:colOff>45720</xdr:colOff>
          <xdr:row>0</xdr:row>
          <xdr:rowOff>38100</xdr:rowOff>
        </xdr:from>
        <xdr:to>
          <xdr:col>47</xdr:col>
          <xdr:colOff>243840</xdr:colOff>
          <xdr:row>2</xdr:row>
          <xdr:rowOff>30480</xdr:rowOff>
        </xdr:to>
        <xdr:sp macro="" textlink="">
          <xdr:nvSpPr>
            <xdr:cNvPr id="80897" name="Comment 1" hidden="1">
              <a:extLst>
                <a:ext uri="{FF2B5EF4-FFF2-40B4-BE49-F238E27FC236}">
                  <a16:creationId xmlns:a16="http://schemas.microsoft.com/office/drawing/2014/main" id="{504FA776-CCC3-4B3E-BAB2-B00E42AC691B}"/>
                </a:ext>
              </a:extLst>
            </xdr:cNvPr>
            <xdr:cNvSpPr txBox="1">
              <a:spLocks noChangeArrowheads="1"/>
            </xdr:cNvSpPr>
          </xdr:nvSpPr>
          <xdr:spPr bwMode="auto">
            <a:xfrm>
              <a:off x="12976860" y="38100"/>
              <a:ext cx="2072640" cy="3581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              "</a:t>
              </a:r>
              <a:r>
                <a:rPr lang="en-US" sz="800" b="1" i="0" u="none" strike="noStrike" baseline="0%">
                  <a:solidFill>
                    <a:srgbClr val="000000"/>
                  </a:solidFill>
                  <a:latin typeface="Tahoma"/>
                  <a:ea typeface="Tahoma"/>
                  <a:cs typeface="Tahoma"/>
                </a:rPr>
                <a:t>PILEGRP.xls</a:t>
              </a:r>
              <a:r>
                <a:rPr lang="en-US" sz="800" b="0" i="0" u="none" strike="noStrike" baseline="0%">
                  <a:solidFill>
                    <a:srgbClr val="000000"/>
                  </a:solidFill>
                  <a:latin typeface="Tahoma"/>
                  <a:ea typeface="Tahoma"/>
                  <a:cs typeface="Tahoma"/>
                </a:rPr>
                <a:t>"</a:t>
              </a:r>
            </a:p>
            <a:p>
              <a:pPr algn="l" rtl="0">
                <a:defRPr sz="1000"/>
              </a:pPr>
              <a:r>
                <a:rPr lang="en-US" sz="800" b="0" i="0" u="none" strike="noStrike" baseline="0%">
                  <a:solidFill>
                    <a:srgbClr val="000000"/>
                  </a:solidFill>
                  <a:latin typeface="Tahoma"/>
                  <a:ea typeface="Tahoma"/>
                  <a:cs typeface="Tahoma"/>
                </a:rPr>
                <a:t>written by:  Alex Tomanovich, P.E.</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140</xdr:row>
          <xdr:rowOff>76200</xdr:rowOff>
        </xdr:from>
        <xdr:to>
          <xdr:col>9</xdr:col>
          <xdr:colOff>373380</xdr:colOff>
          <xdr:row>147</xdr:row>
          <xdr:rowOff>76200</xdr:rowOff>
        </xdr:to>
        <xdr:sp macro="" textlink="">
          <xdr:nvSpPr>
            <xdr:cNvPr id="80898" name="Comment 2" hidden="1">
              <a:extLst>
                <a:ext uri="{FF2B5EF4-FFF2-40B4-BE49-F238E27FC236}">
                  <a16:creationId xmlns:a16="http://schemas.microsoft.com/office/drawing/2014/main" id="{003B638B-1666-41D7-BFF1-16860831472F}"/>
                </a:ext>
              </a:extLst>
            </xdr:cNvPr>
            <xdr:cNvSpPr txBox="1">
              <a:spLocks noChangeArrowheads="1"/>
            </xdr:cNvSpPr>
          </xdr:nvSpPr>
          <xdr:spPr bwMode="auto">
            <a:xfrm>
              <a:off x="1653540" y="23576280"/>
              <a:ext cx="4777740" cy="11734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Pile Reaction, 'Rz', at each pile is calculated as follows:</a:t>
              </a:r>
            </a:p>
            <a:p>
              <a:pPr algn="l" rtl="0">
                <a:defRPr sz="1000"/>
              </a:pPr>
              <a:r>
                <a:rPr lang="en-US" sz="800" b="0" i="0" u="none" strike="noStrike" baseline="0%">
                  <a:solidFill>
                    <a:srgbClr val="000000"/>
                  </a:solidFill>
                  <a:latin typeface="Tahoma"/>
                  <a:ea typeface="Tahoma"/>
                  <a:cs typeface="Tahoma"/>
                </a:rPr>
                <a:t>   Rz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Pz)/Np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My)*Ix-(-</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Mx)*Ixy)/(Ix*Iy-Ixy^2)*Xp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Mx)*Iy-(</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My)*Ixy)/(Ix*Iy-Ixy^2)*Yp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Sign convention for 'Rz'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106680</xdr:colOff>
          <xdr:row>140</xdr:row>
          <xdr:rowOff>76200</xdr:rowOff>
        </xdr:from>
        <xdr:to>
          <xdr:col>9</xdr:col>
          <xdr:colOff>99060</xdr:colOff>
          <xdr:row>146</xdr:row>
          <xdr:rowOff>60960</xdr:rowOff>
        </xdr:to>
        <xdr:sp macro="" textlink="">
          <xdr:nvSpPr>
            <xdr:cNvPr id="80899" name="Comment 3" hidden="1">
              <a:extLst>
                <a:ext uri="{FF2B5EF4-FFF2-40B4-BE49-F238E27FC236}">
                  <a16:creationId xmlns:a16="http://schemas.microsoft.com/office/drawing/2014/main" id="{8C3CFC34-B4E2-4130-9538-9F7402AD377B}"/>
                </a:ext>
              </a:extLst>
            </xdr:cNvPr>
            <xdr:cNvSpPr txBox="1">
              <a:spLocks noChangeArrowheads="1"/>
            </xdr:cNvSpPr>
          </xdr:nvSpPr>
          <xdr:spPr bwMode="auto">
            <a:xfrm>
              <a:off x="2278380" y="23576280"/>
              <a:ext cx="3878580" cy="990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Horizontal Pile Reaction, 'Rh', at each pile is calculated as follows:</a:t>
              </a:r>
            </a:p>
            <a:p>
              <a:pPr algn="l" rtl="0">
                <a:defRPr sz="1000"/>
              </a:pPr>
              <a:r>
                <a:rPr lang="en-US" sz="800" b="0" i="0" u="none" strike="noStrike" baseline="0%">
                  <a:solidFill>
                    <a:srgbClr val="000000"/>
                  </a:solidFill>
                  <a:latin typeface="Tahoma"/>
                  <a:ea typeface="Tahoma"/>
                  <a:cs typeface="Tahoma"/>
                </a:rPr>
                <a:t>   Rh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Hx)/Np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Mz)*Yp/J)^2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Hy)/Np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Mz)*Xp/J)^2)^(1/2)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Note: 'Rh' is an "absolute" value with no particular sign convention, thus no</a:t>
              </a:r>
            </a:p>
            <a:p>
              <a:pPr algn="l" rtl="0">
                <a:defRPr sz="1000"/>
              </a:pPr>
              <a:r>
                <a:rPr lang="en-US" sz="800" b="0" i="0" u="none" strike="noStrike" baseline="0%">
                  <a:solidFill>
                    <a:srgbClr val="000000"/>
                  </a:solidFill>
                  <a:latin typeface="Tahoma"/>
                  <a:ea typeface="Tahoma"/>
                  <a:cs typeface="Tahoma"/>
                </a:rPr>
                <a:t>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701040</xdr:colOff>
          <xdr:row>80</xdr:row>
          <xdr:rowOff>76200</xdr:rowOff>
        </xdr:from>
        <xdr:to>
          <xdr:col>9</xdr:col>
          <xdr:colOff>556260</xdr:colOff>
          <xdr:row>83</xdr:row>
          <xdr:rowOff>60960</xdr:rowOff>
        </xdr:to>
        <xdr:sp macro="" textlink="">
          <xdr:nvSpPr>
            <xdr:cNvPr id="80900" name="Comment 4" hidden="1">
              <a:extLst>
                <a:ext uri="{FF2B5EF4-FFF2-40B4-BE49-F238E27FC236}">
                  <a16:creationId xmlns:a16="http://schemas.microsoft.com/office/drawing/2014/main" id="{B99851ED-43D1-4391-9C1A-1F50BF5F19B0}"/>
                </a:ext>
              </a:extLst>
            </xdr:cNvPr>
            <xdr:cNvSpPr txBox="1">
              <a:spLocks noChangeArrowheads="1"/>
            </xdr:cNvSpPr>
          </xdr:nvSpPr>
          <xdr:spPr bwMode="auto">
            <a:xfrm>
              <a:off x="4122420" y="13517880"/>
              <a:ext cx="2491740" cy="4876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Pz = sum of all applied vertical (Z-axis)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+Z-axis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701040</xdr:colOff>
          <xdr:row>81</xdr:row>
          <xdr:rowOff>76200</xdr:rowOff>
        </xdr:from>
        <xdr:to>
          <xdr:col>10</xdr:col>
          <xdr:colOff>45720</xdr:colOff>
          <xdr:row>84</xdr:row>
          <xdr:rowOff>30480</xdr:rowOff>
        </xdr:to>
        <xdr:sp macro="" textlink="">
          <xdr:nvSpPr>
            <xdr:cNvPr id="80901" name="Comment 5" hidden="1">
              <a:extLst>
                <a:ext uri="{FF2B5EF4-FFF2-40B4-BE49-F238E27FC236}">
                  <a16:creationId xmlns:a16="http://schemas.microsoft.com/office/drawing/2014/main" id="{F3CA2C3F-CD07-4D12-B4BA-9719CE631015}"/>
                </a:ext>
              </a:extLst>
            </xdr:cNvPr>
            <xdr:cNvSpPr txBox="1">
              <a:spLocks noChangeArrowheads="1"/>
            </xdr:cNvSpPr>
          </xdr:nvSpPr>
          <xdr:spPr bwMode="auto">
            <a:xfrm>
              <a:off x="4122420" y="13685520"/>
              <a:ext cx="260604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Hx = sum of all applied horizontal (X-axis)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+X-axis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701040</xdr:colOff>
          <xdr:row>82</xdr:row>
          <xdr:rowOff>76200</xdr:rowOff>
        </xdr:from>
        <xdr:to>
          <xdr:col>10</xdr:col>
          <xdr:colOff>45720</xdr:colOff>
          <xdr:row>85</xdr:row>
          <xdr:rowOff>60960</xdr:rowOff>
        </xdr:to>
        <xdr:sp macro="" textlink="">
          <xdr:nvSpPr>
            <xdr:cNvPr id="80902" name="Comment 6" hidden="1">
              <a:extLst>
                <a:ext uri="{FF2B5EF4-FFF2-40B4-BE49-F238E27FC236}">
                  <a16:creationId xmlns:a16="http://schemas.microsoft.com/office/drawing/2014/main" id="{CAC8C50A-E7FB-4FE0-8200-ABD515D66228}"/>
                </a:ext>
              </a:extLst>
            </xdr:cNvPr>
            <xdr:cNvSpPr txBox="1">
              <a:spLocks noChangeArrowheads="1"/>
            </xdr:cNvSpPr>
          </xdr:nvSpPr>
          <xdr:spPr bwMode="auto">
            <a:xfrm>
              <a:off x="4122420" y="13853160"/>
              <a:ext cx="2606040" cy="4876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Hy = sum of all applied horizontal (Y-axis)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+Y-axis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80</xdr:row>
          <xdr:rowOff>76200</xdr:rowOff>
        </xdr:from>
        <xdr:to>
          <xdr:col>5</xdr:col>
          <xdr:colOff>441960</xdr:colOff>
          <xdr:row>84</xdr:row>
          <xdr:rowOff>160020</xdr:rowOff>
        </xdr:to>
        <xdr:sp macro="" textlink="">
          <xdr:nvSpPr>
            <xdr:cNvPr id="80903" name="Comment 7" hidden="1">
              <a:extLst>
                <a:ext uri="{FF2B5EF4-FFF2-40B4-BE49-F238E27FC236}">
                  <a16:creationId xmlns:a16="http://schemas.microsoft.com/office/drawing/2014/main" id="{940069A4-EE04-4E23-95D0-0EA4EFD7DE55}"/>
                </a:ext>
              </a:extLst>
            </xdr:cNvPr>
            <xdr:cNvSpPr txBox="1">
              <a:spLocks noChangeArrowheads="1"/>
            </xdr:cNvSpPr>
          </xdr:nvSpPr>
          <xdr:spPr bwMode="auto">
            <a:xfrm>
              <a:off x="1653540" y="13517880"/>
              <a:ext cx="2209800" cy="7543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Y-axis from the origin Y-axis is calculated as follows:</a:t>
              </a:r>
            </a:p>
            <a:p>
              <a:pPr algn="l" rtl="0">
                <a:defRPr sz="1000"/>
              </a:pPr>
              <a:r>
                <a:rPr lang="en-US" sz="800" b="0" i="0" u="none" strike="noStrike" baseline="0%">
                  <a:solidFill>
                    <a:srgbClr val="000000"/>
                  </a:solidFill>
                  <a:latin typeface="Tahoma"/>
                  <a:ea typeface="Tahoma"/>
                  <a:cs typeface="Tahoma"/>
                </a:rPr>
                <a:t>   Xc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(Xo)/Np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81</xdr:row>
          <xdr:rowOff>76200</xdr:rowOff>
        </xdr:from>
        <xdr:to>
          <xdr:col>5</xdr:col>
          <xdr:colOff>441960</xdr:colOff>
          <xdr:row>86</xdr:row>
          <xdr:rowOff>7620</xdr:rowOff>
        </xdr:to>
        <xdr:sp macro="" textlink="">
          <xdr:nvSpPr>
            <xdr:cNvPr id="80904" name="Comment 8" hidden="1">
              <a:extLst>
                <a:ext uri="{FF2B5EF4-FFF2-40B4-BE49-F238E27FC236}">
                  <a16:creationId xmlns:a16="http://schemas.microsoft.com/office/drawing/2014/main" id="{E6434BE0-BF9E-444E-9657-79107D259E0F}"/>
                </a:ext>
              </a:extLst>
            </xdr:cNvPr>
            <xdr:cNvSpPr txBox="1">
              <a:spLocks noChangeArrowheads="1"/>
            </xdr:cNvSpPr>
          </xdr:nvSpPr>
          <xdr:spPr bwMode="auto">
            <a:xfrm>
              <a:off x="1653540" y="13685520"/>
              <a:ext cx="2209800" cy="7696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X-axis from the origin X-axis is calculated as follows:</a:t>
              </a:r>
            </a:p>
            <a:p>
              <a:pPr algn="l" rtl="0">
                <a:defRPr sz="1000"/>
              </a:pPr>
              <a:r>
                <a:rPr lang="en-US" sz="800" b="0" i="0" u="none" strike="noStrike" baseline="0%">
                  <a:solidFill>
                    <a:srgbClr val="000000"/>
                  </a:solidFill>
                  <a:latin typeface="Tahoma"/>
                  <a:ea typeface="Tahoma"/>
                  <a:cs typeface="Tahoma"/>
                </a:rPr>
                <a:t>   Yc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(Yo)/Np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86</xdr:row>
          <xdr:rowOff>76200</xdr:rowOff>
        </xdr:from>
        <xdr:to>
          <xdr:col>5</xdr:col>
          <xdr:colOff>647700</xdr:colOff>
          <xdr:row>92</xdr:row>
          <xdr:rowOff>76200</xdr:rowOff>
        </xdr:to>
        <xdr:sp macro="" textlink="">
          <xdr:nvSpPr>
            <xdr:cNvPr id="80905" name="Comment 9" hidden="1">
              <a:extLst>
                <a:ext uri="{FF2B5EF4-FFF2-40B4-BE49-F238E27FC236}">
                  <a16:creationId xmlns:a16="http://schemas.microsoft.com/office/drawing/2014/main" id="{E563F059-CFC3-410B-B064-1040B100D739}"/>
                </a:ext>
              </a:extLst>
            </xdr:cNvPr>
            <xdr:cNvSpPr txBox="1">
              <a:spLocks noChangeArrowheads="1"/>
            </xdr:cNvSpPr>
          </xdr:nvSpPr>
          <xdr:spPr bwMode="auto">
            <a:xfrm>
              <a:off x="1653540" y="14523720"/>
              <a:ext cx="241554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orientation of the principal axes, is defined by the rotation angle,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from the centroidal axes and is calculated as follows:</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a:t>
              </a:r>
              <a:r>
                <a:rPr lang="en-US" sz="800" b="0" i="0" u="none" strike="noStrike" baseline="0%">
                  <a:solidFill>
                    <a:srgbClr val="000000"/>
                  </a:solidFill>
                  <a:latin typeface="Tahoma"/>
                  <a:ea typeface="Tahoma"/>
                  <a:cs typeface="Tahoma"/>
                </a:rPr>
                <a:t> = (ATAN(-2*Ixy/(Ix-Iy)))/2</a:t>
              </a:r>
            </a:p>
            <a:p>
              <a:pPr algn="l" rtl="0">
                <a:defRPr sz="1000"/>
              </a:pPr>
              <a:r>
                <a:rPr lang="en-US" sz="800" b="0" i="0" u="none" strike="noStrike" baseline="0%">
                  <a:solidFill>
                    <a:srgbClr val="000000"/>
                  </a:solidFill>
                  <a:latin typeface="Tahoma"/>
                  <a:ea typeface="Tahoma"/>
                  <a:cs typeface="Tahoma"/>
                </a:rPr>
                <a:t>Note: sign convention is positive (+) ccw.</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 0  for a pile group with at least one</a:t>
              </a:r>
            </a:p>
            <a:p>
              <a:pPr algn="l" rtl="0">
                <a:defRPr sz="1000"/>
              </a:pPr>
              <a:r>
                <a:rPr lang="en-US" sz="800" b="0" i="0" u="none" strike="noStrike" baseline="0%">
                  <a:solidFill>
                    <a:srgbClr val="000000"/>
                  </a:solidFill>
                  <a:latin typeface="Tahoma"/>
                  <a:ea typeface="Tahoma"/>
                  <a:cs typeface="Tahoma"/>
                </a:rPr>
                <a:t>          axis of symmetry.</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106680</xdr:colOff>
          <xdr:row>9</xdr:row>
          <xdr:rowOff>76200</xdr:rowOff>
        </xdr:from>
        <xdr:to>
          <xdr:col>7</xdr:col>
          <xdr:colOff>281940</xdr:colOff>
          <xdr:row>14</xdr:row>
          <xdr:rowOff>99060</xdr:rowOff>
        </xdr:to>
        <xdr:sp macro="" textlink="">
          <xdr:nvSpPr>
            <xdr:cNvPr id="80906" name="Comment 10" hidden="1">
              <a:extLst>
                <a:ext uri="{FF2B5EF4-FFF2-40B4-BE49-F238E27FC236}">
                  <a16:creationId xmlns:a16="http://schemas.microsoft.com/office/drawing/2014/main" id="{B32F304C-4B0C-42A9-B2D3-806595E81A3B}"/>
                </a:ext>
              </a:extLst>
            </xdr:cNvPr>
            <xdr:cNvSpPr txBox="1">
              <a:spLocks noChangeArrowheads="1"/>
            </xdr:cNvSpPr>
          </xdr:nvSpPr>
          <xdr:spPr bwMode="auto">
            <a:xfrm>
              <a:off x="2278380" y="1615440"/>
              <a:ext cx="2811780" cy="8610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piles must be located in the positive 1st quadrant.  That is, all pile Xo, Yo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pile coordinates, or those cell values should be input = 0.</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10</xdr:row>
          <xdr:rowOff>76200</xdr:rowOff>
        </xdr:from>
        <xdr:to>
          <xdr:col>5</xdr:col>
          <xdr:colOff>220980</xdr:colOff>
          <xdr:row>12</xdr:row>
          <xdr:rowOff>45720</xdr:rowOff>
        </xdr:to>
        <xdr:sp macro="" textlink="">
          <xdr:nvSpPr>
            <xdr:cNvPr id="80907" name="Comment 11" hidden="1">
              <a:extLst>
                <a:ext uri="{FF2B5EF4-FFF2-40B4-BE49-F238E27FC236}">
                  <a16:creationId xmlns:a16="http://schemas.microsoft.com/office/drawing/2014/main" id="{AC367EFE-E744-4EEB-AB11-7A132F9A3CCD}"/>
                </a:ext>
              </a:extLst>
            </xdr:cNvPr>
            <xdr:cNvSpPr txBox="1">
              <a:spLocks noChangeArrowheads="1"/>
            </xdr:cNvSpPr>
          </xdr:nvSpPr>
          <xdr:spPr bwMode="auto">
            <a:xfrm>
              <a:off x="1653540" y="1783080"/>
              <a:ext cx="1988820" cy="304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'Xo' coordinate is the x-distance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106680</xdr:colOff>
          <xdr:row>10</xdr:row>
          <xdr:rowOff>76200</xdr:rowOff>
        </xdr:from>
        <xdr:to>
          <xdr:col>6</xdr:col>
          <xdr:colOff>76200</xdr:colOff>
          <xdr:row>12</xdr:row>
          <xdr:rowOff>45720</xdr:rowOff>
        </xdr:to>
        <xdr:sp macro="" textlink="">
          <xdr:nvSpPr>
            <xdr:cNvPr id="80908" name="Comment 12" hidden="1">
              <a:extLst>
                <a:ext uri="{FF2B5EF4-FFF2-40B4-BE49-F238E27FC236}">
                  <a16:creationId xmlns:a16="http://schemas.microsoft.com/office/drawing/2014/main" id="{0D072240-C7C8-452F-9AC7-27C40BDACFB8}"/>
                </a:ext>
              </a:extLst>
            </xdr:cNvPr>
            <xdr:cNvSpPr txBox="1">
              <a:spLocks noChangeArrowheads="1"/>
            </xdr:cNvSpPr>
          </xdr:nvSpPr>
          <xdr:spPr bwMode="auto">
            <a:xfrm>
              <a:off x="2278380" y="1783080"/>
              <a:ext cx="1981200" cy="304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'Yo' coordinate is the y-distance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65</xdr:row>
          <xdr:rowOff>76200</xdr:rowOff>
        </xdr:from>
        <xdr:to>
          <xdr:col>4</xdr:col>
          <xdr:colOff>289560</xdr:colOff>
          <xdr:row>67</xdr:row>
          <xdr:rowOff>91440</xdr:rowOff>
        </xdr:to>
        <xdr:sp macro="" textlink="">
          <xdr:nvSpPr>
            <xdr:cNvPr id="80910" name="Comment 14" hidden="1">
              <a:extLst>
                <a:ext uri="{FF2B5EF4-FFF2-40B4-BE49-F238E27FC236}">
                  <a16:creationId xmlns:a16="http://schemas.microsoft.com/office/drawing/2014/main" id="{93DD35BE-F5D4-496F-9D33-51AA0DE54404}"/>
                </a:ext>
              </a:extLst>
            </xdr:cNvPr>
            <xdr:cNvSpPr txBox="1">
              <a:spLocks noChangeArrowheads="1"/>
            </xdr:cNvSpPr>
          </xdr:nvSpPr>
          <xdr:spPr bwMode="auto">
            <a:xfrm>
              <a:off x="922020" y="11003280"/>
              <a:ext cx="216408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 coordinate is the x-distance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66</xdr:row>
          <xdr:rowOff>76200</xdr:rowOff>
        </xdr:from>
        <xdr:to>
          <xdr:col>4</xdr:col>
          <xdr:colOff>274320</xdr:colOff>
          <xdr:row>68</xdr:row>
          <xdr:rowOff>91440</xdr:rowOff>
        </xdr:to>
        <xdr:sp macro="" textlink="">
          <xdr:nvSpPr>
            <xdr:cNvPr id="80911" name="Comment 15" hidden="1">
              <a:extLst>
                <a:ext uri="{FF2B5EF4-FFF2-40B4-BE49-F238E27FC236}">
                  <a16:creationId xmlns:a16="http://schemas.microsoft.com/office/drawing/2014/main" id="{3ED22348-7B8A-4AAD-98E0-3A08F916D7B3}"/>
                </a:ext>
              </a:extLst>
            </xdr:cNvPr>
            <xdr:cNvSpPr txBox="1">
              <a:spLocks noChangeArrowheads="1"/>
            </xdr:cNvSpPr>
          </xdr:nvSpPr>
          <xdr:spPr bwMode="auto">
            <a:xfrm>
              <a:off x="922020" y="11170920"/>
              <a:ext cx="214884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 coordinate is the y-distance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67</xdr:row>
          <xdr:rowOff>76200</xdr:rowOff>
        </xdr:from>
        <xdr:to>
          <xdr:col>5</xdr:col>
          <xdr:colOff>472440</xdr:colOff>
          <xdr:row>73</xdr:row>
          <xdr:rowOff>76200</xdr:rowOff>
        </xdr:to>
        <xdr:sp macro="" textlink="">
          <xdr:nvSpPr>
            <xdr:cNvPr id="80912" name="Comment 16" hidden="1">
              <a:extLst>
                <a:ext uri="{FF2B5EF4-FFF2-40B4-BE49-F238E27FC236}">
                  <a16:creationId xmlns:a16="http://schemas.microsoft.com/office/drawing/2014/main" id="{91DE2BE6-17BB-4B91-A150-207170C73AA2}"/>
                </a:ext>
              </a:extLst>
            </xdr:cNvPr>
            <xdr:cNvSpPr txBox="1">
              <a:spLocks noChangeArrowheads="1"/>
            </xdr:cNvSpPr>
          </xdr:nvSpPr>
          <xdr:spPr bwMode="auto">
            <a:xfrm>
              <a:off x="922020" y="11338560"/>
              <a:ext cx="297180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69</xdr:row>
          <xdr:rowOff>76200</xdr:rowOff>
        </xdr:from>
        <xdr:to>
          <xdr:col>6</xdr:col>
          <xdr:colOff>160020</xdr:colOff>
          <xdr:row>71</xdr:row>
          <xdr:rowOff>76200</xdr:rowOff>
        </xdr:to>
        <xdr:sp macro="" textlink="">
          <xdr:nvSpPr>
            <xdr:cNvPr id="80913" name="Comment 17" hidden="1">
              <a:extLst>
                <a:ext uri="{FF2B5EF4-FFF2-40B4-BE49-F238E27FC236}">
                  <a16:creationId xmlns:a16="http://schemas.microsoft.com/office/drawing/2014/main" id="{AF328F03-6CF5-4F9C-9B3B-68B7AA0A7F05}"/>
                </a:ext>
              </a:extLst>
            </xdr:cNvPr>
            <xdr:cNvSpPr txBox="1">
              <a:spLocks noChangeArrowheads="1"/>
            </xdr:cNvSpPr>
          </xdr:nvSpPr>
          <xdr:spPr bwMode="auto">
            <a:xfrm>
              <a:off x="922020" y="11673840"/>
              <a:ext cx="3421380" cy="3352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'Hx' is the horizontal (X-axis) load to be applied at the pier location.</a:t>
              </a:r>
            </a:p>
            <a:p>
              <a:pPr algn="l" rtl="0">
                <a:defRPr sz="1000"/>
              </a:pPr>
              <a:r>
                <a:rPr lang="en-US" sz="800" b="0" i="0" u="none" strike="noStrike" baseline="0%">
                  <a:solidFill>
                    <a:srgbClr val="000000"/>
                  </a:solidFill>
                  <a:latin typeface="Tahoma"/>
                  <a:ea typeface="Tahoma"/>
                  <a:cs typeface="Tahoma"/>
                </a:rPr>
                <a:t>Sign convention: + = to right</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70</xdr:row>
          <xdr:rowOff>76200</xdr:rowOff>
        </xdr:from>
        <xdr:to>
          <xdr:col>6</xdr:col>
          <xdr:colOff>167640</xdr:colOff>
          <xdr:row>72</xdr:row>
          <xdr:rowOff>91440</xdr:rowOff>
        </xdr:to>
        <xdr:sp macro="" textlink="">
          <xdr:nvSpPr>
            <xdr:cNvPr id="80914" name="Comment 18" hidden="1">
              <a:extLst>
                <a:ext uri="{FF2B5EF4-FFF2-40B4-BE49-F238E27FC236}">
                  <a16:creationId xmlns:a16="http://schemas.microsoft.com/office/drawing/2014/main" id="{9E292DF4-8CDD-47A8-8804-734EC3F2AE66}"/>
                </a:ext>
              </a:extLst>
            </xdr:cNvPr>
            <xdr:cNvSpPr txBox="1">
              <a:spLocks noChangeArrowheads="1"/>
            </xdr:cNvSpPr>
          </xdr:nvSpPr>
          <xdr:spPr bwMode="auto">
            <a:xfrm>
              <a:off x="922020" y="11841480"/>
              <a:ext cx="342900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'Hy' is the horizontal (Y-axis)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 the page</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68</xdr:row>
          <xdr:rowOff>76200</xdr:rowOff>
        </xdr:from>
        <xdr:to>
          <xdr:col>6</xdr:col>
          <xdr:colOff>38100</xdr:colOff>
          <xdr:row>71</xdr:row>
          <xdr:rowOff>38100</xdr:rowOff>
        </xdr:to>
        <xdr:sp macro="" textlink="">
          <xdr:nvSpPr>
            <xdr:cNvPr id="80915" name="Comment 19" hidden="1">
              <a:extLst>
                <a:ext uri="{FF2B5EF4-FFF2-40B4-BE49-F238E27FC236}">
                  <a16:creationId xmlns:a16="http://schemas.microsoft.com/office/drawing/2014/main" id="{B8DB86FE-C74E-4852-811E-96019567025F}"/>
                </a:ext>
              </a:extLst>
            </xdr:cNvPr>
            <xdr:cNvSpPr txBox="1">
              <a:spLocks noChangeArrowheads="1"/>
            </xdr:cNvSpPr>
          </xdr:nvSpPr>
          <xdr:spPr bwMode="auto">
            <a:xfrm>
              <a:off x="922020" y="11506200"/>
              <a:ext cx="329946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'Pz' is the vertical (Z-axis)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upward (out of page)</a:t>
              </a:r>
            </a:p>
            <a:p>
              <a:pPr algn="l" rtl="0">
                <a:defRPr sz="1000"/>
              </a:pPr>
              <a:r>
                <a:rPr lang="en-US" sz="800" b="0" i="0" u="none" strike="noStrike" baseline="0%">
                  <a:solidFill>
                    <a:srgbClr val="000000"/>
                  </a:solidFill>
                  <a:latin typeface="Tahoma"/>
                  <a:ea typeface="Tahoma"/>
                  <a:cs typeface="Tahoma"/>
                </a:rPr>
                <a:t>                                   -  = downward (into page) for gravity loads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71</xdr:row>
          <xdr:rowOff>76200</xdr:rowOff>
        </xdr:from>
        <xdr:to>
          <xdr:col>5</xdr:col>
          <xdr:colOff>563880</xdr:colOff>
          <xdr:row>73</xdr:row>
          <xdr:rowOff>91440</xdr:rowOff>
        </xdr:to>
        <xdr:sp macro="" textlink="">
          <xdr:nvSpPr>
            <xdr:cNvPr id="80916" name="Comment 20" hidden="1">
              <a:extLst>
                <a:ext uri="{FF2B5EF4-FFF2-40B4-BE49-F238E27FC236}">
                  <a16:creationId xmlns:a16="http://schemas.microsoft.com/office/drawing/2014/main" id="{032AEA63-A87A-412C-8BF4-A71D57527C87}"/>
                </a:ext>
              </a:extLst>
            </xdr:cNvPr>
            <xdr:cNvSpPr txBox="1">
              <a:spLocks noChangeArrowheads="1"/>
            </xdr:cNvSpPr>
          </xdr:nvSpPr>
          <xdr:spPr bwMode="auto">
            <a:xfrm>
              <a:off x="922020" y="12009120"/>
              <a:ext cx="306324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'Mx' is the X-axis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72</xdr:row>
          <xdr:rowOff>76200</xdr:rowOff>
        </xdr:from>
        <xdr:to>
          <xdr:col>5</xdr:col>
          <xdr:colOff>541020</xdr:colOff>
          <xdr:row>74</xdr:row>
          <xdr:rowOff>91440</xdr:rowOff>
        </xdr:to>
        <xdr:sp macro="" textlink="">
          <xdr:nvSpPr>
            <xdr:cNvPr id="80917" name="Comment 21" hidden="1">
              <a:extLst>
                <a:ext uri="{FF2B5EF4-FFF2-40B4-BE49-F238E27FC236}">
                  <a16:creationId xmlns:a16="http://schemas.microsoft.com/office/drawing/2014/main" id="{D9FE93A2-0004-46FF-A645-09B1C72556BF}"/>
                </a:ext>
              </a:extLst>
            </xdr:cNvPr>
            <xdr:cNvSpPr txBox="1">
              <a:spLocks noChangeArrowheads="1"/>
            </xdr:cNvSpPr>
          </xdr:nvSpPr>
          <xdr:spPr bwMode="auto">
            <a:xfrm>
              <a:off x="922020" y="12176760"/>
              <a:ext cx="304038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'My' is the Y-axis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73</xdr:row>
          <xdr:rowOff>76200</xdr:rowOff>
        </xdr:from>
        <xdr:to>
          <xdr:col>5</xdr:col>
          <xdr:colOff>548640</xdr:colOff>
          <xdr:row>75</xdr:row>
          <xdr:rowOff>99060</xdr:rowOff>
        </xdr:to>
        <xdr:sp macro="" textlink="">
          <xdr:nvSpPr>
            <xdr:cNvPr id="80918" name="Comment 22" hidden="1">
              <a:extLst>
                <a:ext uri="{FF2B5EF4-FFF2-40B4-BE49-F238E27FC236}">
                  <a16:creationId xmlns:a16="http://schemas.microsoft.com/office/drawing/2014/main" id="{32FDA81E-F58B-4B7F-B5CC-53F30E90786F}"/>
                </a:ext>
              </a:extLst>
            </xdr:cNvPr>
            <xdr:cNvSpPr txBox="1">
              <a:spLocks noChangeArrowheads="1"/>
            </xdr:cNvSpPr>
          </xdr:nvSpPr>
          <xdr:spPr bwMode="auto">
            <a:xfrm>
              <a:off x="922020" y="12344400"/>
              <a:ext cx="3048000" cy="3581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'Mz' is the Z-axis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701040</xdr:colOff>
          <xdr:row>83</xdr:row>
          <xdr:rowOff>76200</xdr:rowOff>
        </xdr:from>
        <xdr:to>
          <xdr:col>11</xdr:col>
          <xdr:colOff>45720</xdr:colOff>
          <xdr:row>86</xdr:row>
          <xdr:rowOff>45720</xdr:rowOff>
        </xdr:to>
        <xdr:sp macro="" textlink="">
          <xdr:nvSpPr>
            <xdr:cNvPr id="80919" name="Comment 23" hidden="1">
              <a:extLst>
                <a:ext uri="{FF2B5EF4-FFF2-40B4-BE49-F238E27FC236}">
                  <a16:creationId xmlns:a16="http://schemas.microsoft.com/office/drawing/2014/main" id="{F3F3CEFF-C349-46F9-9838-910FEB997B52}"/>
                </a:ext>
              </a:extLst>
            </xdr:cNvPr>
            <xdr:cNvSpPr txBox="1">
              <a:spLocks noChangeArrowheads="1"/>
            </xdr:cNvSpPr>
          </xdr:nvSpPr>
          <xdr:spPr bwMode="auto">
            <a:xfrm>
              <a:off x="4122420" y="14020800"/>
              <a:ext cx="3230880" cy="4724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Mx = sum of all applied X-axis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701040</xdr:colOff>
          <xdr:row>84</xdr:row>
          <xdr:rowOff>76200</xdr:rowOff>
        </xdr:from>
        <xdr:to>
          <xdr:col>11</xdr:col>
          <xdr:colOff>99060</xdr:colOff>
          <xdr:row>87</xdr:row>
          <xdr:rowOff>60960</xdr:rowOff>
        </xdr:to>
        <xdr:sp macro="" textlink="">
          <xdr:nvSpPr>
            <xdr:cNvPr id="80920" name="Comment 24" hidden="1">
              <a:extLst>
                <a:ext uri="{FF2B5EF4-FFF2-40B4-BE49-F238E27FC236}">
                  <a16:creationId xmlns:a16="http://schemas.microsoft.com/office/drawing/2014/main" id="{EA8D21B4-CF73-4AD8-9E04-0443575F71A1}"/>
                </a:ext>
              </a:extLst>
            </xdr:cNvPr>
            <xdr:cNvSpPr txBox="1">
              <a:spLocks noChangeArrowheads="1"/>
            </xdr:cNvSpPr>
          </xdr:nvSpPr>
          <xdr:spPr bwMode="auto">
            <a:xfrm>
              <a:off x="4122420" y="14188440"/>
              <a:ext cx="3284220" cy="4876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My = sum of all applied Y-axis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701040</xdr:colOff>
          <xdr:row>85</xdr:row>
          <xdr:rowOff>76200</xdr:rowOff>
        </xdr:from>
        <xdr:to>
          <xdr:col>11</xdr:col>
          <xdr:colOff>7620</xdr:colOff>
          <xdr:row>88</xdr:row>
          <xdr:rowOff>38100</xdr:rowOff>
        </xdr:to>
        <xdr:sp macro="" textlink="">
          <xdr:nvSpPr>
            <xdr:cNvPr id="80921" name="Comment 25" hidden="1">
              <a:extLst>
                <a:ext uri="{FF2B5EF4-FFF2-40B4-BE49-F238E27FC236}">
                  <a16:creationId xmlns:a16="http://schemas.microsoft.com/office/drawing/2014/main" id="{705C5A75-50CB-4D86-B8AC-E7771F58959F}"/>
                </a:ext>
              </a:extLst>
            </xdr:cNvPr>
            <xdr:cNvSpPr txBox="1">
              <a:spLocks noChangeArrowheads="1"/>
            </xdr:cNvSpPr>
          </xdr:nvSpPr>
          <xdr:spPr bwMode="auto">
            <a:xfrm>
              <a:off x="4122420" y="14356080"/>
              <a:ext cx="319278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Mz = sum of all applied Z-axis moments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89</xdr:row>
          <xdr:rowOff>76200</xdr:rowOff>
        </xdr:from>
        <xdr:to>
          <xdr:col>5</xdr:col>
          <xdr:colOff>518160</xdr:colOff>
          <xdr:row>92</xdr:row>
          <xdr:rowOff>60960</xdr:rowOff>
        </xdr:to>
        <xdr:sp macro="" textlink="">
          <xdr:nvSpPr>
            <xdr:cNvPr id="80922" name="Comment 26" hidden="1">
              <a:extLst>
                <a:ext uri="{FF2B5EF4-FFF2-40B4-BE49-F238E27FC236}">
                  <a16:creationId xmlns:a16="http://schemas.microsoft.com/office/drawing/2014/main" id="{FEF974DD-11FE-4F3F-B2A6-5A2C94F78A8A}"/>
                </a:ext>
              </a:extLst>
            </xdr:cNvPr>
            <xdr:cNvSpPr txBox="1">
              <a:spLocks noChangeArrowheads="1"/>
            </xdr:cNvSpPr>
          </xdr:nvSpPr>
          <xdr:spPr bwMode="auto">
            <a:xfrm>
              <a:off x="1653540" y="15026640"/>
              <a:ext cx="2286000" cy="4876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'Rz(max)'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90</xdr:row>
          <xdr:rowOff>76200</xdr:rowOff>
        </xdr:from>
        <xdr:to>
          <xdr:col>5</xdr:col>
          <xdr:colOff>518160</xdr:colOff>
          <xdr:row>93</xdr:row>
          <xdr:rowOff>38100</xdr:rowOff>
        </xdr:to>
        <xdr:sp macro="" textlink="">
          <xdr:nvSpPr>
            <xdr:cNvPr id="80923" name="Comment 27" hidden="1">
              <a:extLst>
                <a:ext uri="{FF2B5EF4-FFF2-40B4-BE49-F238E27FC236}">
                  <a16:creationId xmlns:a16="http://schemas.microsoft.com/office/drawing/2014/main" id="{A0E079EE-3D6B-419D-B218-07413D0F69DC}"/>
                </a:ext>
              </a:extLst>
            </xdr:cNvPr>
            <xdr:cNvSpPr txBox="1">
              <a:spLocks noChangeArrowheads="1"/>
            </xdr:cNvSpPr>
          </xdr:nvSpPr>
          <xdr:spPr bwMode="auto">
            <a:xfrm>
              <a:off x="1653540" y="15194280"/>
              <a:ext cx="228600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'Rz(min)'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91</xdr:row>
          <xdr:rowOff>76200</xdr:rowOff>
        </xdr:from>
        <xdr:to>
          <xdr:col>5</xdr:col>
          <xdr:colOff>320040</xdr:colOff>
          <xdr:row>94</xdr:row>
          <xdr:rowOff>45720</xdr:rowOff>
        </xdr:to>
        <xdr:sp macro="" textlink="">
          <xdr:nvSpPr>
            <xdr:cNvPr id="80924" name="Comment 28" hidden="1">
              <a:extLst>
                <a:ext uri="{FF2B5EF4-FFF2-40B4-BE49-F238E27FC236}">
                  <a16:creationId xmlns:a16="http://schemas.microsoft.com/office/drawing/2014/main" id="{268F8FBE-5D36-432C-9254-60826007FF47}"/>
                </a:ext>
              </a:extLst>
            </xdr:cNvPr>
            <xdr:cNvSpPr txBox="1">
              <a:spLocks noChangeArrowheads="1"/>
            </xdr:cNvSpPr>
          </xdr:nvSpPr>
          <xdr:spPr bwMode="auto">
            <a:xfrm>
              <a:off x="1653540" y="15361920"/>
              <a:ext cx="2087880" cy="4724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Note: 'Rh(max)' is an "absolute" value</a:t>
              </a:r>
            </a:p>
            <a:p>
              <a:pPr algn="l" rtl="0">
                <a:defRPr sz="1000"/>
              </a:pPr>
              <a:r>
                <a:rPr lang="en-US" sz="800" b="0" i="0" u="none" strike="noStrike" baseline="0%">
                  <a:solidFill>
                    <a:srgbClr val="000000"/>
                  </a:solidFill>
                  <a:latin typeface="Tahoma"/>
                  <a:ea typeface="Tahoma"/>
                  <a:cs typeface="Tahoma"/>
                </a:rPr>
                <a:t>          with no particular sign convention,</a:t>
              </a:r>
            </a:p>
            <a:p>
              <a:pPr algn="l" rtl="0">
                <a:defRPr sz="1000"/>
              </a:pPr>
              <a:r>
                <a:rPr lang="en-US" sz="800" b="0" i="0" u="none" strike="noStrike" baseline="0%">
                  <a:solidFill>
                    <a:srgbClr val="000000"/>
                  </a:solidFill>
                  <a:latin typeface="Tahoma"/>
                  <a:ea typeface="Tahoma"/>
                  <a:cs typeface="Tahoma"/>
                </a:rPr>
                <a:t>          thus no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44</xdr:col>
          <xdr:colOff>99060</xdr:colOff>
          <xdr:row>0</xdr:row>
          <xdr:rowOff>167640</xdr:rowOff>
        </xdr:from>
        <xdr:to>
          <xdr:col>47</xdr:col>
          <xdr:colOff>312420</xdr:colOff>
          <xdr:row>6</xdr:row>
          <xdr:rowOff>7620</xdr:rowOff>
        </xdr:to>
        <xdr:sp macro="" textlink="">
          <xdr:nvSpPr>
            <xdr:cNvPr id="80926" name="Comment 30" hidden="1">
              <a:extLst>
                <a:ext uri="{FF2B5EF4-FFF2-40B4-BE49-F238E27FC236}">
                  <a16:creationId xmlns:a16="http://schemas.microsoft.com/office/drawing/2014/main" id="{BEE4AC57-8B5A-4AF1-8D13-50D9560C1EC2}"/>
                </a:ext>
              </a:extLst>
            </xdr:cNvPr>
            <xdr:cNvSpPr txBox="1">
              <a:spLocks noChangeArrowheads="1"/>
            </xdr:cNvSpPr>
          </xdr:nvSpPr>
          <xdr:spPr bwMode="auto">
            <a:xfrm>
              <a:off x="13030200" y="167640"/>
              <a:ext cx="2087880" cy="876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user may manually adjust the scaling of the plotted pile group by adjusting the "X" and "Y" plot scale factors below.  The object is to try to equalize the maximum X-axis and Y-axis values which are shown.</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144780</xdr:colOff>
          <xdr:row>7</xdr:row>
          <xdr:rowOff>68580</xdr:rowOff>
        </xdr:from>
        <xdr:to>
          <xdr:col>6</xdr:col>
          <xdr:colOff>510540</xdr:colOff>
          <xdr:row>9</xdr:row>
          <xdr:rowOff>76200</xdr:rowOff>
        </xdr:to>
        <xdr:sp macro="" textlink="">
          <xdr:nvSpPr>
            <xdr:cNvPr id="80930" name="Comment 34" hidden="1">
              <a:extLst>
                <a:ext uri="{FF2B5EF4-FFF2-40B4-BE49-F238E27FC236}">
                  <a16:creationId xmlns:a16="http://schemas.microsoft.com/office/drawing/2014/main" id="{3C2CB3FE-D0A4-4372-B6B0-48581E51A1FB}"/>
                </a:ext>
              </a:extLst>
            </xdr:cNvPr>
            <xdr:cNvSpPr txBox="1">
              <a:spLocks noChangeArrowheads="1"/>
            </xdr:cNvSpPr>
          </xdr:nvSpPr>
          <xdr:spPr bwMode="auto">
            <a:xfrm>
              <a:off x="2316480" y="1272540"/>
              <a:ext cx="2377440" cy="342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2.</a:t>
              </a:r>
            </a:p>
            <a:p>
              <a:pPr algn="l" rtl="0">
                <a:defRPr sz="1000"/>
              </a:pPr>
              <a:r>
                <a:rPr lang="en-US" sz="800" b="1" i="0" u="none" strike="noStrike" baseline="0%">
                  <a:solidFill>
                    <a:srgbClr val="000000"/>
                  </a:solidFill>
                  <a:latin typeface="Tahoma"/>
                  <a:ea typeface="Tahoma"/>
                  <a:cs typeface="Tahoma"/>
                </a:rPr>
                <a:t>The maximum number of piles = 300.</a:t>
              </a:r>
            </a:p>
          </xdr:txBody>
        </xdr:sp>
        <xdr:clientData/>
      </xdr:twoCellAnchor>
    </mc:Fallback>
  </mc:AlternateContent>
  <mc:AlternateContent xmlns:mc="http://schemas.openxmlformats.org/markup-compatibility/2006">
    <mc:Choice xmlns:v="urn:schemas-microsoft-com:vml" Requires="v"/>
    <mc:Fallback>
      <xdr:twoCellAnchor editAs="absolute">
        <xdr:from>
          <xdr:col>47</xdr:col>
          <xdr:colOff>68580</xdr:colOff>
          <xdr:row>82</xdr:row>
          <xdr:rowOff>76200</xdr:rowOff>
        </xdr:from>
        <xdr:to>
          <xdr:col>50</xdr:col>
          <xdr:colOff>586740</xdr:colOff>
          <xdr:row>84</xdr:row>
          <xdr:rowOff>76200</xdr:rowOff>
        </xdr:to>
        <xdr:sp macro="" textlink="">
          <xdr:nvSpPr>
            <xdr:cNvPr id="80931" name="Comment 35" hidden="1">
              <a:extLst>
                <a:ext uri="{FF2B5EF4-FFF2-40B4-BE49-F238E27FC236}">
                  <a16:creationId xmlns:a16="http://schemas.microsoft.com/office/drawing/2014/main" id="{635B032C-6494-45AB-B5F5-F73B2029B342}"/>
                </a:ext>
              </a:extLst>
            </xdr:cNvPr>
            <xdr:cNvSpPr txBox="1">
              <a:spLocks noChangeArrowheads="1"/>
            </xdr:cNvSpPr>
          </xdr:nvSpPr>
          <xdr:spPr bwMode="auto">
            <a:xfrm>
              <a:off x="14874240" y="13853160"/>
              <a:ext cx="2392680" cy="3352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3.</a:t>
              </a:r>
            </a:p>
            <a:p>
              <a:pPr algn="l" rtl="0">
                <a:defRPr sz="1000"/>
              </a:pPr>
              <a:r>
                <a:rPr lang="en-US" sz="800" b="1" i="0" u="none" strike="noStrike" baseline="0%">
                  <a:solidFill>
                    <a:srgbClr val="000000"/>
                  </a:solidFill>
                  <a:latin typeface="Tahoma"/>
                  <a:ea typeface="Tahoma"/>
                  <a:cs typeface="Tahoma"/>
                </a:rPr>
                <a:t>The maximum number of piles = 300.</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82</xdr:row>
          <xdr:rowOff>76200</xdr:rowOff>
        </xdr:from>
        <xdr:to>
          <xdr:col>5</xdr:col>
          <xdr:colOff>220980</xdr:colOff>
          <xdr:row>88</xdr:row>
          <xdr:rowOff>99060</xdr:rowOff>
        </xdr:to>
        <xdr:sp macro="" textlink="">
          <xdr:nvSpPr>
            <xdr:cNvPr id="80999" name="Comment 103" hidden="1">
              <a:extLst>
                <a:ext uri="{FF2B5EF4-FFF2-40B4-BE49-F238E27FC236}">
                  <a16:creationId xmlns:a16="http://schemas.microsoft.com/office/drawing/2014/main" id="{C1B2997C-68B3-439F-96E4-F1EEA565BF6F}"/>
                </a:ext>
              </a:extLst>
            </xdr:cNvPr>
            <xdr:cNvSpPr txBox="1">
              <a:spLocks noChangeArrowheads="1"/>
            </xdr:cNvSpPr>
          </xdr:nvSpPr>
          <xdr:spPr bwMode="auto">
            <a:xfrm>
              <a:off x="1691640" y="13853160"/>
              <a:ext cx="1950720" cy="10287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X-axis Moment of Inertia, 'Ix',  for the pile group is calculated as follows:</a:t>
              </a:r>
            </a:p>
            <a:p>
              <a:pPr algn="l" rtl="0">
                <a:defRPr sz="1000"/>
              </a:pPr>
              <a:r>
                <a:rPr lang="en-US" sz="800" b="0" i="0" u="none" strike="noStrike" baseline="0%">
                  <a:solidFill>
                    <a:srgbClr val="000000"/>
                  </a:solidFill>
                  <a:latin typeface="Tahoma"/>
                  <a:ea typeface="Tahoma"/>
                  <a:cs typeface="Tahoma"/>
                </a:rPr>
                <a:t>   Ix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(dy)^2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 </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83</xdr:row>
          <xdr:rowOff>76200</xdr:rowOff>
        </xdr:from>
        <xdr:to>
          <xdr:col>5</xdr:col>
          <xdr:colOff>220980</xdr:colOff>
          <xdr:row>89</xdr:row>
          <xdr:rowOff>76200</xdr:rowOff>
        </xdr:to>
        <xdr:sp macro="" textlink="">
          <xdr:nvSpPr>
            <xdr:cNvPr id="81000" name="Comment 104" hidden="1">
              <a:extLst>
                <a:ext uri="{FF2B5EF4-FFF2-40B4-BE49-F238E27FC236}">
                  <a16:creationId xmlns:a16="http://schemas.microsoft.com/office/drawing/2014/main" id="{6E8FE72D-0513-4666-8CB2-BA92FB5D01D5}"/>
                </a:ext>
              </a:extLst>
            </xdr:cNvPr>
            <xdr:cNvSpPr txBox="1">
              <a:spLocks noChangeArrowheads="1"/>
            </xdr:cNvSpPr>
          </xdr:nvSpPr>
          <xdr:spPr bwMode="auto">
            <a:xfrm>
              <a:off x="1691640" y="14020800"/>
              <a:ext cx="195072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Y-axis Moment of Inertia, 'Iy',  for the pile group is calculated as follows:</a:t>
              </a:r>
            </a:p>
            <a:p>
              <a:pPr algn="l" rtl="0">
                <a:defRPr sz="1000"/>
              </a:pPr>
              <a:r>
                <a:rPr lang="en-US" sz="800" b="0" i="0" u="none" strike="noStrike" baseline="0%">
                  <a:solidFill>
                    <a:srgbClr val="000000"/>
                  </a:solidFill>
                  <a:latin typeface="Tahoma"/>
                  <a:ea typeface="Tahoma"/>
                  <a:cs typeface="Tahoma"/>
                </a:rPr>
                <a:t>   Iy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 </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84</xdr:row>
          <xdr:rowOff>76200</xdr:rowOff>
        </xdr:from>
        <xdr:to>
          <xdr:col>5</xdr:col>
          <xdr:colOff>220980</xdr:colOff>
          <xdr:row>87</xdr:row>
          <xdr:rowOff>30480</xdr:rowOff>
        </xdr:to>
        <xdr:sp macro="" textlink="">
          <xdr:nvSpPr>
            <xdr:cNvPr id="81001" name="Comment 105" hidden="1">
              <a:extLst>
                <a:ext uri="{FF2B5EF4-FFF2-40B4-BE49-F238E27FC236}">
                  <a16:creationId xmlns:a16="http://schemas.microsoft.com/office/drawing/2014/main" id="{05379134-C014-4A9A-A0AE-47792A5CD007}"/>
                </a:ext>
              </a:extLst>
            </xdr:cNvPr>
            <xdr:cNvSpPr txBox="1">
              <a:spLocks noChangeArrowheads="1"/>
            </xdr:cNvSpPr>
          </xdr:nvSpPr>
          <xdr:spPr bwMode="auto">
            <a:xfrm>
              <a:off x="1691640" y="14188440"/>
              <a:ext cx="195072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Polar Moment of Inertia for the pile group is calculated as follows:</a:t>
              </a:r>
            </a:p>
            <a:p>
              <a:pPr algn="l" rtl="0">
                <a:defRPr sz="1000"/>
              </a:pPr>
              <a:r>
                <a:rPr lang="en-US" sz="800" b="0" i="0" u="none" strike="noStrike" baseline="0%">
                  <a:solidFill>
                    <a:srgbClr val="000000"/>
                  </a:solidFill>
                  <a:latin typeface="Tahoma"/>
                  <a:ea typeface="Tahoma"/>
                  <a:cs typeface="Tahoma"/>
                </a:rPr>
                <a:t>   J = Ix+Iy</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85</xdr:row>
          <xdr:rowOff>76200</xdr:rowOff>
        </xdr:from>
        <xdr:to>
          <xdr:col>5</xdr:col>
          <xdr:colOff>251460</xdr:colOff>
          <xdr:row>95</xdr:row>
          <xdr:rowOff>60960</xdr:rowOff>
        </xdr:to>
        <xdr:sp macro="" textlink="">
          <xdr:nvSpPr>
            <xdr:cNvPr id="81002" name="Comment 106" hidden="1">
              <a:extLst>
                <a:ext uri="{FF2B5EF4-FFF2-40B4-BE49-F238E27FC236}">
                  <a16:creationId xmlns:a16="http://schemas.microsoft.com/office/drawing/2014/main" id="{3B03EE3B-1E91-4F51-9A4E-1B68FF132227}"/>
                </a:ext>
              </a:extLst>
            </xdr:cNvPr>
            <xdr:cNvSpPr txBox="1">
              <a:spLocks noChangeArrowheads="1"/>
            </xdr:cNvSpPr>
          </xdr:nvSpPr>
          <xdr:spPr bwMode="auto">
            <a:xfrm>
              <a:off x="1691640" y="14356080"/>
              <a:ext cx="1981200" cy="16611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Product Moment of Inertia, 'Ixy', for the pile group is calculated as follows:</a:t>
              </a:r>
            </a:p>
            <a:p>
              <a:pPr algn="l" rtl="0">
                <a:defRPr sz="1000"/>
              </a:pPr>
              <a:r>
                <a:rPr lang="en-US" sz="800" b="0" i="0" u="none" strike="noStrike" baseline="0%">
                  <a:solidFill>
                    <a:srgbClr val="000000"/>
                  </a:solidFill>
                  <a:latin typeface="Tahoma"/>
                  <a:ea typeface="Tahoma"/>
                  <a:cs typeface="Tahoma"/>
                </a:rPr>
                <a:t>   Ixy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(dx*dy)</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a:t>
              </a:r>
            </a:p>
            <a:p>
              <a:pPr algn="l" rtl="0">
                <a:defRPr sz="1000"/>
              </a:pPr>
              <a:r>
                <a:rPr lang="en-US" sz="800" b="0" i="0" u="none" strike="noStrike" baseline="0%">
                  <a:solidFill>
                    <a:srgbClr val="000000"/>
                  </a:solidFill>
                  <a:latin typeface="Tahoma"/>
                  <a:ea typeface="Tahoma"/>
                  <a:cs typeface="Tahoma"/>
                </a:rPr>
                <a:t>Note:  'Ixy' = 0  for a pile group with at</a:t>
              </a:r>
            </a:p>
            <a:p>
              <a:pPr algn="l" rtl="0">
                <a:defRPr sz="1000"/>
              </a:pPr>
              <a:r>
                <a:rPr lang="en-US" sz="800" b="0" i="0" u="none" strike="noStrike" baseline="0%">
                  <a:solidFill>
                    <a:srgbClr val="000000"/>
                  </a:solidFill>
                  <a:latin typeface="Tahoma"/>
                  <a:ea typeface="Tahoma"/>
                  <a:cs typeface="Tahoma"/>
                </a:rPr>
                <a:t>           least one axis of symmetry.</a:t>
              </a:r>
            </a:p>
          </xdr:txBody>
        </xdr:sp>
        <xdr:clientData/>
      </xdr:twoCellAnchor>
    </mc:Fallback>
  </mc:AlternateContent>
  <mc:AlternateContent xmlns:mc="http://schemas.openxmlformats.org/markup-compatibility/2006">
    <mc:Choice xmlns:v="urn:schemas-microsoft-com:vml" Requires="v"/>
    <mc:Fallback>
      <xdr:twoCellAnchor editAs="absolute">
        <xdr:from>
          <xdr:col>11</xdr:col>
          <xdr:colOff>144780</xdr:colOff>
          <xdr:row>63</xdr:row>
          <xdr:rowOff>76200</xdr:rowOff>
        </xdr:from>
        <xdr:to>
          <xdr:col>16</xdr:col>
          <xdr:colOff>441960</xdr:colOff>
          <xdr:row>67</xdr:row>
          <xdr:rowOff>160020</xdr:rowOff>
        </xdr:to>
        <xdr:sp macro="" textlink="">
          <xdr:nvSpPr>
            <xdr:cNvPr id="81004" name="Comment 108" hidden="1">
              <a:extLst>
                <a:ext uri="{FF2B5EF4-FFF2-40B4-BE49-F238E27FC236}">
                  <a16:creationId xmlns:a16="http://schemas.microsoft.com/office/drawing/2014/main" id="{E9CE054A-EB28-4FC4-806A-2F3C2C4B7196}"/>
                </a:ext>
              </a:extLst>
            </xdr:cNvPr>
            <xdr:cNvSpPr txBox="1">
              <a:spLocks noChangeArrowheads="1"/>
            </xdr:cNvSpPr>
          </xdr:nvSpPr>
          <xdr:spPr bwMode="auto">
            <a:xfrm>
              <a:off x="7452360" y="10668000"/>
              <a:ext cx="3421380" cy="7543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piers must be located in the positive 1st quadrant.  That is, all pier X, Y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pier coordinates, or those cell values should be input = 0.</a:t>
              </a:r>
            </a:p>
          </xdr:txBody>
        </xdr:sp>
        <xdr:clientData/>
      </xdr:twoCellAnchor>
    </mc:Fallback>
  </mc:AlternateContent>
</xdr:wsDr>
</file>

<file path=xl/drawings/drawing6.xml><?xml version="1.0" encoding="utf-8"?>
<xdr:wsDr xmlns:xdr="http://purl.oclc.org/ooxml/drawingml/spreadsheetDrawing" xmlns:a="http://purl.oclc.org/ooxml/drawingml/main">
  <xdr:twoCellAnchor>
    <xdr:from>
      <xdr:col>44</xdr:col>
      <xdr:colOff>0</xdr:colOff>
      <xdr:row>1</xdr:row>
      <xdr:rowOff>0</xdr:rowOff>
    </xdr:from>
    <xdr:to>
      <xdr:col>46</xdr:col>
      <xdr:colOff>0</xdr:colOff>
      <xdr:row>4</xdr:row>
      <xdr:rowOff>0</xdr:rowOff>
    </xdr:to>
    <xdr:sp macro="" textlink="">
      <xdr:nvSpPr>
        <xdr:cNvPr id="82964" name="Rectangle 20">
          <a:extLst>
            <a:ext uri="{FF2B5EF4-FFF2-40B4-BE49-F238E27FC236}">
              <a16:creationId xmlns:a16="http://schemas.microsoft.com/office/drawing/2014/main" id="{C70C11DC-F8AC-4DE6-8A46-C757B37B03C4}"/>
            </a:ext>
          </a:extLst>
        </xdr:cNvPr>
        <xdr:cNvSpPr>
          <a:spLocks noChangeArrowheads="1"/>
        </xdr:cNvSpPr>
      </xdr:nvSpPr>
      <xdr:spPr bwMode="auto">
        <a:xfrm>
          <a:off x="12931140" y="198120"/>
          <a:ext cx="1249680" cy="50292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ffectLst>
          <a:outerShdw dist="107763"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44</xdr:col>
      <xdr:colOff>68580</xdr:colOff>
      <xdr:row>7</xdr:row>
      <xdr:rowOff>38100</xdr:rowOff>
    </xdr:from>
    <xdr:to>
      <xdr:col>44</xdr:col>
      <xdr:colOff>167640</xdr:colOff>
      <xdr:row>7</xdr:row>
      <xdr:rowOff>137160</xdr:rowOff>
    </xdr:to>
    <xdr:sp macro="" textlink="">
      <xdr:nvSpPr>
        <xdr:cNvPr id="82980" name="Oval 36">
          <a:extLst>
            <a:ext uri="{FF2B5EF4-FFF2-40B4-BE49-F238E27FC236}">
              <a16:creationId xmlns:a16="http://schemas.microsoft.com/office/drawing/2014/main" id="{2A6674AF-5A1D-49BD-A063-5D5931EFA0A4}"/>
            </a:ext>
          </a:extLst>
        </xdr:cNvPr>
        <xdr:cNvSpPr>
          <a:spLocks noChangeArrowheads="1"/>
        </xdr:cNvSpPr>
      </xdr:nvSpPr>
      <xdr:spPr bwMode="auto">
        <a:xfrm>
          <a:off x="12999720" y="1242060"/>
          <a:ext cx="99060" cy="990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round/>
          <a:headEnd/>
          <a:tailEnd/>
        </a:ln>
      </xdr:spPr>
    </xdr:sp>
    <xdr:clientData/>
  </xdr:twoCellAnchor>
  <xdr:twoCellAnchor>
    <xdr:from>
      <xdr:col>43</xdr:col>
      <xdr:colOff>441960</xdr:colOff>
      <xdr:row>6</xdr:row>
      <xdr:rowOff>91440</xdr:rowOff>
    </xdr:from>
    <xdr:to>
      <xdr:col>45</xdr:col>
      <xdr:colOff>381000</xdr:colOff>
      <xdr:row>13</xdr:row>
      <xdr:rowOff>60960</xdr:rowOff>
    </xdr:to>
    <xdr:sp macro="" textlink="">
      <xdr:nvSpPr>
        <xdr:cNvPr id="82981" name="Rectangle 37">
          <a:extLst>
            <a:ext uri="{FF2B5EF4-FFF2-40B4-BE49-F238E27FC236}">
              <a16:creationId xmlns:a16="http://schemas.microsoft.com/office/drawing/2014/main" id="{00ED1496-87B9-45DC-B63F-4FF9062D4A66}"/>
            </a:ext>
          </a:extLst>
        </xdr:cNvPr>
        <xdr:cNvSpPr>
          <a:spLocks noChangeArrowheads="1"/>
        </xdr:cNvSpPr>
      </xdr:nvSpPr>
      <xdr:spPr bwMode="auto">
        <a:xfrm>
          <a:off x="12748260" y="1127760"/>
          <a:ext cx="118872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43</xdr:col>
      <xdr:colOff>441960</xdr:colOff>
      <xdr:row>5</xdr:row>
      <xdr:rowOff>91440</xdr:rowOff>
    </xdr:from>
    <xdr:to>
      <xdr:col>43</xdr:col>
      <xdr:colOff>441960</xdr:colOff>
      <xdr:row>6</xdr:row>
      <xdr:rowOff>76200</xdr:rowOff>
    </xdr:to>
    <xdr:sp macro="" textlink="">
      <xdr:nvSpPr>
        <xdr:cNvPr id="82982" name="Line 38">
          <a:extLst>
            <a:ext uri="{FF2B5EF4-FFF2-40B4-BE49-F238E27FC236}">
              <a16:creationId xmlns:a16="http://schemas.microsoft.com/office/drawing/2014/main" id="{D1869B79-5C37-4D00-8874-A599227A1BD2}"/>
            </a:ext>
          </a:extLst>
        </xdr:cNvPr>
        <xdr:cNvSpPr>
          <a:spLocks noChangeShapeType="1"/>
        </xdr:cNvSpPr>
      </xdr:nvSpPr>
      <xdr:spPr bwMode="auto">
        <a:xfrm flipV="1">
          <a:off x="12748260" y="96012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43</xdr:col>
      <xdr:colOff>320040</xdr:colOff>
      <xdr:row>13</xdr:row>
      <xdr:rowOff>60960</xdr:rowOff>
    </xdr:from>
    <xdr:to>
      <xdr:col>43</xdr:col>
      <xdr:colOff>441960</xdr:colOff>
      <xdr:row>14</xdr:row>
      <xdr:rowOff>7620</xdr:rowOff>
    </xdr:to>
    <xdr:sp macro="" textlink="">
      <xdr:nvSpPr>
        <xdr:cNvPr id="82983" name="Line 39">
          <a:extLst>
            <a:ext uri="{FF2B5EF4-FFF2-40B4-BE49-F238E27FC236}">
              <a16:creationId xmlns:a16="http://schemas.microsoft.com/office/drawing/2014/main" id="{B8C36B06-E11F-45EC-BD7E-41699DF813FB}"/>
            </a:ext>
          </a:extLst>
        </xdr:cNvPr>
        <xdr:cNvSpPr>
          <a:spLocks noChangeShapeType="1"/>
        </xdr:cNvSpPr>
      </xdr:nvSpPr>
      <xdr:spPr bwMode="auto">
        <a:xfrm flipH="1">
          <a:off x="12626340" y="2270760"/>
          <a:ext cx="12192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45</xdr:col>
      <xdr:colOff>388620</xdr:colOff>
      <xdr:row>13</xdr:row>
      <xdr:rowOff>60960</xdr:rowOff>
    </xdr:from>
    <xdr:to>
      <xdr:col>45</xdr:col>
      <xdr:colOff>548640</xdr:colOff>
      <xdr:row>13</xdr:row>
      <xdr:rowOff>60960</xdr:rowOff>
    </xdr:to>
    <xdr:sp macro="" textlink="">
      <xdr:nvSpPr>
        <xdr:cNvPr id="82984" name="Line 40">
          <a:extLst>
            <a:ext uri="{FF2B5EF4-FFF2-40B4-BE49-F238E27FC236}">
              <a16:creationId xmlns:a16="http://schemas.microsoft.com/office/drawing/2014/main" id="{031E2ECD-47C3-4016-8163-38698B39CFD0}"/>
            </a:ext>
          </a:extLst>
        </xdr:cNvPr>
        <xdr:cNvSpPr>
          <a:spLocks noChangeShapeType="1"/>
        </xdr:cNvSpPr>
      </xdr:nvSpPr>
      <xdr:spPr bwMode="auto">
        <a:xfrm flipV="1">
          <a:off x="13944600" y="2270760"/>
          <a:ext cx="1600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43</xdr:col>
      <xdr:colOff>441960</xdr:colOff>
      <xdr:row>19</xdr:row>
      <xdr:rowOff>144780</xdr:rowOff>
    </xdr:from>
    <xdr:to>
      <xdr:col>45</xdr:col>
      <xdr:colOff>381000</xdr:colOff>
      <xdr:row>21</xdr:row>
      <xdr:rowOff>45720</xdr:rowOff>
    </xdr:to>
    <xdr:sp macro="" textlink="">
      <xdr:nvSpPr>
        <xdr:cNvPr id="82985" name="Rectangle 41">
          <a:extLst>
            <a:ext uri="{FF2B5EF4-FFF2-40B4-BE49-F238E27FC236}">
              <a16:creationId xmlns:a16="http://schemas.microsoft.com/office/drawing/2014/main" id="{08F14111-4D1E-4952-8A77-29BF12D66805}"/>
            </a:ext>
          </a:extLst>
        </xdr:cNvPr>
        <xdr:cNvSpPr>
          <a:spLocks noChangeArrowheads="1"/>
        </xdr:cNvSpPr>
      </xdr:nvSpPr>
      <xdr:spPr bwMode="auto">
        <a:xfrm>
          <a:off x="12748260" y="3360420"/>
          <a:ext cx="1188720" cy="2362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44</xdr:col>
      <xdr:colOff>251460</xdr:colOff>
      <xdr:row>18</xdr:row>
      <xdr:rowOff>160020</xdr:rowOff>
    </xdr:from>
    <xdr:to>
      <xdr:col>44</xdr:col>
      <xdr:colOff>563880</xdr:colOff>
      <xdr:row>19</xdr:row>
      <xdr:rowOff>144780</xdr:rowOff>
    </xdr:to>
    <xdr:sp macro="" textlink="">
      <xdr:nvSpPr>
        <xdr:cNvPr id="82986" name="Rectangle 42">
          <a:extLst>
            <a:ext uri="{FF2B5EF4-FFF2-40B4-BE49-F238E27FC236}">
              <a16:creationId xmlns:a16="http://schemas.microsoft.com/office/drawing/2014/main" id="{8675A05A-56E6-459C-94AB-182BA2CA8E68}"/>
            </a:ext>
          </a:extLst>
        </xdr:cNvPr>
        <xdr:cNvSpPr>
          <a:spLocks noChangeArrowheads="1"/>
        </xdr:cNvSpPr>
      </xdr:nvSpPr>
      <xdr:spPr bwMode="auto">
        <a:xfrm>
          <a:off x="13182600" y="3208020"/>
          <a:ext cx="31242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43</xdr:col>
      <xdr:colOff>556260</xdr:colOff>
      <xdr:row>21</xdr:row>
      <xdr:rowOff>45720</xdr:rowOff>
    </xdr:from>
    <xdr:to>
      <xdr:col>43</xdr:col>
      <xdr:colOff>556260</xdr:colOff>
      <xdr:row>23</xdr:row>
      <xdr:rowOff>76200</xdr:rowOff>
    </xdr:to>
    <xdr:sp macro="" textlink="">
      <xdr:nvSpPr>
        <xdr:cNvPr id="82987" name="Line 43">
          <a:extLst>
            <a:ext uri="{FF2B5EF4-FFF2-40B4-BE49-F238E27FC236}">
              <a16:creationId xmlns:a16="http://schemas.microsoft.com/office/drawing/2014/main" id="{97417AC4-423C-4D95-AA2E-981538938CD7}"/>
            </a:ext>
          </a:extLst>
        </xdr:cNvPr>
        <xdr:cNvSpPr>
          <a:spLocks noChangeShapeType="1"/>
        </xdr:cNvSpPr>
      </xdr:nvSpPr>
      <xdr:spPr bwMode="auto">
        <a:xfrm>
          <a:off x="1286256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21</xdr:row>
      <xdr:rowOff>45720</xdr:rowOff>
    </xdr:from>
    <xdr:to>
      <xdr:col>44</xdr:col>
      <xdr:colOff>76200</xdr:colOff>
      <xdr:row>23</xdr:row>
      <xdr:rowOff>76200</xdr:rowOff>
    </xdr:to>
    <xdr:sp macro="" textlink="">
      <xdr:nvSpPr>
        <xdr:cNvPr id="82988" name="Line 44">
          <a:extLst>
            <a:ext uri="{FF2B5EF4-FFF2-40B4-BE49-F238E27FC236}">
              <a16:creationId xmlns:a16="http://schemas.microsoft.com/office/drawing/2014/main" id="{B3911397-E245-45D8-AB01-C9ECD3E0F133}"/>
            </a:ext>
          </a:extLst>
        </xdr:cNvPr>
        <xdr:cNvSpPr>
          <a:spLocks noChangeShapeType="1"/>
        </xdr:cNvSpPr>
      </xdr:nvSpPr>
      <xdr:spPr bwMode="auto">
        <a:xfrm>
          <a:off x="1300734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480060</xdr:colOff>
      <xdr:row>23</xdr:row>
      <xdr:rowOff>76200</xdr:rowOff>
    </xdr:from>
    <xdr:to>
      <xdr:col>43</xdr:col>
      <xdr:colOff>586740</xdr:colOff>
      <xdr:row>23</xdr:row>
      <xdr:rowOff>76200</xdr:rowOff>
    </xdr:to>
    <xdr:sp macro="" textlink="">
      <xdr:nvSpPr>
        <xdr:cNvPr id="82989" name="Line 45">
          <a:extLst>
            <a:ext uri="{FF2B5EF4-FFF2-40B4-BE49-F238E27FC236}">
              <a16:creationId xmlns:a16="http://schemas.microsoft.com/office/drawing/2014/main" id="{1B4E3B17-CA50-4120-988F-7424B79C2A1B}"/>
            </a:ext>
          </a:extLst>
        </xdr:cNvPr>
        <xdr:cNvSpPr>
          <a:spLocks noChangeShapeType="1"/>
        </xdr:cNvSpPr>
      </xdr:nvSpPr>
      <xdr:spPr bwMode="auto">
        <a:xfrm>
          <a:off x="1278636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38100</xdr:colOff>
      <xdr:row>23</xdr:row>
      <xdr:rowOff>76200</xdr:rowOff>
    </xdr:from>
    <xdr:to>
      <xdr:col>44</xdr:col>
      <xdr:colOff>144780</xdr:colOff>
      <xdr:row>23</xdr:row>
      <xdr:rowOff>76200</xdr:rowOff>
    </xdr:to>
    <xdr:sp macro="" textlink="">
      <xdr:nvSpPr>
        <xdr:cNvPr id="82990" name="Line 46">
          <a:extLst>
            <a:ext uri="{FF2B5EF4-FFF2-40B4-BE49-F238E27FC236}">
              <a16:creationId xmlns:a16="http://schemas.microsoft.com/office/drawing/2014/main" id="{2A7E2018-650A-4F8A-973E-728BBBD82F79}"/>
            </a:ext>
          </a:extLst>
        </xdr:cNvPr>
        <xdr:cNvSpPr>
          <a:spLocks noChangeShapeType="1"/>
        </xdr:cNvSpPr>
      </xdr:nvSpPr>
      <xdr:spPr bwMode="auto">
        <a:xfrm>
          <a:off x="1296924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586740</xdr:colOff>
      <xdr:row>23</xdr:row>
      <xdr:rowOff>76200</xdr:rowOff>
    </xdr:from>
    <xdr:to>
      <xdr:col>43</xdr:col>
      <xdr:colOff>609600</xdr:colOff>
      <xdr:row>23</xdr:row>
      <xdr:rowOff>99060</xdr:rowOff>
    </xdr:to>
    <xdr:sp macro="" textlink="">
      <xdr:nvSpPr>
        <xdr:cNvPr id="82991" name="Line 47">
          <a:extLst>
            <a:ext uri="{FF2B5EF4-FFF2-40B4-BE49-F238E27FC236}">
              <a16:creationId xmlns:a16="http://schemas.microsoft.com/office/drawing/2014/main" id="{361B2575-8777-4148-B125-F1F185FB4208}"/>
            </a:ext>
          </a:extLst>
        </xdr:cNvPr>
        <xdr:cNvSpPr>
          <a:spLocks noChangeShapeType="1"/>
        </xdr:cNvSpPr>
      </xdr:nvSpPr>
      <xdr:spPr bwMode="auto">
        <a:xfrm>
          <a:off x="1289304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22860</xdr:colOff>
      <xdr:row>23</xdr:row>
      <xdr:rowOff>60960</xdr:rowOff>
    </xdr:from>
    <xdr:to>
      <xdr:col>44</xdr:col>
      <xdr:colOff>45720</xdr:colOff>
      <xdr:row>23</xdr:row>
      <xdr:rowOff>83820</xdr:rowOff>
    </xdr:to>
    <xdr:sp macro="" textlink="">
      <xdr:nvSpPr>
        <xdr:cNvPr id="82992" name="Line 48">
          <a:extLst>
            <a:ext uri="{FF2B5EF4-FFF2-40B4-BE49-F238E27FC236}">
              <a16:creationId xmlns:a16="http://schemas.microsoft.com/office/drawing/2014/main" id="{6D613FE9-72F6-45C3-BA68-513A1DCEADF4}"/>
            </a:ext>
          </a:extLst>
        </xdr:cNvPr>
        <xdr:cNvSpPr>
          <a:spLocks noChangeShapeType="1"/>
        </xdr:cNvSpPr>
      </xdr:nvSpPr>
      <xdr:spPr bwMode="auto">
        <a:xfrm flipH="1" flipV="1">
          <a:off x="1295400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601980</xdr:colOff>
      <xdr:row>23</xdr:row>
      <xdr:rowOff>60960</xdr:rowOff>
    </xdr:from>
    <xdr:to>
      <xdr:col>44</xdr:col>
      <xdr:colOff>22860</xdr:colOff>
      <xdr:row>23</xdr:row>
      <xdr:rowOff>99060</xdr:rowOff>
    </xdr:to>
    <xdr:sp macro="" textlink="">
      <xdr:nvSpPr>
        <xdr:cNvPr id="82993" name="Line 49">
          <a:extLst>
            <a:ext uri="{FF2B5EF4-FFF2-40B4-BE49-F238E27FC236}">
              <a16:creationId xmlns:a16="http://schemas.microsoft.com/office/drawing/2014/main" id="{0348EA05-2896-44FD-BB7E-7D58D2B3A8EB}"/>
            </a:ext>
          </a:extLst>
        </xdr:cNvPr>
        <xdr:cNvSpPr>
          <a:spLocks noChangeShapeType="1"/>
        </xdr:cNvSpPr>
      </xdr:nvSpPr>
      <xdr:spPr bwMode="auto">
        <a:xfrm flipV="1">
          <a:off x="12908280" y="3947160"/>
          <a:ext cx="4572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114300</xdr:colOff>
      <xdr:row>21</xdr:row>
      <xdr:rowOff>45720</xdr:rowOff>
    </xdr:from>
    <xdr:to>
      <xdr:col>45</xdr:col>
      <xdr:colOff>114300</xdr:colOff>
      <xdr:row>23</xdr:row>
      <xdr:rowOff>76200</xdr:rowOff>
    </xdr:to>
    <xdr:sp macro="" textlink="">
      <xdr:nvSpPr>
        <xdr:cNvPr id="82994" name="Line 50">
          <a:extLst>
            <a:ext uri="{FF2B5EF4-FFF2-40B4-BE49-F238E27FC236}">
              <a16:creationId xmlns:a16="http://schemas.microsoft.com/office/drawing/2014/main" id="{207BD4A4-4D61-4815-9238-1C7205E19863}"/>
            </a:ext>
          </a:extLst>
        </xdr:cNvPr>
        <xdr:cNvSpPr>
          <a:spLocks noChangeShapeType="1"/>
        </xdr:cNvSpPr>
      </xdr:nvSpPr>
      <xdr:spPr bwMode="auto">
        <a:xfrm>
          <a:off x="1367028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266700</xdr:colOff>
      <xdr:row>21</xdr:row>
      <xdr:rowOff>45720</xdr:rowOff>
    </xdr:from>
    <xdr:to>
      <xdr:col>45</xdr:col>
      <xdr:colOff>266700</xdr:colOff>
      <xdr:row>23</xdr:row>
      <xdr:rowOff>76200</xdr:rowOff>
    </xdr:to>
    <xdr:sp macro="" textlink="">
      <xdr:nvSpPr>
        <xdr:cNvPr id="82995" name="Line 51">
          <a:extLst>
            <a:ext uri="{FF2B5EF4-FFF2-40B4-BE49-F238E27FC236}">
              <a16:creationId xmlns:a16="http://schemas.microsoft.com/office/drawing/2014/main" id="{07A96EE0-37D4-422F-A5F7-BB0C5E11E216}"/>
            </a:ext>
          </a:extLst>
        </xdr:cNvPr>
        <xdr:cNvSpPr>
          <a:spLocks noChangeShapeType="1"/>
        </xdr:cNvSpPr>
      </xdr:nvSpPr>
      <xdr:spPr bwMode="auto">
        <a:xfrm>
          <a:off x="1382268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38100</xdr:colOff>
      <xdr:row>23</xdr:row>
      <xdr:rowOff>76200</xdr:rowOff>
    </xdr:from>
    <xdr:to>
      <xdr:col>45</xdr:col>
      <xdr:colOff>144780</xdr:colOff>
      <xdr:row>23</xdr:row>
      <xdr:rowOff>76200</xdr:rowOff>
    </xdr:to>
    <xdr:sp macro="" textlink="">
      <xdr:nvSpPr>
        <xdr:cNvPr id="82996" name="Line 52">
          <a:extLst>
            <a:ext uri="{FF2B5EF4-FFF2-40B4-BE49-F238E27FC236}">
              <a16:creationId xmlns:a16="http://schemas.microsoft.com/office/drawing/2014/main" id="{6FB9D4BB-9F96-4309-9B4D-A981AFE417C1}"/>
            </a:ext>
          </a:extLst>
        </xdr:cNvPr>
        <xdr:cNvSpPr>
          <a:spLocks noChangeShapeType="1"/>
        </xdr:cNvSpPr>
      </xdr:nvSpPr>
      <xdr:spPr bwMode="auto">
        <a:xfrm>
          <a:off x="1359408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220980</xdr:colOff>
      <xdr:row>23</xdr:row>
      <xdr:rowOff>76200</xdr:rowOff>
    </xdr:from>
    <xdr:to>
      <xdr:col>45</xdr:col>
      <xdr:colOff>327660</xdr:colOff>
      <xdr:row>23</xdr:row>
      <xdr:rowOff>76200</xdr:rowOff>
    </xdr:to>
    <xdr:sp macro="" textlink="">
      <xdr:nvSpPr>
        <xdr:cNvPr id="82997" name="Line 53">
          <a:extLst>
            <a:ext uri="{FF2B5EF4-FFF2-40B4-BE49-F238E27FC236}">
              <a16:creationId xmlns:a16="http://schemas.microsoft.com/office/drawing/2014/main" id="{FAB4C3F3-EE6E-458E-B5F7-4024C2A11AB1}"/>
            </a:ext>
          </a:extLst>
        </xdr:cNvPr>
        <xdr:cNvSpPr>
          <a:spLocks noChangeShapeType="1"/>
        </xdr:cNvSpPr>
      </xdr:nvSpPr>
      <xdr:spPr bwMode="auto">
        <a:xfrm>
          <a:off x="1377696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144780</xdr:colOff>
      <xdr:row>23</xdr:row>
      <xdr:rowOff>76200</xdr:rowOff>
    </xdr:from>
    <xdr:to>
      <xdr:col>45</xdr:col>
      <xdr:colOff>167640</xdr:colOff>
      <xdr:row>23</xdr:row>
      <xdr:rowOff>99060</xdr:rowOff>
    </xdr:to>
    <xdr:sp macro="" textlink="">
      <xdr:nvSpPr>
        <xdr:cNvPr id="82998" name="Line 54">
          <a:extLst>
            <a:ext uri="{FF2B5EF4-FFF2-40B4-BE49-F238E27FC236}">
              <a16:creationId xmlns:a16="http://schemas.microsoft.com/office/drawing/2014/main" id="{4C065C8F-C7E4-4717-BBA7-42467C60F17D}"/>
            </a:ext>
          </a:extLst>
        </xdr:cNvPr>
        <xdr:cNvSpPr>
          <a:spLocks noChangeShapeType="1"/>
        </xdr:cNvSpPr>
      </xdr:nvSpPr>
      <xdr:spPr bwMode="auto">
        <a:xfrm>
          <a:off x="1370076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205740</xdr:colOff>
      <xdr:row>23</xdr:row>
      <xdr:rowOff>60960</xdr:rowOff>
    </xdr:from>
    <xdr:to>
      <xdr:col>45</xdr:col>
      <xdr:colOff>228600</xdr:colOff>
      <xdr:row>23</xdr:row>
      <xdr:rowOff>83820</xdr:rowOff>
    </xdr:to>
    <xdr:sp macro="" textlink="">
      <xdr:nvSpPr>
        <xdr:cNvPr id="82999" name="Line 55">
          <a:extLst>
            <a:ext uri="{FF2B5EF4-FFF2-40B4-BE49-F238E27FC236}">
              <a16:creationId xmlns:a16="http://schemas.microsoft.com/office/drawing/2014/main" id="{3401FB71-8995-4E18-B770-DAAC33756835}"/>
            </a:ext>
          </a:extLst>
        </xdr:cNvPr>
        <xdr:cNvSpPr>
          <a:spLocks noChangeShapeType="1"/>
        </xdr:cNvSpPr>
      </xdr:nvSpPr>
      <xdr:spPr bwMode="auto">
        <a:xfrm flipH="1" flipV="1">
          <a:off x="1376172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167640</xdr:colOff>
      <xdr:row>23</xdr:row>
      <xdr:rowOff>60960</xdr:rowOff>
    </xdr:from>
    <xdr:to>
      <xdr:col>45</xdr:col>
      <xdr:colOff>205740</xdr:colOff>
      <xdr:row>23</xdr:row>
      <xdr:rowOff>99060</xdr:rowOff>
    </xdr:to>
    <xdr:sp macro="" textlink="">
      <xdr:nvSpPr>
        <xdr:cNvPr id="83000" name="Line 56">
          <a:extLst>
            <a:ext uri="{FF2B5EF4-FFF2-40B4-BE49-F238E27FC236}">
              <a16:creationId xmlns:a16="http://schemas.microsoft.com/office/drawing/2014/main" id="{EF1AE022-03C3-4B88-B726-33B216592548}"/>
            </a:ext>
          </a:extLst>
        </xdr:cNvPr>
        <xdr:cNvSpPr>
          <a:spLocks noChangeShapeType="1"/>
        </xdr:cNvSpPr>
      </xdr:nvSpPr>
      <xdr:spPr bwMode="auto">
        <a:xfrm flipV="1">
          <a:off x="13723620" y="3947160"/>
          <a:ext cx="3810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556260</xdr:colOff>
      <xdr:row>20</xdr:row>
      <xdr:rowOff>160020</xdr:rowOff>
    </xdr:from>
    <xdr:to>
      <xdr:col>43</xdr:col>
      <xdr:colOff>556260</xdr:colOff>
      <xdr:row>21</xdr:row>
      <xdr:rowOff>45720</xdr:rowOff>
    </xdr:to>
    <xdr:sp macro="" textlink="">
      <xdr:nvSpPr>
        <xdr:cNvPr id="83001" name="Line 57">
          <a:extLst>
            <a:ext uri="{FF2B5EF4-FFF2-40B4-BE49-F238E27FC236}">
              <a16:creationId xmlns:a16="http://schemas.microsoft.com/office/drawing/2014/main" id="{FA135A8B-8EDD-4213-AFB4-4A3D858ADB13}"/>
            </a:ext>
          </a:extLst>
        </xdr:cNvPr>
        <xdr:cNvSpPr>
          <a:spLocks noChangeShapeType="1"/>
        </xdr:cNvSpPr>
      </xdr:nvSpPr>
      <xdr:spPr bwMode="auto">
        <a:xfrm flipV="1">
          <a:off x="1286256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20</xdr:row>
      <xdr:rowOff>160020</xdr:rowOff>
    </xdr:from>
    <xdr:to>
      <xdr:col>44</xdr:col>
      <xdr:colOff>76200</xdr:colOff>
      <xdr:row>21</xdr:row>
      <xdr:rowOff>45720</xdr:rowOff>
    </xdr:to>
    <xdr:sp macro="" textlink="">
      <xdr:nvSpPr>
        <xdr:cNvPr id="83002" name="Line 58">
          <a:extLst>
            <a:ext uri="{FF2B5EF4-FFF2-40B4-BE49-F238E27FC236}">
              <a16:creationId xmlns:a16="http://schemas.microsoft.com/office/drawing/2014/main" id="{1E65D19D-1660-4A95-A2B7-EEC48F3ECA43}"/>
            </a:ext>
          </a:extLst>
        </xdr:cNvPr>
        <xdr:cNvSpPr>
          <a:spLocks noChangeShapeType="1"/>
        </xdr:cNvSpPr>
      </xdr:nvSpPr>
      <xdr:spPr bwMode="auto">
        <a:xfrm flipV="1">
          <a:off x="1300734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114300</xdr:colOff>
      <xdr:row>20</xdr:row>
      <xdr:rowOff>160020</xdr:rowOff>
    </xdr:from>
    <xdr:to>
      <xdr:col>45</xdr:col>
      <xdr:colOff>114300</xdr:colOff>
      <xdr:row>21</xdr:row>
      <xdr:rowOff>45720</xdr:rowOff>
    </xdr:to>
    <xdr:sp macro="" textlink="">
      <xdr:nvSpPr>
        <xdr:cNvPr id="83003" name="Line 59">
          <a:extLst>
            <a:ext uri="{FF2B5EF4-FFF2-40B4-BE49-F238E27FC236}">
              <a16:creationId xmlns:a16="http://schemas.microsoft.com/office/drawing/2014/main" id="{419E2446-D99F-444A-BDCF-D08A50D8D501}"/>
            </a:ext>
          </a:extLst>
        </xdr:cNvPr>
        <xdr:cNvSpPr>
          <a:spLocks noChangeShapeType="1"/>
        </xdr:cNvSpPr>
      </xdr:nvSpPr>
      <xdr:spPr bwMode="auto">
        <a:xfrm flipV="1">
          <a:off x="1367028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266700</xdr:colOff>
      <xdr:row>20</xdr:row>
      <xdr:rowOff>160020</xdr:rowOff>
    </xdr:from>
    <xdr:to>
      <xdr:col>45</xdr:col>
      <xdr:colOff>266700</xdr:colOff>
      <xdr:row>21</xdr:row>
      <xdr:rowOff>45720</xdr:rowOff>
    </xdr:to>
    <xdr:sp macro="" textlink="">
      <xdr:nvSpPr>
        <xdr:cNvPr id="83004" name="Line 60">
          <a:extLst>
            <a:ext uri="{FF2B5EF4-FFF2-40B4-BE49-F238E27FC236}">
              <a16:creationId xmlns:a16="http://schemas.microsoft.com/office/drawing/2014/main" id="{61A985DE-58F0-49E3-A7FE-263F7990AA49}"/>
            </a:ext>
          </a:extLst>
        </xdr:cNvPr>
        <xdr:cNvSpPr>
          <a:spLocks noChangeShapeType="1"/>
        </xdr:cNvSpPr>
      </xdr:nvSpPr>
      <xdr:spPr bwMode="auto">
        <a:xfrm flipV="1">
          <a:off x="1382268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43</xdr:col>
      <xdr:colOff>556260</xdr:colOff>
      <xdr:row>21</xdr:row>
      <xdr:rowOff>0</xdr:rowOff>
    </xdr:from>
    <xdr:to>
      <xdr:col>44</xdr:col>
      <xdr:colOff>76200</xdr:colOff>
      <xdr:row>21</xdr:row>
      <xdr:rowOff>0</xdr:rowOff>
    </xdr:to>
    <xdr:sp macro="" textlink="">
      <xdr:nvSpPr>
        <xdr:cNvPr id="83005" name="Line 61">
          <a:extLst>
            <a:ext uri="{FF2B5EF4-FFF2-40B4-BE49-F238E27FC236}">
              <a16:creationId xmlns:a16="http://schemas.microsoft.com/office/drawing/2014/main" id="{D792A948-FD61-4E71-BB9C-9C83530990A5}"/>
            </a:ext>
          </a:extLst>
        </xdr:cNvPr>
        <xdr:cNvSpPr>
          <a:spLocks noChangeShapeType="1"/>
        </xdr:cNvSpPr>
      </xdr:nvSpPr>
      <xdr:spPr bwMode="auto">
        <a:xfrm>
          <a:off x="1286256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114300</xdr:colOff>
      <xdr:row>21</xdr:row>
      <xdr:rowOff>0</xdr:rowOff>
    </xdr:from>
    <xdr:to>
      <xdr:col>45</xdr:col>
      <xdr:colOff>259080</xdr:colOff>
      <xdr:row>21</xdr:row>
      <xdr:rowOff>0</xdr:rowOff>
    </xdr:to>
    <xdr:sp macro="" textlink="">
      <xdr:nvSpPr>
        <xdr:cNvPr id="83006" name="Line 62">
          <a:extLst>
            <a:ext uri="{FF2B5EF4-FFF2-40B4-BE49-F238E27FC236}">
              <a16:creationId xmlns:a16="http://schemas.microsoft.com/office/drawing/2014/main" id="{91A1E03E-5A9B-4242-BACC-8BDB7B91617E}"/>
            </a:ext>
          </a:extLst>
        </xdr:cNvPr>
        <xdr:cNvSpPr>
          <a:spLocks noChangeShapeType="1"/>
        </xdr:cNvSpPr>
      </xdr:nvSpPr>
      <xdr:spPr bwMode="auto">
        <a:xfrm>
          <a:off x="1367028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43</xdr:col>
      <xdr:colOff>617220</xdr:colOff>
      <xdr:row>18</xdr:row>
      <xdr:rowOff>160020</xdr:rowOff>
    </xdr:from>
    <xdr:to>
      <xdr:col>44</xdr:col>
      <xdr:colOff>213360</xdr:colOff>
      <xdr:row>18</xdr:row>
      <xdr:rowOff>160020</xdr:rowOff>
    </xdr:to>
    <xdr:sp macro="" textlink="">
      <xdr:nvSpPr>
        <xdr:cNvPr id="83007" name="Line 63">
          <a:extLst>
            <a:ext uri="{FF2B5EF4-FFF2-40B4-BE49-F238E27FC236}">
              <a16:creationId xmlns:a16="http://schemas.microsoft.com/office/drawing/2014/main" id="{174CBF34-1E26-47FC-8D11-EFB19595D952}"/>
            </a:ext>
          </a:extLst>
        </xdr:cNvPr>
        <xdr:cNvSpPr>
          <a:spLocks noChangeShapeType="1"/>
        </xdr:cNvSpPr>
      </xdr:nvSpPr>
      <xdr:spPr bwMode="auto">
        <a:xfrm>
          <a:off x="12923520" y="3208020"/>
          <a:ext cx="2209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43</xdr:col>
      <xdr:colOff>236220</xdr:colOff>
      <xdr:row>21</xdr:row>
      <xdr:rowOff>0</xdr:rowOff>
    </xdr:from>
    <xdr:to>
      <xdr:col>43</xdr:col>
      <xdr:colOff>518160</xdr:colOff>
      <xdr:row>21</xdr:row>
      <xdr:rowOff>0</xdr:rowOff>
    </xdr:to>
    <xdr:sp macro="" textlink="">
      <xdr:nvSpPr>
        <xdr:cNvPr id="83008" name="Line 64">
          <a:extLst>
            <a:ext uri="{FF2B5EF4-FFF2-40B4-BE49-F238E27FC236}">
              <a16:creationId xmlns:a16="http://schemas.microsoft.com/office/drawing/2014/main" id="{BFD19D25-A6D7-45D3-9635-437252D82D9D}"/>
            </a:ext>
          </a:extLst>
        </xdr:cNvPr>
        <xdr:cNvSpPr>
          <a:spLocks noChangeShapeType="1"/>
        </xdr:cNvSpPr>
      </xdr:nvSpPr>
      <xdr:spPr bwMode="auto">
        <a:xfrm>
          <a:off x="12542520" y="355092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236220</xdr:colOff>
      <xdr:row>18</xdr:row>
      <xdr:rowOff>160020</xdr:rowOff>
    </xdr:from>
    <xdr:to>
      <xdr:col>43</xdr:col>
      <xdr:colOff>579120</xdr:colOff>
      <xdr:row>18</xdr:row>
      <xdr:rowOff>160020</xdr:rowOff>
    </xdr:to>
    <xdr:sp macro="" textlink="">
      <xdr:nvSpPr>
        <xdr:cNvPr id="83009" name="Line 65">
          <a:extLst>
            <a:ext uri="{FF2B5EF4-FFF2-40B4-BE49-F238E27FC236}">
              <a16:creationId xmlns:a16="http://schemas.microsoft.com/office/drawing/2014/main" id="{9AA11E23-0321-4C1C-86CC-BD4847A61E67}"/>
            </a:ext>
          </a:extLst>
        </xdr:cNvPr>
        <xdr:cNvSpPr>
          <a:spLocks noChangeShapeType="1"/>
        </xdr:cNvSpPr>
      </xdr:nvSpPr>
      <xdr:spPr bwMode="auto">
        <a:xfrm>
          <a:off x="12542520" y="320802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320040</xdr:colOff>
      <xdr:row>18</xdr:row>
      <xdr:rowOff>160020</xdr:rowOff>
    </xdr:from>
    <xdr:to>
      <xdr:col>43</xdr:col>
      <xdr:colOff>320040</xdr:colOff>
      <xdr:row>21</xdr:row>
      <xdr:rowOff>0</xdr:rowOff>
    </xdr:to>
    <xdr:sp macro="" textlink="">
      <xdr:nvSpPr>
        <xdr:cNvPr id="83010" name="Line 66">
          <a:extLst>
            <a:ext uri="{FF2B5EF4-FFF2-40B4-BE49-F238E27FC236}">
              <a16:creationId xmlns:a16="http://schemas.microsoft.com/office/drawing/2014/main" id="{05100701-67D8-4E43-B5C4-8AD9D3534B08}"/>
            </a:ext>
          </a:extLst>
        </xdr:cNvPr>
        <xdr:cNvSpPr>
          <a:spLocks noChangeShapeType="1"/>
        </xdr:cNvSpPr>
      </xdr:nvSpPr>
      <xdr:spPr bwMode="auto">
        <a:xfrm>
          <a:off x="12626340" y="320802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44</xdr:col>
      <xdr:colOff>411480</xdr:colOff>
      <xdr:row>16</xdr:row>
      <xdr:rowOff>45720</xdr:rowOff>
    </xdr:from>
    <xdr:to>
      <xdr:col>44</xdr:col>
      <xdr:colOff>411480</xdr:colOff>
      <xdr:row>18</xdr:row>
      <xdr:rowOff>144780</xdr:rowOff>
    </xdr:to>
    <xdr:sp macro="" textlink="">
      <xdr:nvSpPr>
        <xdr:cNvPr id="83011" name="Line 67">
          <a:extLst>
            <a:ext uri="{FF2B5EF4-FFF2-40B4-BE49-F238E27FC236}">
              <a16:creationId xmlns:a16="http://schemas.microsoft.com/office/drawing/2014/main" id="{6AEDED43-5CB2-43EA-A112-89DF312A1821}"/>
            </a:ext>
          </a:extLst>
        </xdr:cNvPr>
        <xdr:cNvSpPr>
          <a:spLocks noChangeShapeType="1"/>
        </xdr:cNvSpPr>
      </xdr:nvSpPr>
      <xdr:spPr bwMode="auto">
        <a:xfrm>
          <a:off x="13342620" y="2758440"/>
          <a:ext cx="0" cy="434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44</xdr:col>
      <xdr:colOff>76200</xdr:colOff>
      <xdr:row>24</xdr:row>
      <xdr:rowOff>0</xdr:rowOff>
    </xdr:from>
    <xdr:to>
      <xdr:col>45</xdr:col>
      <xdr:colOff>137160</xdr:colOff>
      <xdr:row>25</xdr:row>
      <xdr:rowOff>60960</xdr:rowOff>
    </xdr:to>
    <xdr:sp macro="" textlink="">
      <xdr:nvSpPr>
        <xdr:cNvPr id="83012" name="Text Box 68">
          <a:extLst>
            <a:ext uri="{FF2B5EF4-FFF2-40B4-BE49-F238E27FC236}">
              <a16:creationId xmlns:a16="http://schemas.microsoft.com/office/drawing/2014/main" id="{E030A5B4-C339-4F01-A8C5-F21097F413D5}"/>
            </a:ext>
          </a:extLst>
        </xdr:cNvPr>
        <xdr:cNvSpPr txBox="1">
          <a:spLocks noChangeArrowheads="1"/>
        </xdr:cNvSpPr>
      </xdr:nvSpPr>
      <xdr:spPr bwMode="auto">
        <a:xfrm>
          <a:off x="13007340" y="4053840"/>
          <a:ext cx="685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Elevation</a:t>
          </a:r>
        </a:p>
      </xdr:txBody>
    </xdr:sp>
    <xdr:clientData/>
  </xdr:twoCellAnchor>
  <xdr:twoCellAnchor>
    <xdr:from>
      <xdr:col>44</xdr:col>
      <xdr:colOff>236220</xdr:colOff>
      <xdr:row>14</xdr:row>
      <xdr:rowOff>0</xdr:rowOff>
    </xdr:from>
    <xdr:to>
      <xdr:col>45</xdr:col>
      <xdr:colOff>7620</xdr:colOff>
      <xdr:row>15</xdr:row>
      <xdr:rowOff>38100</xdr:rowOff>
    </xdr:to>
    <xdr:sp macro="" textlink="">
      <xdr:nvSpPr>
        <xdr:cNvPr id="83013" name="Text Box 69">
          <a:extLst>
            <a:ext uri="{FF2B5EF4-FFF2-40B4-BE49-F238E27FC236}">
              <a16:creationId xmlns:a16="http://schemas.microsoft.com/office/drawing/2014/main" id="{D599C362-D764-49B9-9FDF-81800AFD0C93}"/>
            </a:ext>
          </a:extLst>
        </xdr:cNvPr>
        <xdr:cNvSpPr txBox="1">
          <a:spLocks noChangeArrowheads="1"/>
        </xdr:cNvSpPr>
      </xdr:nvSpPr>
      <xdr:spPr bwMode="auto">
        <a:xfrm>
          <a:off x="13167360" y="2377440"/>
          <a:ext cx="3962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Plan</a:t>
          </a:r>
        </a:p>
      </xdr:txBody>
    </xdr:sp>
    <xdr:clientData/>
  </xdr:twoCellAnchor>
  <xdr:twoCellAnchor>
    <xdr:from>
      <xdr:col>43</xdr:col>
      <xdr:colOff>556260</xdr:colOff>
      <xdr:row>11</xdr:row>
      <xdr:rowOff>129540</xdr:rowOff>
    </xdr:from>
    <xdr:to>
      <xdr:col>44</xdr:col>
      <xdr:colOff>76200</xdr:colOff>
      <xdr:row>12</xdr:row>
      <xdr:rowOff>106680</xdr:rowOff>
    </xdr:to>
    <xdr:sp macro="" textlink="">
      <xdr:nvSpPr>
        <xdr:cNvPr id="83014" name="Oval 70">
          <a:extLst>
            <a:ext uri="{FF2B5EF4-FFF2-40B4-BE49-F238E27FC236}">
              <a16:creationId xmlns:a16="http://schemas.microsoft.com/office/drawing/2014/main" id="{F895CF99-B6D0-4203-ACF6-8C5BEF69F20F}"/>
            </a:ext>
          </a:extLst>
        </xdr:cNvPr>
        <xdr:cNvSpPr>
          <a:spLocks noChangeArrowheads="1"/>
        </xdr:cNvSpPr>
      </xdr:nvSpPr>
      <xdr:spPr bwMode="auto">
        <a:xfrm>
          <a:off x="12862560" y="2004060"/>
          <a:ext cx="14478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43</xdr:col>
      <xdr:colOff>556260</xdr:colOff>
      <xdr:row>7</xdr:row>
      <xdr:rowOff>38100</xdr:rowOff>
    </xdr:from>
    <xdr:to>
      <xdr:col>44</xdr:col>
      <xdr:colOff>76200</xdr:colOff>
      <xdr:row>8</xdr:row>
      <xdr:rowOff>22860</xdr:rowOff>
    </xdr:to>
    <xdr:sp macro="" textlink="">
      <xdr:nvSpPr>
        <xdr:cNvPr id="83015" name="Oval 71">
          <a:extLst>
            <a:ext uri="{FF2B5EF4-FFF2-40B4-BE49-F238E27FC236}">
              <a16:creationId xmlns:a16="http://schemas.microsoft.com/office/drawing/2014/main" id="{50CC3267-08C1-42EF-BBA7-56A5ED8B7274}"/>
            </a:ext>
          </a:extLst>
        </xdr:cNvPr>
        <xdr:cNvSpPr>
          <a:spLocks noChangeArrowheads="1"/>
        </xdr:cNvSpPr>
      </xdr:nvSpPr>
      <xdr:spPr bwMode="auto">
        <a:xfrm>
          <a:off x="12862560" y="1242060"/>
          <a:ext cx="14478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114300</xdr:colOff>
      <xdr:row>11</xdr:row>
      <xdr:rowOff>129540</xdr:rowOff>
    </xdr:from>
    <xdr:to>
      <xdr:col>45</xdr:col>
      <xdr:colOff>266700</xdr:colOff>
      <xdr:row>12</xdr:row>
      <xdr:rowOff>106680</xdr:rowOff>
    </xdr:to>
    <xdr:sp macro="" textlink="">
      <xdr:nvSpPr>
        <xdr:cNvPr id="83016" name="Oval 72">
          <a:extLst>
            <a:ext uri="{FF2B5EF4-FFF2-40B4-BE49-F238E27FC236}">
              <a16:creationId xmlns:a16="http://schemas.microsoft.com/office/drawing/2014/main" id="{E20D3AFE-85E4-4408-A6AE-1B8CDC25BF9B}"/>
            </a:ext>
          </a:extLst>
        </xdr:cNvPr>
        <xdr:cNvSpPr>
          <a:spLocks noChangeArrowheads="1"/>
        </xdr:cNvSpPr>
      </xdr:nvSpPr>
      <xdr:spPr bwMode="auto">
        <a:xfrm>
          <a:off x="13670280" y="2004060"/>
          <a:ext cx="15240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45</xdr:col>
      <xdr:colOff>114300</xdr:colOff>
      <xdr:row>7</xdr:row>
      <xdr:rowOff>38100</xdr:rowOff>
    </xdr:from>
    <xdr:to>
      <xdr:col>45</xdr:col>
      <xdr:colOff>266700</xdr:colOff>
      <xdr:row>8</xdr:row>
      <xdr:rowOff>22860</xdr:rowOff>
    </xdr:to>
    <xdr:sp macro="" textlink="">
      <xdr:nvSpPr>
        <xdr:cNvPr id="83017" name="Oval 73">
          <a:extLst>
            <a:ext uri="{FF2B5EF4-FFF2-40B4-BE49-F238E27FC236}">
              <a16:creationId xmlns:a16="http://schemas.microsoft.com/office/drawing/2014/main" id="{C726A8C2-9BBF-4A26-BC0E-74AB4A5F947A}"/>
            </a:ext>
          </a:extLst>
        </xdr:cNvPr>
        <xdr:cNvSpPr>
          <a:spLocks noChangeArrowheads="1"/>
        </xdr:cNvSpPr>
      </xdr:nvSpPr>
      <xdr:spPr bwMode="auto">
        <a:xfrm>
          <a:off x="13670280" y="124206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251460</xdr:colOff>
      <xdr:row>9</xdr:row>
      <xdr:rowOff>0</xdr:rowOff>
    </xdr:from>
    <xdr:to>
      <xdr:col>44</xdr:col>
      <xdr:colOff>563880</xdr:colOff>
      <xdr:row>10</xdr:row>
      <xdr:rowOff>144780</xdr:rowOff>
    </xdr:to>
    <xdr:sp macro="" textlink="">
      <xdr:nvSpPr>
        <xdr:cNvPr id="83018" name="Rectangle 74">
          <a:extLst>
            <a:ext uri="{FF2B5EF4-FFF2-40B4-BE49-F238E27FC236}">
              <a16:creationId xmlns:a16="http://schemas.microsoft.com/office/drawing/2014/main" id="{9BF7D57A-D4B3-4C5B-A742-808AF0014249}"/>
            </a:ext>
          </a:extLst>
        </xdr:cNvPr>
        <xdr:cNvSpPr>
          <a:spLocks noChangeArrowheads="1"/>
        </xdr:cNvSpPr>
      </xdr:nvSpPr>
      <xdr:spPr bwMode="auto">
        <a:xfrm>
          <a:off x="13182600" y="1539240"/>
          <a:ext cx="312420" cy="3124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44</xdr:col>
      <xdr:colOff>411480</xdr:colOff>
      <xdr:row>7</xdr:row>
      <xdr:rowOff>129540</xdr:rowOff>
    </xdr:from>
    <xdr:to>
      <xdr:col>44</xdr:col>
      <xdr:colOff>411480</xdr:colOff>
      <xdr:row>9</xdr:row>
      <xdr:rowOff>137160</xdr:rowOff>
    </xdr:to>
    <xdr:sp macro="" textlink="">
      <xdr:nvSpPr>
        <xdr:cNvPr id="83019" name="Line 75">
          <a:extLst>
            <a:ext uri="{FF2B5EF4-FFF2-40B4-BE49-F238E27FC236}">
              <a16:creationId xmlns:a16="http://schemas.microsoft.com/office/drawing/2014/main" id="{67EE483F-4F43-4DB5-9264-2DF19DB0F290}"/>
            </a:ext>
          </a:extLst>
        </xdr:cNvPr>
        <xdr:cNvSpPr>
          <a:spLocks noChangeShapeType="1"/>
        </xdr:cNvSpPr>
      </xdr:nvSpPr>
      <xdr:spPr bwMode="auto">
        <a:xfrm flipV="1">
          <a:off x="13342620" y="13335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426720</xdr:colOff>
      <xdr:row>9</xdr:row>
      <xdr:rowOff>160020</xdr:rowOff>
    </xdr:from>
    <xdr:to>
      <xdr:col>45</xdr:col>
      <xdr:colOff>175260</xdr:colOff>
      <xdr:row>9</xdr:row>
      <xdr:rowOff>160020</xdr:rowOff>
    </xdr:to>
    <xdr:sp macro="" textlink="">
      <xdr:nvSpPr>
        <xdr:cNvPr id="83020" name="Line 76">
          <a:extLst>
            <a:ext uri="{FF2B5EF4-FFF2-40B4-BE49-F238E27FC236}">
              <a16:creationId xmlns:a16="http://schemas.microsoft.com/office/drawing/2014/main" id="{53BC379E-26C9-4CF2-A37B-154EB554F646}"/>
            </a:ext>
          </a:extLst>
        </xdr:cNvPr>
        <xdr:cNvSpPr>
          <a:spLocks noChangeShapeType="1"/>
        </xdr:cNvSpPr>
      </xdr:nvSpPr>
      <xdr:spPr bwMode="auto">
        <a:xfrm>
          <a:off x="13357860" y="1699260"/>
          <a:ext cx="373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441960</xdr:colOff>
      <xdr:row>8</xdr:row>
      <xdr:rowOff>68580</xdr:rowOff>
    </xdr:from>
    <xdr:to>
      <xdr:col>44</xdr:col>
      <xdr:colOff>411480</xdr:colOff>
      <xdr:row>8</xdr:row>
      <xdr:rowOff>68580</xdr:rowOff>
    </xdr:to>
    <xdr:sp macro="" textlink="">
      <xdr:nvSpPr>
        <xdr:cNvPr id="83021" name="Line 77">
          <a:extLst>
            <a:ext uri="{FF2B5EF4-FFF2-40B4-BE49-F238E27FC236}">
              <a16:creationId xmlns:a16="http://schemas.microsoft.com/office/drawing/2014/main" id="{83BAA3C4-BADD-4B6C-BE70-43117C3D5095}"/>
            </a:ext>
          </a:extLst>
        </xdr:cNvPr>
        <xdr:cNvSpPr>
          <a:spLocks noChangeShapeType="1"/>
        </xdr:cNvSpPr>
      </xdr:nvSpPr>
      <xdr:spPr bwMode="auto">
        <a:xfrm>
          <a:off x="12748260" y="1440180"/>
          <a:ext cx="594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45</xdr:col>
      <xdr:colOff>38100</xdr:colOff>
      <xdr:row>9</xdr:row>
      <xdr:rowOff>160020</xdr:rowOff>
    </xdr:from>
    <xdr:to>
      <xdr:col>45</xdr:col>
      <xdr:colOff>38100</xdr:colOff>
      <xdr:row>13</xdr:row>
      <xdr:rowOff>60960</xdr:rowOff>
    </xdr:to>
    <xdr:sp macro="" textlink="">
      <xdr:nvSpPr>
        <xdr:cNvPr id="83022" name="Line 78">
          <a:extLst>
            <a:ext uri="{FF2B5EF4-FFF2-40B4-BE49-F238E27FC236}">
              <a16:creationId xmlns:a16="http://schemas.microsoft.com/office/drawing/2014/main" id="{BD00EDC5-690F-427B-B3CE-B159E553DE02}"/>
            </a:ext>
          </a:extLst>
        </xdr:cNvPr>
        <xdr:cNvSpPr>
          <a:spLocks noChangeShapeType="1"/>
        </xdr:cNvSpPr>
      </xdr:nvSpPr>
      <xdr:spPr bwMode="auto">
        <a:xfrm>
          <a:off x="13594080" y="169926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43</xdr:col>
      <xdr:colOff>457200</xdr:colOff>
      <xdr:row>12</xdr:row>
      <xdr:rowOff>38100</xdr:rowOff>
    </xdr:from>
    <xdr:to>
      <xdr:col>44</xdr:col>
      <xdr:colOff>7620</xdr:colOff>
      <xdr:row>13</xdr:row>
      <xdr:rowOff>68580</xdr:rowOff>
    </xdr:to>
    <xdr:sp macro="" textlink="">
      <xdr:nvSpPr>
        <xdr:cNvPr id="83023" name="Text Box 79">
          <a:extLst>
            <a:ext uri="{FF2B5EF4-FFF2-40B4-BE49-F238E27FC236}">
              <a16:creationId xmlns:a16="http://schemas.microsoft.com/office/drawing/2014/main" id="{2DFE4468-F234-491E-A6A4-350FB9691F72}"/>
            </a:ext>
          </a:extLst>
        </xdr:cNvPr>
        <xdr:cNvSpPr txBox="1">
          <a:spLocks noChangeArrowheads="1"/>
        </xdr:cNvSpPr>
      </xdr:nvSpPr>
      <xdr:spPr bwMode="auto">
        <a:xfrm>
          <a:off x="12763500" y="20802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1</a:t>
          </a:r>
        </a:p>
      </xdr:txBody>
    </xdr:sp>
    <xdr:clientData/>
  </xdr:twoCellAnchor>
  <xdr:twoCellAnchor>
    <xdr:from>
      <xdr:col>45</xdr:col>
      <xdr:colOff>243840</xdr:colOff>
      <xdr:row>12</xdr:row>
      <xdr:rowOff>45720</xdr:rowOff>
    </xdr:from>
    <xdr:to>
      <xdr:col>45</xdr:col>
      <xdr:colOff>419100</xdr:colOff>
      <xdr:row>13</xdr:row>
      <xdr:rowOff>76200</xdr:rowOff>
    </xdr:to>
    <xdr:sp macro="" textlink="">
      <xdr:nvSpPr>
        <xdr:cNvPr id="83024" name="Text Box 80">
          <a:extLst>
            <a:ext uri="{FF2B5EF4-FFF2-40B4-BE49-F238E27FC236}">
              <a16:creationId xmlns:a16="http://schemas.microsoft.com/office/drawing/2014/main" id="{BFF66574-56A9-4F04-B2B1-F037BC01E634}"/>
            </a:ext>
          </a:extLst>
        </xdr:cNvPr>
        <xdr:cNvSpPr txBox="1">
          <a:spLocks noChangeArrowheads="1"/>
        </xdr:cNvSpPr>
      </xdr:nvSpPr>
      <xdr:spPr bwMode="auto">
        <a:xfrm>
          <a:off x="13799820" y="20878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2</a:t>
          </a:r>
        </a:p>
      </xdr:txBody>
    </xdr:sp>
    <xdr:clientData/>
  </xdr:twoCellAnchor>
  <xdr:twoCellAnchor>
    <xdr:from>
      <xdr:col>43</xdr:col>
      <xdr:colOff>449580</xdr:colOff>
      <xdr:row>6</xdr:row>
      <xdr:rowOff>91440</xdr:rowOff>
    </xdr:from>
    <xdr:to>
      <xdr:col>44</xdr:col>
      <xdr:colOff>0</xdr:colOff>
      <xdr:row>7</xdr:row>
      <xdr:rowOff>121920</xdr:rowOff>
    </xdr:to>
    <xdr:sp macro="" textlink="">
      <xdr:nvSpPr>
        <xdr:cNvPr id="83025" name="Text Box 81">
          <a:extLst>
            <a:ext uri="{FF2B5EF4-FFF2-40B4-BE49-F238E27FC236}">
              <a16:creationId xmlns:a16="http://schemas.microsoft.com/office/drawing/2014/main" id="{61BABC3A-464B-462B-A174-F87780C27EE5}"/>
            </a:ext>
          </a:extLst>
        </xdr:cNvPr>
        <xdr:cNvSpPr txBox="1">
          <a:spLocks noChangeArrowheads="1"/>
        </xdr:cNvSpPr>
      </xdr:nvSpPr>
      <xdr:spPr bwMode="auto">
        <a:xfrm>
          <a:off x="12755880" y="11277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3</a:t>
          </a:r>
        </a:p>
      </xdr:txBody>
    </xdr:sp>
    <xdr:clientData/>
  </xdr:twoCellAnchor>
  <xdr:twoCellAnchor>
    <xdr:from>
      <xdr:col>45</xdr:col>
      <xdr:colOff>243840</xdr:colOff>
      <xdr:row>6</xdr:row>
      <xdr:rowOff>99060</xdr:rowOff>
    </xdr:from>
    <xdr:to>
      <xdr:col>45</xdr:col>
      <xdr:colOff>419100</xdr:colOff>
      <xdr:row>7</xdr:row>
      <xdr:rowOff>129540</xdr:rowOff>
    </xdr:to>
    <xdr:sp macro="" textlink="">
      <xdr:nvSpPr>
        <xdr:cNvPr id="83026" name="Text Box 82">
          <a:extLst>
            <a:ext uri="{FF2B5EF4-FFF2-40B4-BE49-F238E27FC236}">
              <a16:creationId xmlns:a16="http://schemas.microsoft.com/office/drawing/2014/main" id="{D89E8962-78DE-486A-8D40-7FA3BDE3A64F}"/>
            </a:ext>
          </a:extLst>
        </xdr:cNvPr>
        <xdr:cNvSpPr txBox="1">
          <a:spLocks noChangeArrowheads="1"/>
        </xdr:cNvSpPr>
      </xdr:nvSpPr>
      <xdr:spPr bwMode="auto">
        <a:xfrm>
          <a:off x="13799820" y="11353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4</a:t>
          </a:r>
        </a:p>
      </xdr:txBody>
    </xdr:sp>
    <xdr:clientData/>
  </xdr:twoCellAnchor>
  <xdr:twoCellAnchor>
    <xdr:from>
      <xdr:col>43</xdr:col>
      <xdr:colOff>472440</xdr:colOff>
      <xdr:row>10</xdr:row>
      <xdr:rowOff>30480</xdr:rowOff>
    </xdr:from>
    <xdr:to>
      <xdr:col>44</xdr:col>
      <xdr:colOff>106680</xdr:colOff>
      <xdr:row>11</xdr:row>
      <xdr:rowOff>76200</xdr:rowOff>
    </xdr:to>
    <xdr:sp macro="" textlink="">
      <xdr:nvSpPr>
        <xdr:cNvPr id="83027" name="Text Box 83">
          <a:extLst>
            <a:ext uri="{FF2B5EF4-FFF2-40B4-BE49-F238E27FC236}">
              <a16:creationId xmlns:a16="http://schemas.microsoft.com/office/drawing/2014/main" id="{22AEA564-7E5B-40F9-B03D-7F4AF188036B}"/>
            </a:ext>
          </a:extLst>
        </xdr:cNvPr>
        <xdr:cNvSpPr txBox="1">
          <a:spLocks noChangeArrowheads="1"/>
        </xdr:cNvSpPr>
      </xdr:nvSpPr>
      <xdr:spPr bwMode="auto">
        <a:xfrm>
          <a:off x="12778740" y="173736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r>
            <a:rPr lang="en-US" sz="800" b="0" i="0" u="none" strike="noStrike" baseline="0%">
              <a:solidFill>
                <a:srgbClr val="0000FF"/>
              </a:solidFill>
              <a:latin typeface="Arial"/>
              <a:cs typeface="Arial"/>
            </a:rPr>
            <a:t>o</a:t>
          </a:r>
        </a:p>
      </xdr:txBody>
    </xdr:sp>
    <xdr:clientData/>
  </xdr:twoCellAnchor>
  <xdr:twoCellAnchor>
    <xdr:from>
      <xdr:col>44</xdr:col>
      <xdr:colOff>167640</xdr:colOff>
      <xdr:row>12</xdr:row>
      <xdr:rowOff>30480</xdr:rowOff>
    </xdr:from>
    <xdr:to>
      <xdr:col>44</xdr:col>
      <xdr:colOff>426720</xdr:colOff>
      <xdr:row>13</xdr:row>
      <xdr:rowOff>76200</xdr:rowOff>
    </xdr:to>
    <xdr:sp macro="" textlink="">
      <xdr:nvSpPr>
        <xdr:cNvPr id="83028" name="Text Box 84">
          <a:extLst>
            <a:ext uri="{FF2B5EF4-FFF2-40B4-BE49-F238E27FC236}">
              <a16:creationId xmlns:a16="http://schemas.microsoft.com/office/drawing/2014/main" id="{61750898-D022-4FE4-BE39-FA0B1E6BF43E}"/>
            </a:ext>
          </a:extLst>
        </xdr:cNvPr>
        <xdr:cNvSpPr txBox="1">
          <a:spLocks noChangeArrowheads="1"/>
        </xdr:cNvSpPr>
      </xdr:nvSpPr>
      <xdr:spPr bwMode="auto">
        <a:xfrm>
          <a:off x="13098780" y="207264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yo</a:t>
          </a:r>
        </a:p>
      </xdr:txBody>
    </xdr:sp>
    <xdr:clientData/>
  </xdr:twoCellAnchor>
  <xdr:twoCellAnchor>
    <xdr:from>
      <xdr:col>44</xdr:col>
      <xdr:colOff>106680</xdr:colOff>
      <xdr:row>7</xdr:row>
      <xdr:rowOff>76200</xdr:rowOff>
    </xdr:from>
    <xdr:to>
      <xdr:col>44</xdr:col>
      <xdr:colOff>373380</xdr:colOff>
      <xdr:row>8</xdr:row>
      <xdr:rowOff>129540</xdr:rowOff>
    </xdr:to>
    <xdr:sp macro="" textlink="">
      <xdr:nvSpPr>
        <xdr:cNvPr id="83029" name="Text Box 85">
          <a:extLst>
            <a:ext uri="{FF2B5EF4-FFF2-40B4-BE49-F238E27FC236}">
              <a16:creationId xmlns:a16="http://schemas.microsoft.com/office/drawing/2014/main" id="{665DF6B0-DEFE-43AE-8FDD-BF7205209094}"/>
            </a:ext>
          </a:extLst>
        </xdr:cNvPr>
        <xdr:cNvSpPr txBox="1">
          <a:spLocks noChangeArrowheads="1"/>
        </xdr:cNvSpPr>
      </xdr:nvSpPr>
      <xdr:spPr bwMode="auto">
        <a:xfrm>
          <a:off x="13037820" y="128016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p>
      </xdr:txBody>
    </xdr:sp>
    <xdr:clientData/>
  </xdr:twoCellAnchor>
  <xdr:twoCellAnchor>
    <xdr:from>
      <xdr:col>45</xdr:col>
      <xdr:colOff>45720</xdr:colOff>
      <xdr:row>10</xdr:row>
      <xdr:rowOff>137160</xdr:rowOff>
    </xdr:from>
    <xdr:to>
      <xdr:col>45</xdr:col>
      <xdr:colOff>312420</xdr:colOff>
      <xdr:row>12</xdr:row>
      <xdr:rowOff>22860</xdr:rowOff>
    </xdr:to>
    <xdr:sp macro="" textlink="">
      <xdr:nvSpPr>
        <xdr:cNvPr id="83030" name="Text Box 86">
          <a:extLst>
            <a:ext uri="{FF2B5EF4-FFF2-40B4-BE49-F238E27FC236}">
              <a16:creationId xmlns:a16="http://schemas.microsoft.com/office/drawing/2014/main" id="{2D381A91-1CDA-4F95-92DA-8B28E610010A}"/>
            </a:ext>
          </a:extLst>
        </xdr:cNvPr>
        <xdr:cNvSpPr txBox="1">
          <a:spLocks noChangeArrowheads="1"/>
        </xdr:cNvSpPr>
      </xdr:nvSpPr>
      <xdr:spPr bwMode="auto">
        <a:xfrm>
          <a:off x="13601700" y="184404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Y</a:t>
          </a:r>
        </a:p>
      </xdr:txBody>
    </xdr:sp>
    <xdr:clientData/>
  </xdr:twoCellAnchor>
  <xdr:twoCellAnchor>
    <xdr:from>
      <xdr:col>45</xdr:col>
      <xdr:colOff>548640</xdr:colOff>
      <xdr:row>12</xdr:row>
      <xdr:rowOff>144780</xdr:rowOff>
    </xdr:from>
    <xdr:to>
      <xdr:col>46</xdr:col>
      <xdr:colOff>182880</xdr:colOff>
      <xdr:row>14</xdr:row>
      <xdr:rowOff>30480</xdr:rowOff>
    </xdr:to>
    <xdr:sp macro="" textlink="">
      <xdr:nvSpPr>
        <xdr:cNvPr id="83031" name="Text Box 87">
          <a:extLst>
            <a:ext uri="{FF2B5EF4-FFF2-40B4-BE49-F238E27FC236}">
              <a16:creationId xmlns:a16="http://schemas.microsoft.com/office/drawing/2014/main" id="{CA6D6249-DF2A-41AB-91E6-2F25650E3D71}"/>
            </a:ext>
          </a:extLst>
        </xdr:cNvPr>
        <xdr:cNvSpPr txBox="1">
          <a:spLocks noChangeArrowheads="1"/>
        </xdr:cNvSpPr>
      </xdr:nvSpPr>
      <xdr:spPr bwMode="auto">
        <a:xfrm>
          <a:off x="14104620" y="2186940"/>
          <a:ext cx="2590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+X</a:t>
          </a:r>
        </a:p>
      </xdr:txBody>
    </xdr:sp>
    <xdr:clientData/>
  </xdr:twoCellAnchor>
  <xdr:twoCellAnchor>
    <xdr:from>
      <xdr:col>43</xdr:col>
      <xdr:colOff>312420</xdr:colOff>
      <xdr:row>4</xdr:row>
      <xdr:rowOff>99060</xdr:rowOff>
    </xdr:from>
    <xdr:to>
      <xdr:col>43</xdr:col>
      <xdr:colOff>579120</xdr:colOff>
      <xdr:row>5</xdr:row>
      <xdr:rowOff>144780</xdr:rowOff>
    </xdr:to>
    <xdr:sp macro="" textlink="">
      <xdr:nvSpPr>
        <xdr:cNvPr id="83032" name="Text Box 88">
          <a:extLst>
            <a:ext uri="{FF2B5EF4-FFF2-40B4-BE49-F238E27FC236}">
              <a16:creationId xmlns:a16="http://schemas.microsoft.com/office/drawing/2014/main" id="{11302611-CECE-4364-A1B0-D09464C8FA2E}"/>
            </a:ext>
          </a:extLst>
        </xdr:cNvPr>
        <xdr:cNvSpPr txBox="1">
          <a:spLocks noChangeArrowheads="1"/>
        </xdr:cNvSpPr>
      </xdr:nvSpPr>
      <xdr:spPr bwMode="auto">
        <a:xfrm>
          <a:off x="12618720" y="800100"/>
          <a:ext cx="2667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+Y</a:t>
          </a:r>
        </a:p>
      </xdr:txBody>
    </xdr:sp>
    <xdr:clientData/>
  </xdr:twoCellAnchor>
  <xdr:twoCellAnchor>
    <xdr:from>
      <xdr:col>43</xdr:col>
      <xdr:colOff>129540</xdr:colOff>
      <xdr:row>13</xdr:row>
      <xdr:rowOff>99060</xdr:rowOff>
    </xdr:from>
    <xdr:to>
      <xdr:col>43</xdr:col>
      <xdr:colOff>388620</xdr:colOff>
      <xdr:row>14</xdr:row>
      <xdr:rowOff>144780</xdr:rowOff>
    </xdr:to>
    <xdr:sp macro="" textlink="">
      <xdr:nvSpPr>
        <xdr:cNvPr id="83033" name="Text Box 89">
          <a:extLst>
            <a:ext uri="{FF2B5EF4-FFF2-40B4-BE49-F238E27FC236}">
              <a16:creationId xmlns:a16="http://schemas.microsoft.com/office/drawing/2014/main" id="{A09903C9-6880-4FB4-9F06-483DDE6AFFCB}"/>
            </a:ext>
          </a:extLst>
        </xdr:cNvPr>
        <xdr:cNvSpPr txBox="1">
          <a:spLocks noChangeArrowheads="1"/>
        </xdr:cNvSpPr>
      </xdr:nvSpPr>
      <xdr:spPr bwMode="auto">
        <a:xfrm>
          <a:off x="12435840" y="230886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+Z</a:t>
          </a:r>
        </a:p>
      </xdr:txBody>
    </xdr:sp>
    <xdr:clientData/>
  </xdr:twoCellAnchor>
  <xdr:twoCellAnchor>
    <xdr:from>
      <xdr:col>44</xdr:col>
      <xdr:colOff>419100</xdr:colOff>
      <xdr:row>15</xdr:row>
      <xdr:rowOff>144780</xdr:rowOff>
    </xdr:from>
    <xdr:to>
      <xdr:col>45</xdr:col>
      <xdr:colOff>160020</xdr:colOff>
      <xdr:row>17</xdr:row>
      <xdr:rowOff>30480</xdr:rowOff>
    </xdr:to>
    <xdr:sp macro="" textlink="">
      <xdr:nvSpPr>
        <xdr:cNvPr id="83034" name="Text Box 90">
          <a:extLst>
            <a:ext uri="{FF2B5EF4-FFF2-40B4-BE49-F238E27FC236}">
              <a16:creationId xmlns:a16="http://schemas.microsoft.com/office/drawing/2014/main" id="{D26FC26A-BE43-4EDD-ABD7-4D7ACB0A7BE1}"/>
            </a:ext>
          </a:extLst>
        </xdr:cNvPr>
        <xdr:cNvSpPr txBox="1">
          <a:spLocks noChangeArrowheads="1"/>
        </xdr:cNvSpPr>
      </xdr:nvSpPr>
      <xdr:spPr bwMode="auto">
        <a:xfrm>
          <a:off x="13350240" y="2689860"/>
          <a:ext cx="3657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-P</a:t>
          </a:r>
          <a:r>
            <a:rPr lang="en-US" sz="800" b="1" i="0" u="none" strike="noStrike" baseline="0%">
              <a:solidFill>
                <a:srgbClr val="0000FF"/>
              </a:solidFill>
              <a:latin typeface="Arial"/>
              <a:cs typeface="Arial"/>
            </a:rPr>
            <a:t>z</a:t>
          </a:r>
        </a:p>
      </xdr:txBody>
    </xdr:sp>
    <xdr:clientData/>
  </xdr:twoCellAnchor>
  <xdr:twoCellAnchor>
    <xdr:from>
      <xdr:col>44</xdr:col>
      <xdr:colOff>548640</xdr:colOff>
      <xdr:row>18</xdr:row>
      <xdr:rowOff>0</xdr:rowOff>
    </xdr:from>
    <xdr:to>
      <xdr:col>45</xdr:col>
      <xdr:colOff>289560</xdr:colOff>
      <xdr:row>19</xdr:row>
      <xdr:rowOff>76200</xdr:rowOff>
    </xdr:to>
    <xdr:sp macro="" textlink="">
      <xdr:nvSpPr>
        <xdr:cNvPr id="83035" name="Text Box 91">
          <a:extLst>
            <a:ext uri="{FF2B5EF4-FFF2-40B4-BE49-F238E27FC236}">
              <a16:creationId xmlns:a16="http://schemas.microsoft.com/office/drawing/2014/main" id="{E196FD01-FA76-46ED-B72B-6756A1287115}"/>
            </a:ext>
          </a:extLst>
        </xdr:cNvPr>
        <xdr:cNvSpPr txBox="1">
          <a:spLocks noChangeArrowheads="1"/>
        </xdr:cNvSpPr>
      </xdr:nvSpPr>
      <xdr:spPr bwMode="auto">
        <a:xfrm>
          <a:off x="13479780" y="3048000"/>
          <a:ext cx="36576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+M</a:t>
          </a:r>
          <a:r>
            <a:rPr lang="en-US" sz="800" b="1" i="0" u="none" strike="noStrike" baseline="0%">
              <a:solidFill>
                <a:srgbClr val="0000FF"/>
              </a:solidFill>
              <a:latin typeface="Arial"/>
              <a:cs typeface="Arial"/>
            </a:rPr>
            <a:t>y</a:t>
          </a:r>
        </a:p>
      </xdr:txBody>
    </xdr:sp>
    <xdr:clientData/>
  </xdr:twoCellAnchor>
  <xdr:twoCellAnchor>
    <xdr:from>
      <xdr:col>43</xdr:col>
      <xdr:colOff>563880</xdr:colOff>
      <xdr:row>17</xdr:row>
      <xdr:rowOff>144780</xdr:rowOff>
    </xdr:from>
    <xdr:to>
      <xdr:col>44</xdr:col>
      <xdr:colOff>312420</xdr:colOff>
      <xdr:row>19</xdr:row>
      <xdr:rowOff>60960</xdr:rowOff>
    </xdr:to>
    <xdr:sp macro="" textlink="">
      <xdr:nvSpPr>
        <xdr:cNvPr id="83036" name="Text Box 92">
          <a:extLst>
            <a:ext uri="{FF2B5EF4-FFF2-40B4-BE49-F238E27FC236}">
              <a16:creationId xmlns:a16="http://schemas.microsoft.com/office/drawing/2014/main" id="{FD2E5F5D-0BA6-455E-B3D5-35EC72A22D58}"/>
            </a:ext>
          </a:extLst>
        </xdr:cNvPr>
        <xdr:cNvSpPr txBox="1">
          <a:spLocks noChangeArrowheads="1"/>
        </xdr:cNvSpPr>
      </xdr:nvSpPr>
      <xdr:spPr bwMode="auto">
        <a:xfrm>
          <a:off x="12870180" y="3025140"/>
          <a:ext cx="373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+H</a:t>
          </a:r>
          <a:r>
            <a:rPr lang="en-US" sz="800" b="1" i="0" u="none" strike="noStrike" baseline="0%">
              <a:solidFill>
                <a:srgbClr val="0000FF"/>
              </a:solidFill>
              <a:latin typeface="Arial"/>
              <a:cs typeface="Arial"/>
            </a:rPr>
            <a:t>x</a:t>
          </a:r>
        </a:p>
      </xdr:txBody>
    </xdr:sp>
    <xdr:clientData/>
  </xdr:twoCellAnchor>
  <xdr:twoCellAnchor>
    <xdr:from>
      <xdr:col>43</xdr:col>
      <xdr:colOff>205740</xdr:colOff>
      <xdr:row>19</xdr:row>
      <xdr:rowOff>76200</xdr:rowOff>
    </xdr:from>
    <xdr:to>
      <xdr:col>43</xdr:col>
      <xdr:colOff>381000</xdr:colOff>
      <xdr:row>20</xdr:row>
      <xdr:rowOff>106680</xdr:rowOff>
    </xdr:to>
    <xdr:sp macro="" textlink="">
      <xdr:nvSpPr>
        <xdr:cNvPr id="83037" name="Text Box 93">
          <a:extLst>
            <a:ext uri="{FF2B5EF4-FFF2-40B4-BE49-F238E27FC236}">
              <a16:creationId xmlns:a16="http://schemas.microsoft.com/office/drawing/2014/main" id="{8F730B94-6518-4020-A97B-C8590048F00A}"/>
            </a:ext>
          </a:extLst>
        </xdr:cNvPr>
        <xdr:cNvSpPr txBox="1">
          <a:spLocks noChangeArrowheads="1"/>
        </xdr:cNvSpPr>
      </xdr:nvSpPr>
      <xdr:spPr bwMode="auto">
        <a:xfrm>
          <a:off x="12512040" y="329184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h</a:t>
          </a:r>
        </a:p>
      </xdr:txBody>
    </xdr:sp>
    <xdr:clientData/>
  </xdr:twoCellAnchor>
  <xdr:twoCellAnchor>
    <xdr:from>
      <xdr:col>44</xdr:col>
      <xdr:colOff>251460</xdr:colOff>
      <xdr:row>17</xdr:row>
      <xdr:rowOff>22860</xdr:rowOff>
    </xdr:from>
    <xdr:to>
      <xdr:col>44</xdr:col>
      <xdr:colOff>563880</xdr:colOff>
      <xdr:row>19</xdr:row>
      <xdr:rowOff>0</xdr:rowOff>
    </xdr:to>
    <xdr:sp macro="" textlink="">
      <xdr:nvSpPr>
        <xdr:cNvPr id="83038" name="Arc 94">
          <a:extLst>
            <a:ext uri="{FF2B5EF4-FFF2-40B4-BE49-F238E27FC236}">
              <a16:creationId xmlns:a16="http://schemas.microsoft.com/office/drawing/2014/main" id="{5107F0B3-496A-41F4-9A7A-A95C75321B8E}"/>
            </a:ext>
          </a:extLst>
        </xdr:cNvPr>
        <xdr:cNvSpPr>
          <a:spLocks/>
        </xdr:cNvSpPr>
      </xdr:nvSpPr>
      <xdr:spPr bwMode="auto">
        <a:xfrm rot="18900000">
          <a:off x="13182600" y="2903220"/>
          <a:ext cx="312420" cy="312420"/>
        </a:xfrm>
        <a:custGeom>
          <a:avLst/>
          <a:gdLst>
            <a:gd name="G0" fmla="+- 10424 0 0"/>
            <a:gd name="G1" fmla="+- 21600 0 0"/>
            <a:gd name="G2" fmla="+- 21600 0 0"/>
            <a:gd name="T0" fmla="*/ 0 w 32024"/>
            <a:gd name="T1" fmla="*/ 2682 h 33135"/>
            <a:gd name="T2" fmla="*/ 28686 w 32024"/>
            <a:gd name="T3" fmla="*/ 33135 h 33135"/>
            <a:gd name="T4" fmla="*/ 10424 w 32024"/>
            <a:gd name="T5" fmla="*/ 21600 h 33135"/>
          </a:gdLst>
          <a:ahLst/>
          <a:cxnLst>
            <a:cxn ang="0">
              <a:pos x="T0" y="T1"/>
            </a:cxn>
            <a:cxn ang="0">
              <a:pos x="T2" y="T3"/>
            </a:cxn>
            <a:cxn ang="0">
              <a:pos x="T4" y="T5"/>
            </a:cxn>
          </a:cxnLst>
          <a:rect l="0" t="0" r="r" b="b"/>
          <a:pathLst>
            <a:path w="32024" h="33135" fill="none" extrusionOk="0">
              <a:moveTo>
                <a:pt x="-1" y="2681"/>
              </a:moveTo>
              <a:cubicBezTo>
                <a:pt x="3192" y="922"/>
                <a:pt x="6778" y="0"/>
                <a:pt x="10424" y="0"/>
              </a:cubicBezTo>
              <a:cubicBezTo>
                <a:pt x="22353" y="0"/>
                <a:pt x="32024" y="9670"/>
                <a:pt x="32024" y="21600"/>
              </a:cubicBezTo>
              <a:cubicBezTo>
                <a:pt x="32024" y="25683"/>
                <a:pt x="30866" y="29682"/>
                <a:pt x="28686" y="33135"/>
              </a:cubicBezTo>
            </a:path>
            <a:path w="32024" h="33135" stroke="0" extrusionOk="0">
              <a:moveTo>
                <a:pt x="-1" y="2681"/>
              </a:moveTo>
              <a:cubicBezTo>
                <a:pt x="3192" y="922"/>
                <a:pt x="6778" y="0"/>
                <a:pt x="10424" y="0"/>
              </a:cubicBezTo>
              <a:cubicBezTo>
                <a:pt x="22353" y="0"/>
                <a:pt x="32024" y="9670"/>
                <a:pt x="32024" y="21600"/>
              </a:cubicBezTo>
              <a:cubicBezTo>
                <a:pt x="32024" y="25683"/>
                <a:pt x="30866" y="29682"/>
                <a:pt x="28686" y="33135"/>
              </a:cubicBezTo>
              <a:lnTo>
                <a:pt x="10424"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43</xdr:col>
      <xdr:colOff>320040</xdr:colOff>
      <xdr:row>12</xdr:row>
      <xdr:rowOff>99060</xdr:rowOff>
    </xdr:from>
    <xdr:to>
      <xdr:col>43</xdr:col>
      <xdr:colOff>495300</xdr:colOff>
      <xdr:row>13</xdr:row>
      <xdr:rowOff>129540</xdr:rowOff>
    </xdr:to>
    <xdr:sp macro="" textlink="">
      <xdr:nvSpPr>
        <xdr:cNvPr id="83039" name="Text Box 95">
          <a:extLst>
            <a:ext uri="{FF2B5EF4-FFF2-40B4-BE49-F238E27FC236}">
              <a16:creationId xmlns:a16="http://schemas.microsoft.com/office/drawing/2014/main" id="{B47771B3-3C87-4B57-851D-CE02F15F00B4}"/>
            </a:ext>
          </a:extLst>
        </xdr:cNvPr>
        <xdr:cNvSpPr txBox="1">
          <a:spLocks noChangeArrowheads="1"/>
        </xdr:cNvSpPr>
      </xdr:nvSpPr>
      <xdr:spPr bwMode="auto">
        <a:xfrm>
          <a:off x="12626340" y="214122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0</a:t>
          </a:r>
        </a:p>
      </xdr:txBody>
    </xdr:sp>
    <xdr:clientData/>
  </xdr:twoCellAnchor>
  <xdr:twoCellAnchor>
    <xdr:from>
      <xdr:col>44</xdr:col>
      <xdr:colOff>7620</xdr:colOff>
      <xdr:row>10</xdr:row>
      <xdr:rowOff>160020</xdr:rowOff>
    </xdr:from>
    <xdr:to>
      <xdr:col>44</xdr:col>
      <xdr:colOff>7620</xdr:colOff>
      <xdr:row>12</xdr:row>
      <xdr:rowOff>7620</xdr:rowOff>
    </xdr:to>
    <xdr:sp macro="" textlink="">
      <xdr:nvSpPr>
        <xdr:cNvPr id="83040" name="Line 96">
          <a:extLst>
            <a:ext uri="{FF2B5EF4-FFF2-40B4-BE49-F238E27FC236}">
              <a16:creationId xmlns:a16="http://schemas.microsoft.com/office/drawing/2014/main" id="{0327D74E-330E-41B0-8831-69A9570422AD}"/>
            </a:ext>
          </a:extLst>
        </xdr:cNvPr>
        <xdr:cNvSpPr>
          <a:spLocks noChangeShapeType="1"/>
        </xdr:cNvSpPr>
      </xdr:nvSpPr>
      <xdr:spPr bwMode="auto">
        <a:xfrm flipV="1">
          <a:off x="12938760" y="1866900"/>
          <a:ext cx="0" cy="182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30480</xdr:colOff>
      <xdr:row>12</xdr:row>
      <xdr:rowOff>30480</xdr:rowOff>
    </xdr:from>
    <xdr:to>
      <xdr:col>44</xdr:col>
      <xdr:colOff>198120</xdr:colOff>
      <xdr:row>12</xdr:row>
      <xdr:rowOff>30480</xdr:rowOff>
    </xdr:to>
    <xdr:sp macro="" textlink="">
      <xdr:nvSpPr>
        <xdr:cNvPr id="83041" name="Line 97">
          <a:extLst>
            <a:ext uri="{FF2B5EF4-FFF2-40B4-BE49-F238E27FC236}">
              <a16:creationId xmlns:a16="http://schemas.microsoft.com/office/drawing/2014/main" id="{FC1F6B0F-8A14-4B50-9B71-7D6599C91A4F}"/>
            </a:ext>
          </a:extLst>
        </xdr:cNvPr>
        <xdr:cNvSpPr>
          <a:spLocks noChangeShapeType="1"/>
        </xdr:cNvSpPr>
      </xdr:nvSpPr>
      <xdr:spPr bwMode="auto">
        <a:xfrm>
          <a:off x="12961620" y="2072640"/>
          <a:ext cx="167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441960</xdr:colOff>
      <xdr:row>11</xdr:row>
      <xdr:rowOff>38100</xdr:rowOff>
    </xdr:from>
    <xdr:to>
      <xdr:col>44</xdr:col>
      <xdr:colOff>7620</xdr:colOff>
      <xdr:row>11</xdr:row>
      <xdr:rowOff>38100</xdr:rowOff>
    </xdr:to>
    <xdr:sp macro="" textlink="">
      <xdr:nvSpPr>
        <xdr:cNvPr id="83042" name="Line 98">
          <a:extLst>
            <a:ext uri="{FF2B5EF4-FFF2-40B4-BE49-F238E27FC236}">
              <a16:creationId xmlns:a16="http://schemas.microsoft.com/office/drawing/2014/main" id="{B5D63365-3752-447E-8472-AB3F744E5800}"/>
            </a:ext>
          </a:extLst>
        </xdr:cNvPr>
        <xdr:cNvSpPr>
          <a:spLocks noChangeShapeType="1"/>
        </xdr:cNvSpPr>
      </xdr:nvSpPr>
      <xdr:spPr bwMode="auto">
        <a:xfrm>
          <a:off x="12748260" y="191262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44</xdr:col>
      <xdr:colOff>144780</xdr:colOff>
      <xdr:row>12</xdr:row>
      <xdr:rowOff>30480</xdr:rowOff>
    </xdr:from>
    <xdr:to>
      <xdr:col>44</xdr:col>
      <xdr:colOff>144780</xdr:colOff>
      <xdr:row>13</xdr:row>
      <xdr:rowOff>60960</xdr:rowOff>
    </xdr:to>
    <xdr:sp macro="" textlink="">
      <xdr:nvSpPr>
        <xdr:cNvPr id="83043" name="Line 99">
          <a:extLst>
            <a:ext uri="{FF2B5EF4-FFF2-40B4-BE49-F238E27FC236}">
              <a16:creationId xmlns:a16="http://schemas.microsoft.com/office/drawing/2014/main" id="{FD3021B5-4B98-4862-8196-1FAE55D1143A}"/>
            </a:ext>
          </a:extLst>
        </xdr:cNvPr>
        <xdr:cNvSpPr>
          <a:spLocks noChangeShapeType="1"/>
        </xdr:cNvSpPr>
      </xdr:nvSpPr>
      <xdr:spPr bwMode="auto">
        <a:xfrm>
          <a:off x="13075920" y="2072640"/>
          <a:ext cx="0" cy="198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44</xdr:col>
      <xdr:colOff>251460</xdr:colOff>
      <xdr:row>21</xdr:row>
      <xdr:rowOff>121920</xdr:rowOff>
    </xdr:from>
    <xdr:to>
      <xdr:col>44</xdr:col>
      <xdr:colOff>601980</xdr:colOff>
      <xdr:row>22</xdr:row>
      <xdr:rowOff>160020</xdr:rowOff>
    </xdr:to>
    <xdr:sp macro="" textlink="">
      <xdr:nvSpPr>
        <xdr:cNvPr id="83044" name="Text Box 100">
          <a:extLst>
            <a:ext uri="{FF2B5EF4-FFF2-40B4-BE49-F238E27FC236}">
              <a16:creationId xmlns:a16="http://schemas.microsoft.com/office/drawing/2014/main" id="{00C5C2A9-C3ED-47E1-BFE0-BBCF020B4BA0}"/>
            </a:ext>
          </a:extLst>
        </xdr:cNvPr>
        <xdr:cNvSpPr txBox="1">
          <a:spLocks noChangeArrowheads="1"/>
        </xdr:cNvSpPr>
      </xdr:nvSpPr>
      <xdr:spPr bwMode="auto">
        <a:xfrm>
          <a:off x="13182600" y="3672840"/>
          <a:ext cx="35052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Piles</a:t>
          </a:r>
        </a:p>
      </xdr:txBody>
    </xdr:sp>
    <xdr:clientData/>
  </xdr:twoCellAnchor>
  <xdr:twoCellAnchor>
    <xdr:from>
      <xdr:col>44</xdr:col>
      <xdr:colOff>76200</xdr:colOff>
      <xdr:row>22</xdr:row>
      <xdr:rowOff>30480</xdr:rowOff>
    </xdr:from>
    <xdr:to>
      <xdr:col>44</xdr:col>
      <xdr:colOff>213360</xdr:colOff>
      <xdr:row>22</xdr:row>
      <xdr:rowOff>30480</xdr:rowOff>
    </xdr:to>
    <xdr:sp macro="" textlink="">
      <xdr:nvSpPr>
        <xdr:cNvPr id="83045" name="Line 101">
          <a:extLst>
            <a:ext uri="{FF2B5EF4-FFF2-40B4-BE49-F238E27FC236}">
              <a16:creationId xmlns:a16="http://schemas.microsoft.com/office/drawing/2014/main" id="{E62DDD94-D80D-4955-A1C1-50D5BC30B381}"/>
            </a:ext>
          </a:extLst>
        </xdr:cNvPr>
        <xdr:cNvSpPr>
          <a:spLocks noChangeShapeType="1"/>
        </xdr:cNvSpPr>
      </xdr:nvSpPr>
      <xdr:spPr bwMode="auto">
        <a:xfrm flipH="1">
          <a:off x="1300734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sm"/>
        </a:ln>
        <a:extLst>
          <a:ext uri="{909E8E84-426E-40DD-AFC4-6F175D3DCCD1}">
            <a14:hiddenFill xmlns:a14="http://schemas.microsoft.com/office/drawing/2010/main">
              <a:noFill/>
            </a14:hiddenFill>
          </a:ext>
        </a:extLst>
      </xdr:spPr>
    </xdr:sp>
    <xdr:clientData/>
  </xdr:twoCellAnchor>
  <xdr:twoCellAnchor>
    <xdr:from>
      <xdr:col>44</xdr:col>
      <xdr:colOff>601980</xdr:colOff>
      <xdr:row>22</xdr:row>
      <xdr:rowOff>30480</xdr:rowOff>
    </xdr:from>
    <xdr:to>
      <xdr:col>45</xdr:col>
      <xdr:colOff>114300</xdr:colOff>
      <xdr:row>22</xdr:row>
      <xdr:rowOff>30480</xdr:rowOff>
    </xdr:to>
    <xdr:sp macro="" textlink="">
      <xdr:nvSpPr>
        <xdr:cNvPr id="83046" name="Line 102">
          <a:extLst>
            <a:ext uri="{FF2B5EF4-FFF2-40B4-BE49-F238E27FC236}">
              <a16:creationId xmlns:a16="http://schemas.microsoft.com/office/drawing/2014/main" id="{B5117532-B3F2-4E25-9BD8-8B5C14B89984}"/>
            </a:ext>
          </a:extLst>
        </xdr:cNvPr>
        <xdr:cNvSpPr>
          <a:spLocks noChangeShapeType="1"/>
        </xdr:cNvSpPr>
      </xdr:nvSpPr>
      <xdr:spPr bwMode="auto">
        <a:xfrm>
          <a:off x="1353312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sm"/>
        </a:ln>
        <a:extLst>
          <a:ext uri="{909E8E84-426E-40DD-AFC4-6F175D3DCCD1}">
            <a14:hiddenFill xmlns:a14="http://schemas.microsoft.com/office/drawing/2010/main">
              <a:noFill/>
            </a14:hiddenFill>
          </a:ext>
        </a:extLst>
      </xdr:spPr>
    </xdr:sp>
    <xdr:clientData/>
  </xdr:twoCellAnchor>
  <xdr:twoCellAnchor>
    <xdr:from>
      <xdr:col>4</xdr:col>
      <xdr:colOff>510540</xdr:colOff>
      <xdr:row>100</xdr:row>
      <xdr:rowOff>45720</xdr:rowOff>
    </xdr:from>
    <xdr:to>
      <xdr:col>14</xdr:col>
      <xdr:colOff>129540</xdr:colOff>
      <xdr:row>138</xdr:row>
      <xdr:rowOff>129540</xdr:rowOff>
    </xdr:to>
    <xdr:graphicFrame macro="">
      <xdr:nvGraphicFramePr>
        <xdr:cNvPr id="83051" name="Chart 107">
          <a:extLst>
            <a:ext uri="{FF2B5EF4-FFF2-40B4-BE49-F238E27FC236}">
              <a16:creationId xmlns:a16="http://schemas.microsoft.com/office/drawing/2014/main" id="{A81AE1A4-ED33-4D4B-896F-B8C6B3CF9942}"/>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5</xdr:col>
      <xdr:colOff>220980</xdr:colOff>
      <xdr:row>113</xdr:row>
      <xdr:rowOff>91440</xdr:rowOff>
    </xdr:from>
    <xdr:to>
      <xdr:col>5</xdr:col>
      <xdr:colOff>220980</xdr:colOff>
      <xdr:row>115</xdr:row>
      <xdr:rowOff>129540</xdr:rowOff>
    </xdr:to>
    <xdr:sp macro="" textlink="">
      <xdr:nvSpPr>
        <xdr:cNvPr id="83052" name="Line 108">
          <a:extLst>
            <a:ext uri="{FF2B5EF4-FFF2-40B4-BE49-F238E27FC236}">
              <a16:creationId xmlns:a16="http://schemas.microsoft.com/office/drawing/2014/main" id="{F6FF324B-F65A-4931-B916-1388E92B84D0}"/>
            </a:ext>
          </a:extLst>
        </xdr:cNvPr>
        <xdr:cNvSpPr>
          <a:spLocks noChangeShapeType="1"/>
        </xdr:cNvSpPr>
      </xdr:nvSpPr>
      <xdr:spPr bwMode="auto">
        <a:xfrm flipV="1">
          <a:off x="3642360" y="19065240"/>
          <a:ext cx="0" cy="3733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320040</xdr:colOff>
      <xdr:row>137</xdr:row>
      <xdr:rowOff>7620</xdr:rowOff>
    </xdr:from>
    <xdr:to>
      <xdr:col>11</xdr:col>
      <xdr:colOff>68580</xdr:colOff>
      <xdr:row>137</xdr:row>
      <xdr:rowOff>7620</xdr:rowOff>
    </xdr:to>
    <xdr:sp macro="" textlink="">
      <xdr:nvSpPr>
        <xdr:cNvPr id="83053" name="Line 109">
          <a:extLst>
            <a:ext uri="{FF2B5EF4-FFF2-40B4-BE49-F238E27FC236}">
              <a16:creationId xmlns:a16="http://schemas.microsoft.com/office/drawing/2014/main" id="{C14EAFE8-A291-4AF9-828C-3C94D9FEFCA4}"/>
            </a:ext>
          </a:extLst>
        </xdr:cNvPr>
        <xdr:cNvSpPr>
          <a:spLocks noChangeShapeType="1"/>
        </xdr:cNvSpPr>
      </xdr:nvSpPr>
      <xdr:spPr bwMode="auto">
        <a:xfrm>
          <a:off x="7002780" y="23004780"/>
          <a:ext cx="373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v="urn:schemas-microsoft-com:vml" Requires="v"/>
    <mc:Fallback>
      <xdr:twoCellAnchor editAs="absolute">
        <xdr:from>
          <xdr:col>44</xdr:col>
          <xdr:colOff>45720</xdr:colOff>
          <xdr:row>0</xdr:row>
          <xdr:rowOff>38100</xdr:rowOff>
        </xdr:from>
        <xdr:to>
          <xdr:col>47</xdr:col>
          <xdr:colOff>243840</xdr:colOff>
          <xdr:row>2</xdr:row>
          <xdr:rowOff>30480</xdr:rowOff>
        </xdr:to>
        <xdr:sp macro="" textlink="">
          <xdr:nvSpPr>
            <xdr:cNvPr id="82945" name="Comment 1" hidden="1">
              <a:extLst>
                <a:ext uri="{FF2B5EF4-FFF2-40B4-BE49-F238E27FC236}">
                  <a16:creationId xmlns:a16="http://schemas.microsoft.com/office/drawing/2014/main" id="{18F079E1-CCF7-4EDD-B6B8-40ADD04C950F}"/>
                </a:ext>
              </a:extLst>
            </xdr:cNvPr>
            <xdr:cNvSpPr txBox="1">
              <a:spLocks noChangeArrowheads="1"/>
            </xdr:cNvSpPr>
          </xdr:nvSpPr>
          <xdr:spPr bwMode="auto">
            <a:xfrm>
              <a:off x="12976860" y="38100"/>
              <a:ext cx="2072640" cy="3581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              "</a:t>
              </a:r>
              <a:r>
                <a:rPr lang="en-US" sz="800" b="1" i="0" u="none" strike="noStrike" baseline="0%">
                  <a:solidFill>
                    <a:srgbClr val="000000"/>
                  </a:solidFill>
                  <a:latin typeface="Tahoma"/>
                  <a:ea typeface="Tahoma"/>
                  <a:cs typeface="Tahoma"/>
                </a:rPr>
                <a:t>PILEGRP.xls</a:t>
              </a:r>
              <a:r>
                <a:rPr lang="en-US" sz="800" b="0" i="0" u="none" strike="noStrike" baseline="0%">
                  <a:solidFill>
                    <a:srgbClr val="000000"/>
                  </a:solidFill>
                  <a:latin typeface="Tahoma"/>
                  <a:ea typeface="Tahoma"/>
                  <a:cs typeface="Tahoma"/>
                </a:rPr>
                <a:t>"</a:t>
              </a:r>
            </a:p>
            <a:p>
              <a:pPr algn="l" rtl="0">
                <a:defRPr sz="1000"/>
              </a:pPr>
              <a:r>
                <a:rPr lang="en-US" sz="800" b="0" i="0" u="none" strike="noStrike" baseline="0%">
                  <a:solidFill>
                    <a:srgbClr val="000000"/>
                  </a:solidFill>
                  <a:latin typeface="Tahoma"/>
                  <a:ea typeface="Tahoma"/>
                  <a:cs typeface="Tahoma"/>
                </a:rPr>
                <a:t>written by:  Alex Tomanovich, P.E.</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140</xdr:row>
          <xdr:rowOff>76200</xdr:rowOff>
        </xdr:from>
        <xdr:to>
          <xdr:col>9</xdr:col>
          <xdr:colOff>373380</xdr:colOff>
          <xdr:row>147</xdr:row>
          <xdr:rowOff>76200</xdr:rowOff>
        </xdr:to>
        <xdr:sp macro="" textlink="">
          <xdr:nvSpPr>
            <xdr:cNvPr id="82946" name="Comment 2" hidden="1">
              <a:extLst>
                <a:ext uri="{FF2B5EF4-FFF2-40B4-BE49-F238E27FC236}">
                  <a16:creationId xmlns:a16="http://schemas.microsoft.com/office/drawing/2014/main" id="{241E6E9B-2B11-4D3B-A9AA-0CE0C3903393}"/>
                </a:ext>
              </a:extLst>
            </xdr:cNvPr>
            <xdr:cNvSpPr txBox="1">
              <a:spLocks noChangeArrowheads="1"/>
            </xdr:cNvSpPr>
          </xdr:nvSpPr>
          <xdr:spPr bwMode="auto">
            <a:xfrm>
              <a:off x="1653540" y="23576280"/>
              <a:ext cx="4777740" cy="11734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Pile Reaction, 'Rz', at each pile is calculated as follows:</a:t>
              </a:r>
            </a:p>
            <a:p>
              <a:pPr algn="l" rtl="0">
                <a:defRPr sz="1000"/>
              </a:pPr>
              <a:r>
                <a:rPr lang="en-US" sz="800" b="0" i="0" u="none" strike="noStrike" baseline="0%">
                  <a:solidFill>
                    <a:srgbClr val="000000"/>
                  </a:solidFill>
                  <a:latin typeface="Tahoma"/>
                  <a:ea typeface="Tahoma"/>
                  <a:cs typeface="Tahoma"/>
                </a:rPr>
                <a:t>   Rz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Pz)/Np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My)*Ix-(-</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Mx)*Ixy)/(Ix*Iy-Ixy^2)*Xp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Mx)*Iy-(</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My)*Ixy)/(Ix*Iy-Ixy^2)*Yp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Sign convention for 'Rz'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106680</xdr:colOff>
          <xdr:row>140</xdr:row>
          <xdr:rowOff>76200</xdr:rowOff>
        </xdr:from>
        <xdr:to>
          <xdr:col>9</xdr:col>
          <xdr:colOff>99060</xdr:colOff>
          <xdr:row>146</xdr:row>
          <xdr:rowOff>60960</xdr:rowOff>
        </xdr:to>
        <xdr:sp macro="" textlink="">
          <xdr:nvSpPr>
            <xdr:cNvPr id="82947" name="Comment 3" hidden="1">
              <a:extLst>
                <a:ext uri="{FF2B5EF4-FFF2-40B4-BE49-F238E27FC236}">
                  <a16:creationId xmlns:a16="http://schemas.microsoft.com/office/drawing/2014/main" id="{0CCA2B0C-8C6A-435F-90F3-B073A005327A}"/>
                </a:ext>
              </a:extLst>
            </xdr:cNvPr>
            <xdr:cNvSpPr txBox="1">
              <a:spLocks noChangeArrowheads="1"/>
            </xdr:cNvSpPr>
          </xdr:nvSpPr>
          <xdr:spPr bwMode="auto">
            <a:xfrm>
              <a:off x="2278380" y="23576280"/>
              <a:ext cx="3878580" cy="9906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Horizontal Pile Reaction, 'Rh', at each pile is calculated as follows:</a:t>
              </a:r>
            </a:p>
            <a:p>
              <a:pPr algn="l" rtl="0">
                <a:defRPr sz="1000"/>
              </a:pPr>
              <a:r>
                <a:rPr lang="en-US" sz="800" b="0" i="0" u="none" strike="noStrike" baseline="0%">
                  <a:solidFill>
                    <a:srgbClr val="000000"/>
                  </a:solidFill>
                  <a:latin typeface="Tahoma"/>
                  <a:ea typeface="Tahoma"/>
                  <a:cs typeface="Tahoma"/>
                </a:rPr>
                <a:t>   Rh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Hx)/Np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Mz)*Yp/J)^2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Hy)/Np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Mz)*Xp/J)^2)^(1/2)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Note: 'Rh' is an "absolute" value with no particular sign convention, thus no</a:t>
              </a:r>
            </a:p>
            <a:p>
              <a:pPr algn="l" rtl="0">
                <a:defRPr sz="1000"/>
              </a:pPr>
              <a:r>
                <a:rPr lang="en-US" sz="800" b="0" i="0" u="none" strike="noStrike" baseline="0%">
                  <a:solidFill>
                    <a:srgbClr val="000000"/>
                  </a:solidFill>
                  <a:latin typeface="Tahoma"/>
                  <a:ea typeface="Tahoma"/>
                  <a:cs typeface="Tahoma"/>
                </a:rPr>
                <a:t>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701040</xdr:colOff>
          <xdr:row>80</xdr:row>
          <xdr:rowOff>76200</xdr:rowOff>
        </xdr:from>
        <xdr:to>
          <xdr:col>9</xdr:col>
          <xdr:colOff>556260</xdr:colOff>
          <xdr:row>83</xdr:row>
          <xdr:rowOff>60960</xdr:rowOff>
        </xdr:to>
        <xdr:sp macro="" textlink="">
          <xdr:nvSpPr>
            <xdr:cNvPr id="82948" name="Comment 4" hidden="1">
              <a:extLst>
                <a:ext uri="{FF2B5EF4-FFF2-40B4-BE49-F238E27FC236}">
                  <a16:creationId xmlns:a16="http://schemas.microsoft.com/office/drawing/2014/main" id="{2A624A29-BCAA-4AFC-9F49-1E91B513D6A2}"/>
                </a:ext>
              </a:extLst>
            </xdr:cNvPr>
            <xdr:cNvSpPr txBox="1">
              <a:spLocks noChangeArrowheads="1"/>
            </xdr:cNvSpPr>
          </xdr:nvSpPr>
          <xdr:spPr bwMode="auto">
            <a:xfrm>
              <a:off x="4122420" y="13517880"/>
              <a:ext cx="2491740" cy="4876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Pz = sum of all applied vertical (Z-axis)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+Z-axis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701040</xdr:colOff>
          <xdr:row>81</xdr:row>
          <xdr:rowOff>76200</xdr:rowOff>
        </xdr:from>
        <xdr:to>
          <xdr:col>10</xdr:col>
          <xdr:colOff>45720</xdr:colOff>
          <xdr:row>84</xdr:row>
          <xdr:rowOff>30480</xdr:rowOff>
        </xdr:to>
        <xdr:sp macro="" textlink="">
          <xdr:nvSpPr>
            <xdr:cNvPr id="82949" name="Comment 5" hidden="1">
              <a:extLst>
                <a:ext uri="{FF2B5EF4-FFF2-40B4-BE49-F238E27FC236}">
                  <a16:creationId xmlns:a16="http://schemas.microsoft.com/office/drawing/2014/main" id="{3DE5CEE7-D0CB-4DED-93CB-FA764D6B70F3}"/>
                </a:ext>
              </a:extLst>
            </xdr:cNvPr>
            <xdr:cNvSpPr txBox="1">
              <a:spLocks noChangeArrowheads="1"/>
            </xdr:cNvSpPr>
          </xdr:nvSpPr>
          <xdr:spPr bwMode="auto">
            <a:xfrm>
              <a:off x="4122420" y="13685520"/>
              <a:ext cx="260604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Hx = sum of all applied horizontal (X-axis)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+X-axis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701040</xdr:colOff>
          <xdr:row>82</xdr:row>
          <xdr:rowOff>76200</xdr:rowOff>
        </xdr:from>
        <xdr:to>
          <xdr:col>10</xdr:col>
          <xdr:colOff>45720</xdr:colOff>
          <xdr:row>85</xdr:row>
          <xdr:rowOff>60960</xdr:rowOff>
        </xdr:to>
        <xdr:sp macro="" textlink="">
          <xdr:nvSpPr>
            <xdr:cNvPr id="82950" name="Comment 6" hidden="1">
              <a:extLst>
                <a:ext uri="{FF2B5EF4-FFF2-40B4-BE49-F238E27FC236}">
                  <a16:creationId xmlns:a16="http://schemas.microsoft.com/office/drawing/2014/main" id="{69B84C47-4100-47F6-BC38-F53CA435928B}"/>
                </a:ext>
              </a:extLst>
            </xdr:cNvPr>
            <xdr:cNvSpPr txBox="1">
              <a:spLocks noChangeArrowheads="1"/>
            </xdr:cNvSpPr>
          </xdr:nvSpPr>
          <xdr:spPr bwMode="auto">
            <a:xfrm>
              <a:off x="4122420" y="13853160"/>
              <a:ext cx="2606040" cy="4876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Hy = sum of all applied horizontal (Y-axis)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+Y-axis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80</xdr:row>
          <xdr:rowOff>76200</xdr:rowOff>
        </xdr:from>
        <xdr:to>
          <xdr:col>5</xdr:col>
          <xdr:colOff>441960</xdr:colOff>
          <xdr:row>84</xdr:row>
          <xdr:rowOff>160020</xdr:rowOff>
        </xdr:to>
        <xdr:sp macro="" textlink="">
          <xdr:nvSpPr>
            <xdr:cNvPr id="82951" name="Comment 7" hidden="1">
              <a:extLst>
                <a:ext uri="{FF2B5EF4-FFF2-40B4-BE49-F238E27FC236}">
                  <a16:creationId xmlns:a16="http://schemas.microsoft.com/office/drawing/2014/main" id="{70077C97-55DD-4534-8D4D-4922E0838F48}"/>
                </a:ext>
              </a:extLst>
            </xdr:cNvPr>
            <xdr:cNvSpPr txBox="1">
              <a:spLocks noChangeArrowheads="1"/>
            </xdr:cNvSpPr>
          </xdr:nvSpPr>
          <xdr:spPr bwMode="auto">
            <a:xfrm>
              <a:off x="1653540" y="13517880"/>
              <a:ext cx="2209800" cy="7543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Y-axis from the origin Y-axis is calculated as follows:</a:t>
              </a:r>
            </a:p>
            <a:p>
              <a:pPr algn="l" rtl="0">
                <a:defRPr sz="1000"/>
              </a:pPr>
              <a:r>
                <a:rPr lang="en-US" sz="800" b="0" i="0" u="none" strike="noStrike" baseline="0%">
                  <a:solidFill>
                    <a:srgbClr val="000000"/>
                  </a:solidFill>
                  <a:latin typeface="Tahoma"/>
                  <a:ea typeface="Tahoma"/>
                  <a:cs typeface="Tahoma"/>
                </a:rPr>
                <a:t>   Xc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(Xo)/Np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81</xdr:row>
          <xdr:rowOff>76200</xdr:rowOff>
        </xdr:from>
        <xdr:to>
          <xdr:col>5</xdr:col>
          <xdr:colOff>441960</xdr:colOff>
          <xdr:row>86</xdr:row>
          <xdr:rowOff>7620</xdr:rowOff>
        </xdr:to>
        <xdr:sp macro="" textlink="">
          <xdr:nvSpPr>
            <xdr:cNvPr id="82952" name="Comment 8" hidden="1">
              <a:extLst>
                <a:ext uri="{FF2B5EF4-FFF2-40B4-BE49-F238E27FC236}">
                  <a16:creationId xmlns:a16="http://schemas.microsoft.com/office/drawing/2014/main" id="{A3BA09B9-322E-4EDD-B223-FCCB520190A7}"/>
                </a:ext>
              </a:extLst>
            </xdr:cNvPr>
            <xdr:cNvSpPr txBox="1">
              <a:spLocks noChangeArrowheads="1"/>
            </xdr:cNvSpPr>
          </xdr:nvSpPr>
          <xdr:spPr bwMode="auto">
            <a:xfrm>
              <a:off x="1653540" y="13685520"/>
              <a:ext cx="2209800" cy="7696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X-axis from the origin X-axis is calculated as follows:</a:t>
              </a:r>
            </a:p>
            <a:p>
              <a:pPr algn="l" rtl="0">
                <a:defRPr sz="1000"/>
              </a:pPr>
              <a:r>
                <a:rPr lang="en-US" sz="800" b="0" i="0" u="none" strike="noStrike" baseline="0%">
                  <a:solidFill>
                    <a:srgbClr val="000000"/>
                  </a:solidFill>
                  <a:latin typeface="Tahoma"/>
                  <a:ea typeface="Tahoma"/>
                  <a:cs typeface="Tahoma"/>
                </a:rPr>
                <a:t>   Yc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(Yo)/Np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86</xdr:row>
          <xdr:rowOff>76200</xdr:rowOff>
        </xdr:from>
        <xdr:to>
          <xdr:col>5</xdr:col>
          <xdr:colOff>647700</xdr:colOff>
          <xdr:row>92</xdr:row>
          <xdr:rowOff>76200</xdr:rowOff>
        </xdr:to>
        <xdr:sp macro="" textlink="">
          <xdr:nvSpPr>
            <xdr:cNvPr id="82953" name="Comment 9" hidden="1">
              <a:extLst>
                <a:ext uri="{FF2B5EF4-FFF2-40B4-BE49-F238E27FC236}">
                  <a16:creationId xmlns:a16="http://schemas.microsoft.com/office/drawing/2014/main" id="{D723D742-7581-4DE2-B21A-8E5DCDA45B6D}"/>
                </a:ext>
              </a:extLst>
            </xdr:cNvPr>
            <xdr:cNvSpPr txBox="1">
              <a:spLocks noChangeArrowheads="1"/>
            </xdr:cNvSpPr>
          </xdr:nvSpPr>
          <xdr:spPr bwMode="auto">
            <a:xfrm>
              <a:off x="1653540" y="14523720"/>
              <a:ext cx="241554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orientation of the principal axes, is defined by the rotation angle,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from the centroidal axes and is calculated as follows:</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a:t>
              </a:r>
              <a:r>
                <a:rPr lang="en-US" sz="800" b="0" i="0" u="none" strike="noStrike" baseline="0%">
                  <a:solidFill>
                    <a:srgbClr val="000000"/>
                  </a:solidFill>
                  <a:latin typeface="Tahoma"/>
                  <a:ea typeface="Tahoma"/>
                  <a:cs typeface="Tahoma"/>
                </a:rPr>
                <a:t> = (ATAN(-2*Ixy/(Ix-Iy)))/2</a:t>
              </a:r>
            </a:p>
            <a:p>
              <a:pPr algn="l" rtl="0">
                <a:defRPr sz="1000"/>
              </a:pPr>
              <a:r>
                <a:rPr lang="en-US" sz="800" b="0" i="0" u="none" strike="noStrike" baseline="0%">
                  <a:solidFill>
                    <a:srgbClr val="000000"/>
                  </a:solidFill>
                  <a:latin typeface="Tahoma"/>
                  <a:ea typeface="Tahoma"/>
                  <a:cs typeface="Tahoma"/>
                </a:rPr>
                <a:t>Note: sign convention is positive (+) ccw.</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 0  for a pile group with at least one</a:t>
              </a:r>
            </a:p>
            <a:p>
              <a:pPr algn="l" rtl="0">
                <a:defRPr sz="1000"/>
              </a:pPr>
              <a:r>
                <a:rPr lang="en-US" sz="800" b="0" i="0" u="none" strike="noStrike" baseline="0%">
                  <a:solidFill>
                    <a:srgbClr val="000000"/>
                  </a:solidFill>
                  <a:latin typeface="Tahoma"/>
                  <a:ea typeface="Tahoma"/>
                  <a:cs typeface="Tahoma"/>
                </a:rPr>
                <a:t>          axis of symmetry.</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106680</xdr:colOff>
          <xdr:row>9</xdr:row>
          <xdr:rowOff>76200</xdr:rowOff>
        </xdr:from>
        <xdr:to>
          <xdr:col>7</xdr:col>
          <xdr:colOff>281940</xdr:colOff>
          <xdr:row>14</xdr:row>
          <xdr:rowOff>99060</xdr:rowOff>
        </xdr:to>
        <xdr:sp macro="" textlink="">
          <xdr:nvSpPr>
            <xdr:cNvPr id="82954" name="Comment 10" hidden="1">
              <a:extLst>
                <a:ext uri="{FF2B5EF4-FFF2-40B4-BE49-F238E27FC236}">
                  <a16:creationId xmlns:a16="http://schemas.microsoft.com/office/drawing/2014/main" id="{580E9E3C-F3B6-43B0-9740-E57A0075D71D}"/>
                </a:ext>
              </a:extLst>
            </xdr:cNvPr>
            <xdr:cNvSpPr txBox="1">
              <a:spLocks noChangeArrowheads="1"/>
            </xdr:cNvSpPr>
          </xdr:nvSpPr>
          <xdr:spPr bwMode="auto">
            <a:xfrm>
              <a:off x="2278380" y="1615440"/>
              <a:ext cx="2811780" cy="8610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piles must be located in the positive 1st quadrant.  That is, all pile Xo, Yo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pile coordinates, or those cell values should be input = 0.</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10</xdr:row>
          <xdr:rowOff>76200</xdr:rowOff>
        </xdr:from>
        <xdr:to>
          <xdr:col>5</xdr:col>
          <xdr:colOff>220980</xdr:colOff>
          <xdr:row>12</xdr:row>
          <xdr:rowOff>45720</xdr:rowOff>
        </xdr:to>
        <xdr:sp macro="" textlink="">
          <xdr:nvSpPr>
            <xdr:cNvPr id="82955" name="Comment 11" hidden="1">
              <a:extLst>
                <a:ext uri="{FF2B5EF4-FFF2-40B4-BE49-F238E27FC236}">
                  <a16:creationId xmlns:a16="http://schemas.microsoft.com/office/drawing/2014/main" id="{F23C9CCF-0280-469E-9BC8-4A4E028F88B6}"/>
                </a:ext>
              </a:extLst>
            </xdr:cNvPr>
            <xdr:cNvSpPr txBox="1">
              <a:spLocks noChangeArrowheads="1"/>
            </xdr:cNvSpPr>
          </xdr:nvSpPr>
          <xdr:spPr bwMode="auto">
            <a:xfrm>
              <a:off x="1653540" y="1783080"/>
              <a:ext cx="1988820" cy="304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'Xo' coordinate is the x-distance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106680</xdr:colOff>
          <xdr:row>10</xdr:row>
          <xdr:rowOff>76200</xdr:rowOff>
        </xdr:from>
        <xdr:to>
          <xdr:col>6</xdr:col>
          <xdr:colOff>76200</xdr:colOff>
          <xdr:row>12</xdr:row>
          <xdr:rowOff>45720</xdr:rowOff>
        </xdr:to>
        <xdr:sp macro="" textlink="">
          <xdr:nvSpPr>
            <xdr:cNvPr id="82956" name="Comment 12" hidden="1">
              <a:extLst>
                <a:ext uri="{FF2B5EF4-FFF2-40B4-BE49-F238E27FC236}">
                  <a16:creationId xmlns:a16="http://schemas.microsoft.com/office/drawing/2014/main" id="{C7C152BB-CF92-4C96-8888-985CD6DA4D30}"/>
                </a:ext>
              </a:extLst>
            </xdr:cNvPr>
            <xdr:cNvSpPr txBox="1">
              <a:spLocks noChangeArrowheads="1"/>
            </xdr:cNvSpPr>
          </xdr:nvSpPr>
          <xdr:spPr bwMode="auto">
            <a:xfrm>
              <a:off x="2278380" y="1783080"/>
              <a:ext cx="1981200" cy="304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'Yo' coordinate is the y-distance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594360</xdr:colOff>
          <xdr:row>63</xdr:row>
          <xdr:rowOff>76200</xdr:rowOff>
        </xdr:from>
        <xdr:to>
          <xdr:col>16</xdr:col>
          <xdr:colOff>274320</xdr:colOff>
          <xdr:row>67</xdr:row>
          <xdr:rowOff>160020</xdr:rowOff>
        </xdr:to>
        <xdr:sp macro="" textlink="">
          <xdr:nvSpPr>
            <xdr:cNvPr id="82957" name="Comment 13" hidden="1">
              <a:extLst>
                <a:ext uri="{FF2B5EF4-FFF2-40B4-BE49-F238E27FC236}">
                  <a16:creationId xmlns:a16="http://schemas.microsoft.com/office/drawing/2014/main" id="{BA8A870A-6E95-4C23-8F65-26F390EEBF7B}"/>
                </a:ext>
              </a:extLst>
            </xdr:cNvPr>
            <xdr:cNvSpPr txBox="1">
              <a:spLocks noChangeArrowheads="1"/>
            </xdr:cNvSpPr>
          </xdr:nvSpPr>
          <xdr:spPr bwMode="auto">
            <a:xfrm>
              <a:off x="7277100" y="10668000"/>
              <a:ext cx="3429000" cy="7543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piers must be located in the positive 1st quadrant.  That is, all pier X, Y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pier coordinates, or those cell values should be input = 0.</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701040</xdr:colOff>
          <xdr:row>83</xdr:row>
          <xdr:rowOff>76200</xdr:rowOff>
        </xdr:from>
        <xdr:to>
          <xdr:col>11</xdr:col>
          <xdr:colOff>45720</xdr:colOff>
          <xdr:row>86</xdr:row>
          <xdr:rowOff>45720</xdr:rowOff>
        </xdr:to>
        <xdr:sp macro="" textlink="">
          <xdr:nvSpPr>
            <xdr:cNvPr id="82958" name="Comment 14" hidden="1">
              <a:extLst>
                <a:ext uri="{FF2B5EF4-FFF2-40B4-BE49-F238E27FC236}">
                  <a16:creationId xmlns:a16="http://schemas.microsoft.com/office/drawing/2014/main" id="{10336FC2-03C8-414C-9E3D-B0EDF7AD3BE0}"/>
                </a:ext>
              </a:extLst>
            </xdr:cNvPr>
            <xdr:cNvSpPr txBox="1">
              <a:spLocks noChangeArrowheads="1"/>
            </xdr:cNvSpPr>
          </xdr:nvSpPr>
          <xdr:spPr bwMode="auto">
            <a:xfrm>
              <a:off x="4122420" y="14020800"/>
              <a:ext cx="3230880" cy="4724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Mx = sum of all applied X-axis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701040</xdr:colOff>
          <xdr:row>84</xdr:row>
          <xdr:rowOff>76200</xdr:rowOff>
        </xdr:from>
        <xdr:to>
          <xdr:col>11</xdr:col>
          <xdr:colOff>99060</xdr:colOff>
          <xdr:row>87</xdr:row>
          <xdr:rowOff>60960</xdr:rowOff>
        </xdr:to>
        <xdr:sp macro="" textlink="">
          <xdr:nvSpPr>
            <xdr:cNvPr id="82959" name="Comment 15" hidden="1">
              <a:extLst>
                <a:ext uri="{FF2B5EF4-FFF2-40B4-BE49-F238E27FC236}">
                  <a16:creationId xmlns:a16="http://schemas.microsoft.com/office/drawing/2014/main" id="{4A18BD83-DA7A-4F5C-8CD8-381D330F9017}"/>
                </a:ext>
              </a:extLst>
            </xdr:cNvPr>
            <xdr:cNvSpPr txBox="1">
              <a:spLocks noChangeArrowheads="1"/>
            </xdr:cNvSpPr>
          </xdr:nvSpPr>
          <xdr:spPr bwMode="auto">
            <a:xfrm>
              <a:off x="4122420" y="14188440"/>
              <a:ext cx="3284220" cy="4876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My = sum of all applied Y-axis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701040</xdr:colOff>
          <xdr:row>85</xdr:row>
          <xdr:rowOff>76200</xdr:rowOff>
        </xdr:from>
        <xdr:to>
          <xdr:col>11</xdr:col>
          <xdr:colOff>7620</xdr:colOff>
          <xdr:row>88</xdr:row>
          <xdr:rowOff>38100</xdr:rowOff>
        </xdr:to>
        <xdr:sp macro="" textlink="">
          <xdr:nvSpPr>
            <xdr:cNvPr id="82960" name="Comment 16" hidden="1">
              <a:extLst>
                <a:ext uri="{FF2B5EF4-FFF2-40B4-BE49-F238E27FC236}">
                  <a16:creationId xmlns:a16="http://schemas.microsoft.com/office/drawing/2014/main" id="{F964F33A-2335-4AF7-959A-71FC9CBC7534}"/>
                </a:ext>
              </a:extLst>
            </xdr:cNvPr>
            <xdr:cNvSpPr txBox="1">
              <a:spLocks noChangeArrowheads="1"/>
            </xdr:cNvSpPr>
          </xdr:nvSpPr>
          <xdr:spPr bwMode="auto">
            <a:xfrm>
              <a:off x="4122420" y="14356080"/>
              <a:ext cx="319278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Mz = sum of all applied Z-axis moments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89</xdr:row>
          <xdr:rowOff>76200</xdr:rowOff>
        </xdr:from>
        <xdr:to>
          <xdr:col>5</xdr:col>
          <xdr:colOff>518160</xdr:colOff>
          <xdr:row>92</xdr:row>
          <xdr:rowOff>60960</xdr:rowOff>
        </xdr:to>
        <xdr:sp macro="" textlink="">
          <xdr:nvSpPr>
            <xdr:cNvPr id="82961" name="Comment 17" hidden="1">
              <a:extLst>
                <a:ext uri="{FF2B5EF4-FFF2-40B4-BE49-F238E27FC236}">
                  <a16:creationId xmlns:a16="http://schemas.microsoft.com/office/drawing/2014/main" id="{A04F8785-1F3F-48BE-A1BB-6EAD10FF7CD6}"/>
                </a:ext>
              </a:extLst>
            </xdr:cNvPr>
            <xdr:cNvSpPr txBox="1">
              <a:spLocks noChangeArrowheads="1"/>
            </xdr:cNvSpPr>
          </xdr:nvSpPr>
          <xdr:spPr bwMode="auto">
            <a:xfrm>
              <a:off x="1653540" y="15026640"/>
              <a:ext cx="2286000" cy="4876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'Rz(max)'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90</xdr:row>
          <xdr:rowOff>76200</xdr:rowOff>
        </xdr:from>
        <xdr:to>
          <xdr:col>5</xdr:col>
          <xdr:colOff>518160</xdr:colOff>
          <xdr:row>93</xdr:row>
          <xdr:rowOff>38100</xdr:rowOff>
        </xdr:to>
        <xdr:sp macro="" textlink="">
          <xdr:nvSpPr>
            <xdr:cNvPr id="82962" name="Comment 18" hidden="1">
              <a:extLst>
                <a:ext uri="{FF2B5EF4-FFF2-40B4-BE49-F238E27FC236}">
                  <a16:creationId xmlns:a16="http://schemas.microsoft.com/office/drawing/2014/main" id="{D206D279-599A-42B5-A8C5-2DAD792F9E94}"/>
                </a:ext>
              </a:extLst>
            </xdr:cNvPr>
            <xdr:cNvSpPr txBox="1">
              <a:spLocks noChangeArrowheads="1"/>
            </xdr:cNvSpPr>
          </xdr:nvSpPr>
          <xdr:spPr bwMode="auto">
            <a:xfrm>
              <a:off x="1653540" y="15194280"/>
              <a:ext cx="228600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'Rz(min)'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106680</xdr:colOff>
          <xdr:row>91</xdr:row>
          <xdr:rowOff>76200</xdr:rowOff>
        </xdr:from>
        <xdr:to>
          <xdr:col>5</xdr:col>
          <xdr:colOff>320040</xdr:colOff>
          <xdr:row>94</xdr:row>
          <xdr:rowOff>45720</xdr:rowOff>
        </xdr:to>
        <xdr:sp macro="" textlink="">
          <xdr:nvSpPr>
            <xdr:cNvPr id="82963" name="Comment 19" hidden="1">
              <a:extLst>
                <a:ext uri="{FF2B5EF4-FFF2-40B4-BE49-F238E27FC236}">
                  <a16:creationId xmlns:a16="http://schemas.microsoft.com/office/drawing/2014/main" id="{29D8853A-0618-4C66-906A-C11D2BAD7A2D}"/>
                </a:ext>
              </a:extLst>
            </xdr:cNvPr>
            <xdr:cNvSpPr txBox="1">
              <a:spLocks noChangeArrowheads="1"/>
            </xdr:cNvSpPr>
          </xdr:nvSpPr>
          <xdr:spPr bwMode="auto">
            <a:xfrm>
              <a:off x="1653540" y="15361920"/>
              <a:ext cx="2087880" cy="4724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Note: 'Rh(max)' is an "absolute" value</a:t>
              </a:r>
            </a:p>
            <a:p>
              <a:pPr algn="l" rtl="0">
                <a:defRPr sz="1000"/>
              </a:pPr>
              <a:r>
                <a:rPr lang="en-US" sz="800" b="0" i="0" u="none" strike="noStrike" baseline="0%">
                  <a:solidFill>
                    <a:srgbClr val="000000"/>
                  </a:solidFill>
                  <a:latin typeface="Tahoma"/>
                  <a:ea typeface="Tahoma"/>
                  <a:cs typeface="Tahoma"/>
                </a:rPr>
                <a:t>          with no particular sign convention,</a:t>
              </a:r>
            </a:p>
            <a:p>
              <a:pPr algn="l" rtl="0">
                <a:defRPr sz="1000"/>
              </a:pPr>
              <a:r>
                <a:rPr lang="en-US" sz="800" b="0" i="0" u="none" strike="noStrike" baseline="0%">
                  <a:solidFill>
                    <a:srgbClr val="000000"/>
                  </a:solidFill>
                  <a:latin typeface="Tahoma"/>
                  <a:ea typeface="Tahoma"/>
                  <a:cs typeface="Tahoma"/>
                </a:rPr>
                <a:t>          thus no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44</xdr:col>
          <xdr:colOff>99060</xdr:colOff>
          <xdr:row>0</xdr:row>
          <xdr:rowOff>167640</xdr:rowOff>
        </xdr:from>
        <xdr:to>
          <xdr:col>47</xdr:col>
          <xdr:colOff>312420</xdr:colOff>
          <xdr:row>6</xdr:row>
          <xdr:rowOff>7620</xdr:rowOff>
        </xdr:to>
        <xdr:sp macro="" textlink="">
          <xdr:nvSpPr>
            <xdr:cNvPr id="82965" name="Comment 21" hidden="1">
              <a:extLst>
                <a:ext uri="{FF2B5EF4-FFF2-40B4-BE49-F238E27FC236}">
                  <a16:creationId xmlns:a16="http://schemas.microsoft.com/office/drawing/2014/main" id="{422E84D4-3760-43CB-805D-208FBECFD6D1}"/>
                </a:ext>
              </a:extLst>
            </xdr:cNvPr>
            <xdr:cNvSpPr txBox="1">
              <a:spLocks noChangeArrowheads="1"/>
            </xdr:cNvSpPr>
          </xdr:nvSpPr>
          <xdr:spPr bwMode="auto">
            <a:xfrm>
              <a:off x="13030200" y="167640"/>
              <a:ext cx="2087880" cy="876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user may manually adjust the scaling of the plotted pile group by adjusting the "X" and "Y" plot scale factors below.  The object is to try to equalize the maximum X-axis and Y-axis values which are shown.</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144780</xdr:colOff>
          <xdr:row>7</xdr:row>
          <xdr:rowOff>68580</xdr:rowOff>
        </xdr:from>
        <xdr:to>
          <xdr:col>6</xdr:col>
          <xdr:colOff>510540</xdr:colOff>
          <xdr:row>9</xdr:row>
          <xdr:rowOff>76200</xdr:rowOff>
        </xdr:to>
        <xdr:sp macro="" textlink="">
          <xdr:nvSpPr>
            <xdr:cNvPr id="82969" name="Comment 25" hidden="1">
              <a:extLst>
                <a:ext uri="{FF2B5EF4-FFF2-40B4-BE49-F238E27FC236}">
                  <a16:creationId xmlns:a16="http://schemas.microsoft.com/office/drawing/2014/main" id="{D2441C95-C752-491D-A6F9-58A85D66920E}"/>
                </a:ext>
              </a:extLst>
            </xdr:cNvPr>
            <xdr:cNvSpPr txBox="1">
              <a:spLocks noChangeArrowheads="1"/>
            </xdr:cNvSpPr>
          </xdr:nvSpPr>
          <xdr:spPr bwMode="auto">
            <a:xfrm>
              <a:off x="2316480" y="1272540"/>
              <a:ext cx="2377440" cy="342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2.</a:t>
              </a:r>
            </a:p>
            <a:p>
              <a:pPr algn="l" rtl="0">
                <a:defRPr sz="1000"/>
              </a:pPr>
              <a:r>
                <a:rPr lang="en-US" sz="800" b="1" i="0" u="none" strike="noStrike" baseline="0%">
                  <a:solidFill>
                    <a:srgbClr val="000000"/>
                  </a:solidFill>
                  <a:latin typeface="Tahoma"/>
                  <a:ea typeface="Tahoma"/>
                  <a:cs typeface="Tahoma"/>
                </a:rPr>
                <a:t>The maximum number of piles = 300.</a:t>
              </a:r>
            </a:p>
          </xdr:txBody>
        </xdr:sp>
        <xdr:clientData/>
      </xdr:twoCellAnchor>
    </mc:Fallback>
  </mc:AlternateContent>
  <mc:AlternateContent xmlns:mc="http://schemas.openxmlformats.org/markup-compatibility/2006">
    <mc:Choice xmlns:v="urn:schemas-microsoft-com:vml" Requires="v"/>
    <mc:Fallback>
      <xdr:twoCellAnchor editAs="absolute">
        <xdr:from>
          <xdr:col>47</xdr:col>
          <xdr:colOff>350520</xdr:colOff>
          <xdr:row>84</xdr:row>
          <xdr:rowOff>7620</xdr:rowOff>
        </xdr:from>
        <xdr:to>
          <xdr:col>51</xdr:col>
          <xdr:colOff>243840</xdr:colOff>
          <xdr:row>86</xdr:row>
          <xdr:rowOff>7620</xdr:rowOff>
        </xdr:to>
        <xdr:sp macro="" textlink="">
          <xdr:nvSpPr>
            <xdr:cNvPr id="82970" name="Comment 26" hidden="1">
              <a:extLst>
                <a:ext uri="{FF2B5EF4-FFF2-40B4-BE49-F238E27FC236}">
                  <a16:creationId xmlns:a16="http://schemas.microsoft.com/office/drawing/2014/main" id="{02E8648A-E449-4B98-9E90-08C152031CF3}"/>
                </a:ext>
              </a:extLst>
            </xdr:cNvPr>
            <xdr:cNvSpPr txBox="1">
              <a:spLocks noChangeArrowheads="1"/>
            </xdr:cNvSpPr>
          </xdr:nvSpPr>
          <xdr:spPr bwMode="auto">
            <a:xfrm>
              <a:off x="15156180" y="14119860"/>
              <a:ext cx="2392680" cy="3352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3.</a:t>
              </a:r>
            </a:p>
            <a:p>
              <a:pPr algn="l" rtl="0">
                <a:defRPr sz="1000"/>
              </a:pPr>
              <a:r>
                <a:rPr lang="en-US" sz="800" b="1" i="0" u="none" strike="noStrike" baseline="0%">
                  <a:solidFill>
                    <a:srgbClr val="000000"/>
                  </a:solidFill>
                  <a:latin typeface="Tahoma"/>
                  <a:ea typeface="Tahoma"/>
                  <a:cs typeface="Tahoma"/>
                </a:rPr>
                <a:t>The maximum number of piles = 300.</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144780</xdr:colOff>
          <xdr:row>65</xdr:row>
          <xdr:rowOff>76200</xdr:rowOff>
        </xdr:from>
        <xdr:to>
          <xdr:col>4</xdr:col>
          <xdr:colOff>335280</xdr:colOff>
          <xdr:row>67</xdr:row>
          <xdr:rowOff>91440</xdr:rowOff>
        </xdr:to>
        <xdr:sp macro="" textlink="">
          <xdr:nvSpPr>
            <xdr:cNvPr id="82971" name="Comment 27" hidden="1">
              <a:extLst>
                <a:ext uri="{FF2B5EF4-FFF2-40B4-BE49-F238E27FC236}">
                  <a16:creationId xmlns:a16="http://schemas.microsoft.com/office/drawing/2014/main" id="{FDF67BC8-C811-4A17-807F-5D398A307839}"/>
                </a:ext>
              </a:extLst>
            </xdr:cNvPr>
            <xdr:cNvSpPr txBox="1">
              <a:spLocks noChangeArrowheads="1"/>
            </xdr:cNvSpPr>
          </xdr:nvSpPr>
          <xdr:spPr bwMode="auto">
            <a:xfrm>
              <a:off x="960120" y="11003280"/>
              <a:ext cx="217170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 coordinate is the x-distance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144780</xdr:colOff>
          <xdr:row>66</xdr:row>
          <xdr:rowOff>76200</xdr:rowOff>
        </xdr:from>
        <xdr:to>
          <xdr:col>4</xdr:col>
          <xdr:colOff>304800</xdr:colOff>
          <xdr:row>68</xdr:row>
          <xdr:rowOff>91440</xdr:rowOff>
        </xdr:to>
        <xdr:sp macro="" textlink="">
          <xdr:nvSpPr>
            <xdr:cNvPr id="82972" name="Comment 28" hidden="1">
              <a:extLst>
                <a:ext uri="{FF2B5EF4-FFF2-40B4-BE49-F238E27FC236}">
                  <a16:creationId xmlns:a16="http://schemas.microsoft.com/office/drawing/2014/main" id="{28CAD5D0-0492-4ABC-9C70-55A432074492}"/>
                </a:ext>
              </a:extLst>
            </xdr:cNvPr>
            <xdr:cNvSpPr txBox="1">
              <a:spLocks noChangeArrowheads="1"/>
            </xdr:cNvSpPr>
          </xdr:nvSpPr>
          <xdr:spPr bwMode="auto">
            <a:xfrm>
              <a:off x="960120" y="11170920"/>
              <a:ext cx="214122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 coordinate is the y-distance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144780</xdr:colOff>
          <xdr:row>67</xdr:row>
          <xdr:rowOff>76200</xdr:rowOff>
        </xdr:from>
        <xdr:to>
          <xdr:col>5</xdr:col>
          <xdr:colOff>495300</xdr:colOff>
          <xdr:row>73</xdr:row>
          <xdr:rowOff>76200</xdr:rowOff>
        </xdr:to>
        <xdr:sp macro="" textlink="">
          <xdr:nvSpPr>
            <xdr:cNvPr id="82973" name="Comment 29" hidden="1">
              <a:extLst>
                <a:ext uri="{FF2B5EF4-FFF2-40B4-BE49-F238E27FC236}">
                  <a16:creationId xmlns:a16="http://schemas.microsoft.com/office/drawing/2014/main" id="{52E468B6-1FE4-4DEA-AD57-382AE8F150E7}"/>
                </a:ext>
              </a:extLst>
            </xdr:cNvPr>
            <xdr:cNvSpPr txBox="1">
              <a:spLocks noChangeArrowheads="1"/>
            </xdr:cNvSpPr>
          </xdr:nvSpPr>
          <xdr:spPr bwMode="auto">
            <a:xfrm>
              <a:off x="960120" y="11338560"/>
              <a:ext cx="295656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144780</xdr:colOff>
          <xdr:row>68</xdr:row>
          <xdr:rowOff>76200</xdr:rowOff>
        </xdr:from>
        <xdr:to>
          <xdr:col>6</xdr:col>
          <xdr:colOff>76200</xdr:colOff>
          <xdr:row>71</xdr:row>
          <xdr:rowOff>38100</xdr:rowOff>
        </xdr:to>
        <xdr:sp macro="" textlink="">
          <xdr:nvSpPr>
            <xdr:cNvPr id="82974" name="Comment 30" hidden="1">
              <a:extLst>
                <a:ext uri="{FF2B5EF4-FFF2-40B4-BE49-F238E27FC236}">
                  <a16:creationId xmlns:a16="http://schemas.microsoft.com/office/drawing/2014/main" id="{9A0C98DD-7049-47FB-887E-568B81947000}"/>
                </a:ext>
              </a:extLst>
            </xdr:cNvPr>
            <xdr:cNvSpPr txBox="1">
              <a:spLocks noChangeArrowheads="1"/>
            </xdr:cNvSpPr>
          </xdr:nvSpPr>
          <xdr:spPr bwMode="auto">
            <a:xfrm>
              <a:off x="960120" y="11506200"/>
              <a:ext cx="329946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'Pz' is the vertical (Z-axis)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upward (out of page)</a:t>
              </a:r>
            </a:p>
            <a:p>
              <a:pPr algn="l" rtl="0">
                <a:defRPr sz="1000"/>
              </a:pPr>
              <a:r>
                <a:rPr lang="en-US" sz="800" b="0" i="0" u="none" strike="noStrike" baseline="0%">
                  <a:solidFill>
                    <a:srgbClr val="000000"/>
                  </a:solidFill>
                  <a:latin typeface="Tahoma"/>
                  <a:ea typeface="Tahoma"/>
                  <a:cs typeface="Tahoma"/>
                </a:rPr>
                <a:t>                                   -  = downward (into page) for gravity loads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144780</xdr:colOff>
          <xdr:row>69</xdr:row>
          <xdr:rowOff>76200</xdr:rowOff>
        </xdr:from>
        <xdr:to>
          <xdr:col>6</xdr:col>
          <xdr:colOff>198120</xdr:colOff>
          <xdr:row>71</xdr:row>
          <xdr:rowOff>76200</xdr:rowOff>
        </xdr:to>
        <xdr:sp macro="" textlink="">
          <xdr:nvSpPr>
            <xdr:cNvPr id="82975" name="Comment 31" hidden="1">
              <a:extLst>
                <a:ext uri="{FF2B5EF4-FFF2-40B4-BE49-F238E27FC236}">
                  <a16:creationId xmlns:a16="http://schemas.microsoft.com/office/drawing/2014/main" id="{67833D79-9026-4312-BA77-FF5661BB7958}"/>
                </a:ext>
              </a:extLst>
            </xdr:cNvPr>
            <xdr:cNvSpPr txBox="1">
              <a:spLocks noChangeArrowheads="1"/>
            </xdr:cNvSpPr>
          </xdr:nvSpPr>
          <xdr:spPr bwMode="auto">
            <a:xfrm>
              <a:off x="960120" y="11673840"/>
              <a:ext cx="3421380" cy="3352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'Hx' is the horizontal (X-axis) load to be applied at the pier location.</a:t>
              </a:r>
            </a:p>
            <a:p>
              <a:pPr algn="l" rtl="0">
                <a:defRPr sz="1000"/>
              </a:pPr>
              <a:r>
                <a:rPr lang="en-US" sz="800" b="0" i="0" u="none" strike="noStrike" baseline="0%">
                  <a:solidFill>
                    <a:srgbClr val="000000"/>
                  </a:solidFill>
                  <a:latin typeface="Tahoma"/>
                  <a:ea typeface="Tahoma"/>
                  <a:cs typeface="Tahoma"/>
                </a:rPr>
                <a:t>Sign convention: + = to right</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144780</xdr:colOff>
          <xdr:row>70</xdr:row>
          <xdr:rowOff>76200</xdr:rowOff>
        </xdr:from>
        <xdr:to>
          <xdr:col>6</xdr:col>
          <xdr:colOff>205740</xdr:colOff>
          <xdr:row>72</xdr:row>
          <xdr:rowOff>91440</xdr:rowOff>
        </xdr:to>
        <xdr:sp macro="" textlink="">
          <xdr:nvSpPr>
            <xdr:cNvPr id="82976" name="Comment 32" hidden="1">
              <a:extLst>
                <a:ext uri="{FF2B5EF4-FFF2-40B4-BE49-F238E27FC236}">
                  <a16:creationId xmlns:a16="http://schemas.microsoft.com/office/drawing/2014/main" id="{AE43E0B1-E301-49EE-9D51-4A981F78CB5C}"/>
                </a:ext>
              </a:extLst>
            </xdr:cNvPr>
            <xdr:cNvSpPr txBox="1">
              <a:spLocks noChangeArrowheads="1"/>
            </xdr:cNvSpPr>
          </xdr:nvSpPr>
          <xdr:spPr bwMode="auto">
            <a:xfrm>
              <a:off x="960120" y="11841480"/>
              <a:ext cx="342900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'Hy' is the horizontal (Y-axis)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 the page</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144780</xdr:colOff>
          <xdr:row>71</xdr:row>
          <xdr:rowOff>76200</xdr:rowOff>
        </xdr:from>
        <xdr:to>
          <xdr:col>5</xdr:col>
          <xdr:colOff>594360</xdr:colOff>
          <xdr:row>73</xdr:row>
          <xdr:rowOff>91440</xdr:rowOff>
        </xdr:to>
        <xdr:sp macro="" textlink="">
          <xdr:nvSpPr>
            <xdr:cNvPr id="82977" name="Comment 33" hidden="1">
              <a:extLst>
                <a:ext uri="{FF2B5EF4-FFF2-40B4-BE49-F238E27FC236}">
                  <a16:creationId xmlns:a16="http://schemas.microsoft.com/office/drawing/2014/main" id="{4EC1FA08-5A7E-46EF-AA16-F2792760ED3B}"/>
                </a:ext>
              </a:extLst>
            </xdr:cNvPr>
            <xdr:cNvSpPr txBox="1">
              <a:spLocks noChangeArrowheads="1"/>
            </xdr:cNvSpPr>
          </xdr:nvSpPr>
          <xdr:spPr bwMode="auto">
            <a:xfrm>
              <a:off x="960120" y="12009120"/>
              <a:ext cx="305562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'Mx' is the X-axis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144780</xdr:colOff>
          <xdr:row>72</xdr:row>
          <xdr:rowOff>76200</xdr:rowOff>
        </xdr:from>
        <xdr:to>
          <xdr:col>5</xdr:col>
          <xdr:colOff>579120</xdr:colOff>
          <xdr:row>74</xdr:row>
          <xdr:rowOff>91440</xdr:rowOff>
        </xdr:to>
        <xdr:sp macro="" textlink="">
          <xdr:nvSpPr>
            <xdr:cNvPr id="82978" name="Comment 34" hidden="1">
              <a:extLst>
                <a:ext uri="{FF2B5EF4-FFF2-40B4-BE49-F238E27FC236}">
                  <a16:creationId xmlns:a16="http://schemas.microsoft.com/office/drawing/2014/main" id="{D8D63C6F-46F2-46F8-8A8F-ADFC5DAFF4D0}"/>
                </a:ext>
              </a:extLst>
            </xdr:cNvPr>
            <xdr:cNvSpPr txBox="1">
              <a:spLocks noChangeArrowheads="1"/>
            </xdr:cNvSpPr>
          </xdr:nvSpPr>
          <xdr:spPr bwMode="auto">
            <a:xfrm>
              <a:off x="960120" y="12176760"/>
              <a:ext cx="304038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'My' is the Y-axis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144780</xdr:colOff>
          <xdr:row>73</xdr:row>
          <xdr:rowOff>76200</xdr:rowOff>
        </xdr:from>
        <xdr:to>
          <xdr:col>5</xdr:col>
          <xdr:colOff>586740</xdr:colOff>
          <xdr:row>75</xdr:row>
          <xdr:rowOff>99060</xdr:rowOff>
        </xdr:to>
        <xdr:sp macro="" textlink="">
          <xdr:nvSpPr>
            <xdr:cNvPr id="82979" name="Comment 35" hidden="1">
              <a:extLst>
                <a:ext uri="{FF2B5EF4-FFF2-40B4-BE49-F238E27FC236}">
                  <a16:creationId xmlns:a16="http://schemas.microsoft.com/office/drawing/2014/main" id="{3BCD2A27-7427-49C6-8069-3F01D6B007E5}"/>
                </a:ext>
              </a:extLst>
            </xdr:cNvPr>
            <xdr:cNvSpPr txBox="1">
              <a:spLocks noChangeArrowheads="1"/>
            </xdr:cNvSpPr>
          </xdr:nvSpPr>
          <xdr:spPr bwMode="auto">
            <a:xfrm>
              <a:off x="960120" y="12344400"/>
              <a:ext cx="3048000" cy="3581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'Mz' is the Z-axis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82</xdr:row>
          <xdr:rowOff>76200</xdr:rowOff>
        </xdr:from>
        <xdr:to>
          <xdr:col>5</xdr:col>
          <xdr:colOff>220980</xdr:colOff>
          <xdr:row>88</xdr:row>
          <xdr:rowOff>99060</xdr:rowOff>
        </xdr:to>
        <xdr:sp macro="" textlink="">
          <xdr:nvSpPr>
            <xdr:cNvPr id="83047" name="Comment 103" hidden="1">
              <a:extLst>
                <a:ext uri="{FF2B5EF4-FFF2-40B4-BE49-F238E27FC236}">
                  <a16:creationId xmlns:a16="http://schemas.microsoft.com/office/drawing/2014/main" id="{37E55CE8-8312-40FB-8C1A-599BB6938A8E}"/>
                </a:ext>
              </a:extLst>
            </xdr:cNvPr>
            <xdr:cNvSpPr txBox="1">
              <a:spLocks noChangeArrowheads="1"/>
            </xdr:cNvSpPr>
          </xdr:nvSpPr>
          <xdr:spPr bwMode="auto">
            <a:xfrm>
              <a:off x="1691640" y="13853160"/>
              <a:ext cx="1950720" cy="10287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X-axis Moment of Inertia, 'Ix',  for the pile group is calculated as follows:</a:t>
              </a:r>
            </a:p>
            <a:p>
              <a:pPr algn="l" rtl="0">
                <a:defRPr sz="1000"/>
              </a:pPr>
              <a:r>
                <a:rPr lang="en-US" sz="800" b="0" i="0" u="none" strike="noStrike" baseline="0%">
                  <a:solidFill>
                    <a:srgbClr val="000000"/>
                  </a:solidFill>
                  <a:latin typeface="Tahoma"/>
                  <a:ea typeface="Tahoma"/>
                  <a:cs typeface="Tahoma"/>
                </a:rPr>
                <a:t>   Ix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(dy)^2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 </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83</xdr:row>
          <xdr:rowOff>76200</xdr:rowOff>
        </xdr:from>
        <xdr:to>
          <xdr:col>5</xdr:col>
          <xdr:colOff>220980</xdr:colOff>
          <xdr:row>89</xdr:row>
          <xdr:rowOff>76200</xdr:rowOff>
        </xdr:to>
        <xdr:sp macro="" textlink="">
          <xdr:nvSpPr>
            <xdr:cNvPr id="83048" name="Comment 104" hidden="1">
              <a:extLst>
                <a:ext uri="{FF2B5EF4-FFF2-40B4-BE49-F238E27FC236}">
                  <a16:creationId xmlns:a16="http://schemas.microsoft.com/office/drawing/2014/main" id="{94C5AD63-CA4D-4959-A83E-8DAA600DE374}"/>
                </a:ext>
              </a:extLst>
            </xdr:cNvPr>
            <xdr:cNvSpPr txBox="1">
              <a:spLocks noChangeArrowheads="1"/>
            </xdr:cNvSpPr>
          </xdr:nvSpPr>
          <xdr:spPr bwMode="auto">
            <a:xfrm>
              <a:off x="1691640" y="14020800"/>
              <a:ext cx="195072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Y-axis Moment of Inertia, 'Iy',  for the pile group is calculated as follows:</a:t>
              </a:r>
            </a:p>
            <a:p>
              <a:pPr algn="l" rtl="0">
                <a:defRPr sz="1000"/>
              </a:pPr>
              <a:r>
                <a:rPr lang="en-US" sz="800" b="0" i="0" u="none" strike="noStrike" baseline="0%">
                  <a:solidFill>
                    <a:srgbClr val="000000"/>
                  </a:solidFill>
                  <a:latin typeface="Tahoma"/>
                  <a:ea typeface="Tahoma"/>
                  <a:cs typeface="Tahoma"/>
                </a:rPr>
                <a:t>   Iy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 </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84</xdr:row>
          <xdr:rowOff>76200</xdr:rowOff>
        </xdr:from>
        <xdr:to>
          <xdr:col>5</xdr:col>
          <xdr:colOff>220980</xdr:colOff>
          <xdr:row>87</xdr:row>
          <xdr:rowOff>30480</xdr:rowOff>
        </xdr:to>
        <xdr:sp macro="" textlink="">
          <xdr:nvSpPr>
            <xdr:cNvPr id="83049" name="Comment 105" hidden="1">
              <a:extLst>
                <a:ext uri="{FF2B5EF4-FFF2-40B4-BE49-F238E27FC236}">
                  <a16:creationId xmlns:a16="http://schemas.microsoft.com/office/drawing/2014/main" id="{F05C519B-E719-4937-A643-9F003EC431C0}"/>
                </a:ext>
              </a:extLst>
            </xdr:cNvPr>
            <xdr:cNvSpPr txBox="1">
              <a:spLocks noChangeArrowheads="1"/>
            </xdr:cNvSpPr>
          </xdr:nvSpPr>
          <xdr:spPr bwMode="auto">
            <a:xfrm>
              <a:off x="1691640" y="14188440"/>
              <a:ext cx="195072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Polar Moment of Inertia for the pile group is calculated as follows:</a:t>
              </a:r>
            </a:p>
            <a:p>
              <a:pPr algn="l" rtl="0">
                <a:defRPr sz="1000"/>
              </a:pPr>
              <a:r>
                <a:rPr lang="en-US" sz="800" b="0" i="0" u="none" strike="noStrike" baseline="0%">
                  <a:solidFill>
                    <a:srgbClr val="000000"/>
                  </a:solidFill>
                  <a:latin typeface="Tahoma"/>
                  <a:ea typeface="Tahoma"/>
                  <a:cs typeface="Tahoma"/>
                </a:rPr>
                <a:t>   J = Ix+Iy</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144780</xdr:colOff>
          <xdr:row>85</xdr:row>
          <xdr:rowOff>76200</xdr:rowOff>
        </xdr:from>
        <xdr:to>
          <xdr:col>5</xdr:col>
          <xdr:colOff>251460</xdr:colOff>
          <xdr:row>95</xdr:row>
          <xdr:rowOff>60960</xdr:rowOff>
        </xdr:to>
        <xdr:sp macro="" textlink="">
          <xdr:nvSpPr>
            <xdr:cNvPr id="83050" name="Comment 106" hidden="1">
              <a:extLst>
                <a:ext uri="{FF2B5EF4-FFF2-40B4-BE49-F238E27FC236}">
                  <a16:creationId xmlns:a16="http://schemas.microsoft.com/office/drawing/2014/main" id="{E1F63D91-6F53-478E-8A3E-56C2A4CC535B}"/>
                </a:ext>
              </a:extLst>
            </xdr:cNvPr>
            <xdr:cNvSpPr txBox="1">
              <a:spLocks noChangeArrowheads="1"/>
            </xdr:cNvSpPr>
          </xdr:nvSpPr>
          <xdr:spPr bwMode="auto">
            <a:xfrm>
              <a:off x="1691640" y="14356080"/>
              <a:ext cx="1981200" cy="16611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Product Moment of Inertia, 'Ixy', for the pile group is calculated as follows:</a:t>
              </a:r>
            </a:p>
            <a:p>
              <a:pPr algn="l" rtl="0">
                <a:defRPr sz="1000"/>
              </a:pPr>
              <a:r>
                <a:rPr lang="en-US" sz="800" b="0" i="0" u="none" strike="noStrike" baseline="0%">
                  <a:solidFill>
                    <a:srgbClr val="000000"/>
                  </a:solidFill>
                  <a:latin typeface="Tahoma"/>
                  <a:ea typeface="Tahoma"/>
                  <a:cs typeface="Tahoma"/>
                </a:rPr>
                <a:t>   Ixy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(dx*dy)</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a:t>
              </a:r>
            </a:p>
            <a:p>
              <a:pPr algn="l" rtl="0">
                <a:defRPr sz="1000"/>
              </a:pPr>
              <a:r>
                <a:rPr lang="en-US" sz="800" b="0" i="0" u="none" strike="noStrike" baseline="0%">
                  <a:solidFill>
                    <a:srgbClr val="000000"/>
                  </a:solidFill>
                  <a:latin typeface="Tahoma"/>
                  <a:ea typeface="Tahoma"/>
                  <a:cs typeface="Tahoma"/>
                </a:rPr>
                <a:t>Note:  'Ixy' = 0  for a pile group with at</a:t>
              </a:r>
            </a:p>
            <a:p>
              <a:pPr algn="l" rtl="0">
                <a:defRPr sz="1000"/>
              </a:pPr>
              <a:r>
                <a:rPr lang="en-US" sz="800" b="0" i="0" u="none" strike="noStrike" baseline="0%">
                  <a:solidFill>
                    <a:srgbClr val="000000"/>
                  </a:solidFill>
                  <a:latin typeface="Tahoma"/>
                  <a:ea typeface="Tahoma"/>
                  <a:cs typeface="Tahoma"/>
                </a:rPr>
                <a:t>           least one axis of symmetry.</a:t>
              </a:r>
            </a:p>
          </xdr:txBody>
        </xdr:sp>
        <xdr:clientData/>
      </xdr:twoCellAnchor>
    </mc:Fallback>
  </mc:AlternateContent>
</xdr:wsDr>
</file>

<file path=xl/drawings/drawing7.xml><?xml version="1.0" encoding="utf-8"?>
<xdr:wsDr xmlns:xdr="http://purl.oclc.org/ooxml/drawingml/spreadsheetDrawing" xmlns:a="http://purl.oclc.org/ooxml/drawingml/main">
  <xdr:twoCellAnchor>
    <xdr:from>
      <xdr:col>56</xdr:col>
      <xdr:colOff>0</xdr:colOff>
      <xdr:row>1</xdr:row>
      <xdr:rowOff>0</xdr:rowOff>
    </xdr:from>
    <xdr:to>
      <xdr:col>58</xdr:col>
      <xdr:colOff>0</xdr:colOff>
      <xdr:row>4</xdr:row>
      <xdr:rowOff>0</xdr:rowOff>
    </xdr:to>
    <xdr:sp macro="" textlink="">
      <xdr:nvSpPr>
        <xdr:cNvPr id="90141" name="Rectangle 29">
          <a:extLst>
            <a:ext uri="{FF2B5EF4-FFF2-40B4-BE49-F238E27FC236}">
              <a16:creationId xmlns:a16="http://schemas.microsoft.com/office/drawing/2014/main" id="{B94F21FC-BCBC-47BD-89AD-3520B4FEA470}"/>
            </a:ext>
          </a:extLst>
        </xdr:cNvPr>
        <xdr:cNvSpPr>
          <a:spLocks noChangeArrowheads="1"/>
        </xdr:cNvSpPr>
      </xdr:nvSpPr>
      <xdr:spPr bwMode="auto">
        <a:xfrm>
          <a:off x="17091660" y="198120"/>
          <a:ext cx="1249680" cy="50292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ffectLst>
          <a:outerShdw dist="107763"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77</xdr:row>
      <xdr:rowOff>129540</xdr:rowOff>
    </xdr:from>
    <xdr:to>
      <xdr:col>23</xdr:col>
      <xdr:colOff>22860</xdr:colOff>
      <xdr:row>152</xdr:row>
      <xdr:rowOff>144780</xdr:rowOff>
    </xdr:to>
    <xdr:graphicFrame macro="">
      <xdr:nvGraphicFramePr>
        <xdr:cNvPr id="90143" name="Chart 31">
          <a:extLst>
            <a:ext uri="{FF2B5EF4-FFF2-40B4-BE49-F238E27FC236}">
              <a16:creationId xmlns:a16="http://schemas.microsoft.com/office/drawing/2014/main" id="{3B4C964B-1185-47F2-BFD8-1BE09D716A12}"/>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56</xdr:col>
      <xdr:colOff>68580</xdr:colOff>
      <xdr:row>7</xdr:row>
      <xdr:rowOff>38100</xdr:rowOff>
    </xdr:from>
    <xdr:to>
      <xdr:col>56</xdr:col>
      <xdr:colOff>167640</xdr:colOff>
      <xdr:row>7</xdr:row>
      <xdr:rowOff>137160</xdr:rowOff>
    </xdr:to>
    <xdr:sp macro="" textlink="">
      <xdr:nvSpPr>
        <xdr:cNvPr id="90146" name="Oval 34">
          <a:extLst>
            <a:ext uri="{FF2B5EF4-FFF2-40B4-BE49-F238E27FC236}">
              <a16:creationId xmlns:a16="http://schemas.microsoft.com/office/drawing/2014/main" id="{E3AF1F9D-E4DB-488C-B5BA-958EC39F59EC}"/>
            </a:ext>
          </a:extLst>
        </xdr:cNvPr>
        <xdr:cNvSpPr>
          <a:spLocks noChangeArrowheads="1"/>
        </xdr:cNvSpPr>
      </xdr:nvSpPr>
      <xdr:spPr bwMode="auto">
        <a:xfrm>
          <a:off x="17160240" y="1242060"/>
          <a:ext cx="99060" cy="990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round/>
          <a:headEnd/>
          <a:tailEnd/>
        </a:ln>
      </xdr:spPr>
    </xdr:sp>
    <xdr:clientData/>
  </xdr:twoCellAnchor>
  <xdr:twoCellAnchor>
    <xdr:from>
      <xdr:col>55</xdr:col>
      <xdr:colOff>441960</xdr:colOff>
      <xdr:row>6</xdr:row>
      <xdr:rowOff>91440</xdr:rowOff>
    </xdr:from>
    <xdr:to>
      <xdr:col>57</xdr:col>
      <xdr:colOff>381000</xdr:colOff>
      <xdr:row>13</xdr:row>
      <xdr:rowOff>60960</xdr:rowOff>
    </xdr:to>
    <xdr:sp macro="" textlink="">
      <xdr:nvSpPr>
        <xdr:cNvPr id="90147" name="Rectangle 35">
          <a:extLst>
            <a:ext uri="{FF2B5EF4-FFF2-40B4-BE49-F238E27FC236}">
              <a16:creationId xmlns:a16="http://schemas.microsoft.com/office/drawing/2014/main" id="{DA0630B6-778D-4368-B39A-5E66FEFA08BB}"/>
            </a:ext>
          </a:extLst>
        </xdr:cNvPr>
        <xdr:cNvSpPr>
          <a:spLocks noChangeArrowheads="1"/>
        </xdr:cNvSpPr>
      </xdr:nvSpPr>
      <xdr:spPr bwMode="auto">
        <a:xfrm>
          <a:off x="16908780" y="1127760"/>
          <a:ext cx="118872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55</xdr:col>
      <xdr:colOff>441960</xdr:colOff>
      <xdr:row>5</xdr:row>
      <xdr:rowOff>91440</xdr:rowOff>
    </xdr:from>
    <xdr:to>
      <xdr:col>55</xdr:col>
      <xdr:colOff>441960</xdr:colOff>
      <xdr:row>6</xdr:row>
      <xdr:rowOff>76200</xdr:rowOff>
    </xdr:to>
    <xdr:sp macro="" textlink="">
      <xdr:nvSpPr>
        <xdr:cNvPr id="90148" name="Line 36">
          <a:extLst>
            <a:ext uri="{FF2B5EF4-FFF2-40B4-BE49-F238E27FC236}">
              <a16:creationId xmlns:a16="http://schemas.microsoft.com/office/drawing/2014/main" id="{1F88F490-9307-40E6-8296-BEC9C5982678}"/>
            </a:ext>
          </a:extLst>
        </xdr:cNvPr>
        <xdr:cNvSpPr>
          <a:spLocks noChangeShapeType="1"/>
        </xdr:cNvSpPr>
      </xdr:nvSpPr>
      <xdr:spPr bwMode="auto">
        <a:xfrm flipV="1">
          <a:off x="16908780" y="96012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55</xdr:col>
      <xdr:colOff>320040</xdr:colOff>
      <xdr:row>13</xdr:row>
      <xdr:rowOff>60960</xdr:rowOff>
    </xdr:from>
    <xdr:to>
      <xdr:col>55</xdr:col>
      <xdr:colOff>441960</xdr:colOff>
      <xdr:row>14</xdr:row>
      <xdr:rowOff>7620</xdr:rowOff>
    </xdr:to>
    <xdr:sp macro="" textlink="">
      <xdr:nvSpPr>
        <xdr:cNvPr id="90149" name="Line 37">
          <a:extLst>
            <a:ext uri="{FF2B5EF4-FFF2-40B4-BE49-F238E27FC236}">
              <a16:creationId xmlns:a16="http://schemas.microsoft.com/office/drawing/2014/main" id="{D45D90E1-B51D-4250-83BF-60D9D639F678}"/>
            </a:ext>
          </a:extLst>
        </xdr:cNvPr>
        <xdr:cNvSpPr>
          <a:spLocks noChangeShapeType="1"/>
        </xdr:cNvSpPr>
      </xdr:nvSpPr>
      <xdr:spPr bwMode="auto">
        <a:xfrm flipH="1">
          <a:off x="16786860" y="2270760"/>
          <a:ext cx="12192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57</xdr:col>
      <xdr:colOff>388620</xdr:colOff>
      <xdr:row>13</xdr:row>
      <xdr:rowOff>60960</xdr:rowOff>
    </xdr:from>
    <xdr:to>
      <xdr:col>57</xdr:col>
      <xdr:colOff>548640</xdr:colOff>
      <xdr:row>13</xdr:row>
      <xdr:rowOff>60960</xdr:rowOff>
    </xdr:to>
    <xdr:sp macro="" textlink="">
      <xdr:nvSpPr>
        <xdr:cNvPr id="90150" name="Line 38">
          <a:extLst>
            <a:ext uri="{FF2B5EF4-FFF2-40B4-BE49-F238E27FC236}">
              <a16:creationId xmlns:a16="http://schemas.microsoft.com/office/drawing/2014/main" id="{6E9D9562-5697-464E-B318-213CE99A1CF6}"/>
            </a:ext>
          </a:extLst>
        </xdr:cNvPr>
        <xdr:cNvSpPr>
          <a:spLocks noChangeShapeType="1"/>
        </xdr:cNvSpPr>
      </xdr:nvSpPr>
      <xdr:spPr bwMode="auto">
        <a:xfrm flipV="1">
          <a:off x="18105120" y="2270760"/>
          <a:ext cx="1600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55</xdr:col>
      <xdr:colOff>441960</xdr:colOff>
      <xdr:row>19</xdr:row>
      <xdr:rowOff>144780</xdr:rowOff>
    </xdr:from>
    <xdr:to>
      <xdr:col>57</xdr:col>
      <xdr:colOff>381000</xdr:colOff>
      <xdr:row>21</xdr:row>
      <xdr:rowOff>45720</xdr:rowOff>
    </xdr:to>
    <xdr:sp macro="" textlink="">
      <xdr:nvSpPr>
        <xdr:cNvPr id="90151" name="Rectangle 39">
          <a:extLst>
            <a:ext uri="{FF2B5EF4-FFF2-40B4-BE49-F238E27FC236}">
              <a16:creationId xmlns:a16="http://schemas.microsoft.com/office/drawing/2014/main" id="{8ABB815F-754B-42F7-9E32-FA658241FA5A}"/>
            </a:ext>
          </a:extLst>
        </xdr:cNvPr>
        <xdr:cNvSpPr>
          <a:spLocks noChangeArrowheads="1"/>
        </xdr:cNvSpPr>
      </xdr:nvSpPr>
      <xdr:spPr bwMode="auto">
        <a:xfrm>
          <a:off x="16908780" y="3360420"/>
          <a:ext cx="1188720" cy="2362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56</xdr:col>
      <xdr:colOff>251460</xdr:colOff>
      <xdr:row>18</xdr:row>
      <xdr:rowOff>160020</xdr:rowOff>
    </xdr:from>
    <xdr:to>
      <xdr:col>56</xdr:col>
      <xdr:colOff>563880</xdr:colOff>
      <xdr:row>19</xdr:row>
      <xdr:rowOff>144780</xdr:rowOff>
    </xdr:to>
    <xdr:sp macro="" textlink="">
      <xdr:nvSpPr>
        <xdr:cNvPr id="90152" name="Rectangle 40">
          <a:extLst>
            <a:ext uri="{FF2B5EF4-FFF2-40B4-BE49-F238E27FC236}">
              <a16:creationId xmlns:a16="http://schemas.microsoft.com/office/drawing/2014/main" id="{0B950C43-9BD7-4888-8193-513BC2AC0F20}"/>
            </a:ext>
          </a:extLst>
        </xdr:cNvPr>
        <xdr:cNvSpPr>
          <a:spLocks noChangeArrowheads="1"/>
        </xdr:cNvSpPr>
      </xdr:nvSpPr>
      <xdr:spPr bwMode="auto">
        <a:xfrm>
          <a:off x="17343120" y="3208020"/>
          <a:ext cx="31242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55</xdr:col>
      <xdr:colOff>556260</xdr:colOff>
      <xdr:row>21</xdr:row>
      <xdr:rowOff>45720</xdr:rowOff>
    </xdr:from>
    <xdr:to>
      <xdr:col>55</xdr:col>
      <xdr:colOff>556260</xdr:colOff>
      <xdr:row>23</xdr:row>
      <xdr:rowOff>76200</xdr:rowOff>
    </xdr:to>
    <xdr:sp macro="" textlink="">
      <xdr:nvSpPr>
        <xdr:cNvPr id="90153" name="Line 41">
          <a:extLst>
            <a:ext uri="{FF2B5EF4-FFF2-40B4-BE49-F238E27FC236}">
              <a16:creationId xmlns:a16="http://schemas.microsoft.com/office/drawing/2014/main" id="{22EF9313-E1E1-4AE2-AF7D-CB99576D833E}"/>
            </a:ext>
          </a:extLst>
        </xdr:cNvPr>
        <xdr:cNvSpPr>
          <a:spLocks noChangeShapeType="1"/>
        </xdr:cNvSpPr>
      </xdr:nvSpPr>
      <xdr:spPr bwMode="auto">
        <a:xfrm>
          <a:off x="1702308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76200</xdr:colOff>
      <xdr:row>21</xdr:row>
      <xdr:rowOff>45720</xdr:rowOff>
    </xdr:from>
    <xdr:to>
      <xdr:col>56</xdr:col>
      <xdr:colOff>76200</xdr:colOff>
      <xdr:row>23</xdr:row>
      <xdr:rowOff>76200</xdr:rowOff>
    </xdr:to>
    <xdr:sp macro="" textlink="">
      <xdr:nvSpPr>
        <xdr:cNvPr id="90154" name="Line 42">
          <a:extLst>
            <a:ext uri="{FF2B5EF4-FFF2-40B4-BE49-F238E27FC236}">
              <a16:creationId xmlns:a16="http://schemas.microsoft.com/office/drawing/2014/main" id="{9A370173-12B0-47D0-80CF-7349EF1535E2}"/>
            </a:ext>
          </a:extLst>
        </xdr:cNvPr>
        <xdr:cNvSpPr>
          <a:spLocks noChangeShapeType="1"/>
        </xdr:cNvSpPr>
      </xdr:nvSpPr>
      <xdr:spPr bwMode="auto">
        <a:xfrm>
          <a:off x="1716786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480060</xdr:colOff>
      <xdr:row>23</xdr:row>
      <xdr:rowOff>76200</xdr:rowOff>
    </xdr:from>
    <xdr:to>
      <xdr:col>55</xdr:col>
      <xdr:colOff>586740</xdr:colOff>
      <xdr:row>23</xdr:row>
      <xdr:rowOff>76200</xdr:rowOff>
    </xdr:to>
    <xdr:sp macro="" textlink="">
      <xdr:nvSpPr>
        <xdr:cNvPr id="90155" name="Line 43">
          <a:extLst>
            <a:ext uri="{FF2B5EF4-FFF2-40B4-BE49-F238E27FC236}">
              <a16:creationId xmlns:a16="http://schemas.microsoft.com/office/drawing/2014/main" id="{4DD1EB40-B76D-4C81-9E7A-EE4D40E7A5C6}"/>
            </a:ext>
          </a:extLst>
        </xdr:cNvPr>
        <xdr:cNvSpPr>
          <a:spLocks noChangeShapeType="1"/>
        </xdr:cNvSpPr>
      </xdr:nvSpPr>
      <xdr:spPr bwMode="auto">
        <a:xfrm>
          <a:off x="1694688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38100</xdr:colOff>
      <xdr:row>23</xdr:row>
      <xdr:rowOff>76200</xdr:rowOff>
    </xdr:from>
    <xdr:to>
      <xdr:col>56</xdr:col>
      <xdr:colOff>144780</xdr:colOff>
      <xdr:row>23</xdr:row>
      <xdr:rowOff>76200</xdr:rowOff>
    </xdr:to>
    <xdr:sp macro="" textlink="">
      <xdr:nvSpPr>
        <xdr:cNvPr id="90156" name="Line 44">
          <a:extLst>
            <a:ext uri="{FF2B5EF4-FFF2-40B4-BE49-F238E27FC236}">
              <a16:creationId xmlns:a16="http://schemas.microsoft.com/office/drawing/2014/main" id="{284C1BDF-7D9B-460A-8C19-82DDB8561E82}"/>
            </a:ext>
          </a:extLst>
        </xdr:cNvPr>
        <xdr:cNvSpPr>
          <a:spLocks noChangeShapeType="1"/>
        </xdr:cNvSpPr>
      </xdr:nvSpPr>
      <xdr:spPr bwMode="auto">
        <a:xfrm>
          <a:off x="1712976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586740</xdr:colOff>
      <xdr:row>23</xdr:row>
      <xdr:rowOff>76200</xdr:rowOff>
    </xdr:from>
    <xdr:to>
      <xdr:col>55</xdr:col>
      <xdr:colOff>609600</xdr:colOff>
      <xdr:row>23</xdr:row>
      <xdr:rowOff>99060</xdr:rowOff>
    </xdr:to>
    <xdr:sp macro="" textlink="">
      <xdr:nvSpPr>
        <xdr:cNvPr id="90157" name="Line 45">
          <a:extLst>
            <a:ext uri="{FF2B5EF4-FFF2-40B4-BE49-F238E27FC236}">
              <a16:creationId xmlns:a16="http://schemas.microsoft.com/office/drawing/2014/main" id="{ABDF31B9-3FEE-447D-B50E-1E4A0E85C873}"/>
            </a:ext>
          </a:extLst>
        </xdr:cNvPr>
        <xdr:cNvSpPr>
          <a:spLocks noChangeShapeType="1"/>
        </xdr:cNvSpPr>
      </xdr:nvSpPr>
      <xdr:spPr bwMode="auto">
        <a:xfrm>
          <a:off x="1705356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22860</xdr:colOff>
      <xdr:row>23</xdr:row>
      <xdr:rowOff>60960</xdr:rowOff>
    </xdr:from>
    <xdr:to>
      <xdr:col>56</xdr:col>
      <xdr:colOff>45720</xdr:colOff>
      <xdr:row>23</xdr:row>
      <xdr:rowOff>83820</xdr:rowOff>
    </xdr:to>
    <xdr:sp macro="" textlink="">
      <xdr:nvSpPr>
        <xdr:cNvPr id="90158" name="Line 46">
          <a:extLst>
            <a:ext uri="{FF2B5EF4-FFF2-40B4-BE49-F238E27FC236}">
              <a16:creationId xmlns:a16="http://schemas.microsoft.com/office/drawing/2014/main" id="{5D10A983-117C-4301-9A2F-79641CD80B48}"/>
            </a:ext>
          </a:extLst>
        </xdr:cNvPr>
        <xdr:cNvSpPr>
          <a:spLocks noChangeShapeType="1"/>
        </xdr:cNvSpPr>
      </xdr:nvSpPr>
      <xdr:spPr bwMode="auto">
        <a:xfrm flipH="1" flipV="1">
          <a:off x="1711452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601980</xdr:colOff>
      <xdr:row>23</xdr:row>
      <xdr:rowOff>60960</xdr:rowOff>
    </xdr:from>
    <xdr:to>
      <xdr:col>56</xdr:col>
      <xdr:colOff>22860</xdr:colOff>
      <xdr:row>23</xdr:row>
      <xdr:rowOff>99060</xdr:rowOff>
    </xdr:to>
    <xdr:sp macro="" textlink="">
      <xdr:nvSpPr>
        <xdr:cNvPr id="90159" name="Line 47">
          <a:extLst>
            <a:ext uri="{FF2B5EF4-FFF2-40B4-BE49-F238E27FC236}">
              <a16:creationId xmlns:a16="http://schemas.microsoft.com/office/drawing/2014/main" id="{5F7BB3F6-B447-4BCC-BF73-C90870701071}"/>
            </a:ext>
          </a:extLst>
        </xdr:cNvPr>
        <xdr:cNvSpPr>
          <a:spLocks noChangeShapeType="1"/>
        </xdr:cNvSpPr>
      </xdr:nvSpPr>
      <xdr:spPr bwMode="auto">
        <a:xfrm flipV="1">
          <a:off x="17068800" y="3947160"/>
          <a:ext cx="4572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114300</xdr:colOff>
      <xdr:row>21</xdr:row>
      <xdr:rowOff>45720</xdr:rowOff>
    </xdr:from>
    <xdr:to>
      <xdr:col>57</xdr:col>
      <xdr:colOff>114300</xdr:colOff>
      <xdr:row>23</xdr:row>
      <xdr:rowOff>76200</xdr:rowOff>
    </xdr:to>
    <xdr:sp macro="" textlink="">
      <xdr:nvSpPr>
        <xdr:cNvPr id="90160" name="Line 48">
          <a:extLst>
            <a:ext uri="{FF2B5EF4-FFF2-40B4-BE49-F238E27FC236}">
              <a16:creationId xmlns:a16="http://schemas.microsoft.com/office/drawing/2014/main" id="{51B1CAAF-3784-4105-8F33-CE7AF72339A0}"/>
            </a:ext>
          </a:extLst>
        </xdr:cNvPr>
        <xdr:cNvSpPr>
          <a:spLocks noChangeShapeType="1"/>
        </xdr:cNvSpPr>
      </xdr:nvSpPr>
      <xdr:spPr bwMode="auto">
        <a:xfrm>
          <a:off x="1783080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266700</xdr:colOff>
      <xdr:row>21</xdr:row>
      <xdr:rowOff>45720</xdr:rowOff>
    </xdr:from>
    <xdr:to>
      <xdr:col>57</xdr:col>
      <xdr:colOff>266700</xdr:colOff>
      <xdr:row>23</xdr:row>
      <xdr:rowOff>76200</xdr:rowOff>
    </xdr:to>
    <xdr:sp macro="" textlink="">
      <xdr:nvSpPr>
        <xdr:cNvPr id="90161" name="Line 49">
          <a:extLst>
            <a:ext uri="{FF2B5EF4-FFF2-40B4-BE49-F238E27FC236}">
              <a16:creationId xmlns:a16="http://schemas.microsoft.com/office/drawing/2014/main" id="{3BA07002-6E7F-4F80-868C-AF5FAC5BECD0}"/>
            </a:ext>
          </a:extLst>
        </xdr:cNvPr>
        <xdr:cNvSpPr>
          <a:spLocks noChangeShapeType="1"/>
        </xdr:cNvSpPr>
      </xdr:nvSpPr>
      <xdr:spPr bwMode="auto">
        <a:xfrm>
          <a:off x="1798320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38100</xdr:colOff>
      <xdr:row>23</xdr:row>
      <xdr:rowOff>76200</xdr:rowOff>
    </xdr:from>
    <xdr:to>
      <xdr:col>57</xdr:col>
      <xdr:colOff>144780</xdr:colOff>
      <xdr:row>23</xdr:row>
      <xdr:rowOff>76200</xdr:rowOff>
    </xdr:to>
    <xdr:sp macro="" textlink="">
      <xdr:nvSpPr>
        <xdr:cNvPr id="90162" name="Line 50">
          <a:extLst>
            <a:ext uri="{FF2B5EF4-FFF2-40B4-BE49-F238E27FC236}">
              <a16:creationId xmlns:a16="http://schemas.microsoft.com/office/drawing/2014/main" id="{8800657D-008F-41F5-A6A2-7269ED6DFC07}"/>
            </a:ext>
          </a:extLst>
        </xdr:cNvPr>
        <xdr:cNvSpPr>
          <a:spLocks noChangeShapeType="1"/>
        </xdr:cNvSpPr>
      </xdr:nvSpPr>
      <xdr:spPr bwMode="auto">
        <a:xfrm>
          <a:off x="1775460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220980</xdr:colOff>
      <xdr:row>23</xdr:row>
      <xdr:rowOff>76200</xdr:rowOff>
    </xdr:from>
    <xdr:to>
      <xdr:col>57</xdr:col>
      <xdr:colOff>327660</xdr:colOff>
      <xdr:row>23</xdr:row>
      <xdr:rowOff>76200</xdr:rowOff>
    </xdr:to>
    <xdr:sp macro="" textlink="">
      <xdr:nvSpPr>
        <xdr:cNvPr id="90163" name="Line 51">
          <a:extLst>
            <a:ext uri="{FF2B5EF4-FFF2-40B4-BE49-F238E27FC236}">
              <a16:creationId xmlns:a16="http://schemas.microsoft.com/office/drawing/2014/main" id="{6D261CAF-8B5B-4641-9265-8DB73C28FD3C}"/>
            </a:ext>
          </a:extLst>
        </xdr:cNvPr>
        <xdr:cNvSpPr>
          <a:spLocks noChangeShapeType="1"/>
        </xdr:cNvSpPr>
      </xdr:nvSpPr>
      <xdr:spPr bwMode="auto">
        <a:xfrm>
          <a:off x="1793748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144780</xdr:colOff>
      <xdr:row>23</xdr:row>
      <xdr:rowOff>76200</xdr:rowOff>
    </xdr:from>
    <xdr:to>
      <xdr:col>57</xdr:col>
      <xdr:colOff>167640</xdr:colOff>
      <xdr:row>23</xdr:row>
      <xdr:rowOff>99060</xdr:rowOff>
    </xdr:to>
    <xdr:sp macro="" textlink="">
      <xdr:nvSpPr>
        <xdr:cNvPr id="90164" name="Line 52">
          <a:extLst>
            <a:ext uri="{FF2B5EF4-FFF2-40B4-BE49-F238E27FC236}">
              <a16:creationId xmlns:a16="http://schemas.microsoft.com/office/drawing/2014/main" id="{26B36A23-7479-4B6C-9CE3-AE92FF1D3C65}"/>
            </a:ext>
          </a:extLst>
        </xdr:cNvPr>
        <xdr:cNvSpPr>
          <a:spLocks noChangeShapeType="1"/>
        </xdr:cNvSpPr>
      </xdr:nvSpPr>
      <xdr:spPr bwMode="auto">
        <a:xfrm>
          <a:off x="1786128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205740</xdr:colOff>
      <xdr:row>23</xdr:row>
      <xdr:rowOff>60960</xdr:rowOff>
    </xdr:from>
    <xdr:to>
      <xdr:col>57</xdr:col>
      <xdr:colOff>228600</xdr:colOff>
      <xdr:row>23</xdr:row>
      <xdr:rowOff>83820</xdr:rowOff>
    </xdr:to>
    <xdr:sp macro="" textlink="">
      <xdr:nvSpPr>
        <xdr:cNvPr id="90165" name="Line 53">
          <a:extLst>
            <a:ext uri="{FF2B5EF4-FFF2-40B4-BE49-F238E27FC236}">
              <a16:creationId xmlns:a16="http://schemas.microsoft.com/office/drawing/2014/main" id="{AAA6CD66-44CD-4E24-9F33-755B39F30DCE}"/>
            </a:ext>
          </a:extLst>
        </xdr:cNvPr>
        <xdr:cNvSpPr>
          <a:spLocks noChangeShapeType="1"/>
        </xdr:cNvSpPr>
      </xdr:nvSpPr>
      <xdr:spPr bwMode="auto">
        <a:xfrm flipH="1" flipV="1">
          <a:off x="1792224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167640</xdr:colOff>
      <xdr:row>23</xdr:row>
      <xdr:rowOff>60960</xdr:rowOff>
    </xdr:from>
    <xdr:to>
      <xdr:col>57</xdr:col>
      <xdr:colOff>205740</xdr:colOff>
      <xdr:row>23</xdr:row>
      <xdr:rowOff>99060</xdr:rowOff>
    </xdr:to>
    <xdr:sp macro="" textlink="">
      <xdr:nvSpPr>
        <xdr:cNvPr id="90166" name="Line 54">
          <a:extLst>
            <a:ext uri="{FF2B5EF4-FFF2-40B4-BE49-F238E27FC236}">
              <a16:creationId xmlns:a16="http://schemas.microsoft.com/office/drawing/2014/main" id="{491DC854-C673-40FA-B877-0CBD5F28273F}"/>
            </a:ext>
          </a:extLst>
        </xdr:cNvPr>
        <xdr:cNvSpPr>
          <a:spLocks noChangeShapeType="1"/>
        </xdr:cNvSpPr>
      </xdr:nvSpPr>
      <xdr:spPr bwMode="auto">
        <a:xfrm flipV="1">
          <a:off x="17884140" y="3947160"/>
          <a:ext cx="3810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556260</xdr:colOff>
      <xdr:row>20</xdr:row>
      <xdr:rowOff>160020</xdr:rowOff>
    </xdr:from>
    <xdr:to>
      <xdr:col>55</xdr:col>
      <xdr:colOff>556260</xdr:colOff>
      <xdr:row>21</xdr:row>
      <xdr:rowOff>45720</xdr:rowOff>
    </xdr:to>
    <xdr:sp macro="" textlink="">
      <xdr:nvSpPr>
        <xdr:cNvPr id="90167" name="Line 55">
          <a:extLst>
            <a:ext uri="{FF2B5EF4-FFF2-40B4-BE49-F238E27FC236}">
              <a16:creationId xmlns:a16="http://schemas.microsoft.com/office/drawing/2014/main" id="{9105A337-C3EB-49EF-8EEE-FE291A586B1E}"/>
            </a:ext>
          </a:extLst>
        </xdr:cNvPr>
        <xdr:cNvSpPr>
          <a:spLocks noChangeShapeType="1"/>
        </xdr:cNvSpPr>
      </xdr:nvSpPr>
      <xdr:spPr bwMode="auto">
        <a:xfrm flipV="1">
          <a:off x="1702308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76200</xdr:colOff>
      <xdr:row>20</xdr:row>
      <xdr:rowOff>160020</xdr:rowOff>
    </xdr:from>
    <xdr:to>
      <xdr:col>56</xdr:col>
      <xdr:colOff>76200</xdr:colOff>
      <xdr:row>21</xdr:row>
      <xdr:rowOff>45720</xdr:rowOff>
    </xdr:to>
    <xdr:sp macro="" textlink="">
      <xdr:nvSpPr>
        <xdr:cNvPr id="90168" name="Line 56">
          <a:extLst>
            <a:ext uri="{FF2B5EF4-FFF2-40B4-BE49-F238E27FC236}">
              <a16:creationId xmlns:a16="http://schemas.microsoft.com/office/drawing/2014/main" id="{33E92DC9-EEF3-4D60-9BF7-91C5040C854B}"/>
            </a:ext>
          </a:extLst>
        </xdr:cNvPr>
        <xdr:cNvSpPr>
          <a:spLocks noChangeShapeType="1"/>
        </xdr:cNvSpPr>
      </xdr:nvSpPr>
      <xdr:spPr bwMode="auto">
        <a:xfrm flipV="1">
          <a:off x="1716786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114300</xdr:colOff>
      <xdr:row>20</xdr:row>
      <xdr:rowOff>160020</xdr:rowOff>
    </xdr:from>
    <xdr:to>
      <xdr:col>57</xdr:col>
      <xdr:colOff>114300</xdr:colOff>
      <xdr:row>21</xdr:row>
      <xdr:rowOff>45720</xdr:rowOff>
    </xdr:to>
    <xdr:sp macro="" textlink="">
      <xdr:nvSpPr>
        <xdr:cNvPr id="90169" name="Line 57">
          <a:extLst>
            <a:ext uri="{FF2B5EF4-FFF2-40B4-BE49-F238E27FC236}">
              <a16:creationId xmlns:a16="http://schemas.microsoft.com/office/drawing/2014/main" id="{63B316F4-554F-40D9-BD9B-F531584D2C71}"/>
            </a:ext>
          </a:extLst>
        </xdr:cNvPr>
        <xdr:cNvSpPr>
          <a:spLocks noChangeShapeType="1"/>
        </xdr:cNvSpPr>
      </xdr:nvSpPr>
      <xdr:spPr bwMode="auto">
        <a:xfrm flipV="1">
          <a:off x="1783080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266700</xdr:colOff>
      <xdr:row>20</xdr:row>
      <xdr:rowOff>160020</xdr:rowOff>
    </xdr:from>
    <xdr:to>
      <xdr:col>57</xdr:col>
      <xdr:colOff>266700</xdr:colOff>
      <xdr:row>21</xdr:row>
      <xdr:rowOff>45720</xdr:rowOff>
    </xdr:to>
    <xdr:sp macro="" textlink="">
      <xdr:nvSpPr>
        <xdr:cNvPr id="90170" name="Line 58">
          <a:extLst>
            <a:ext uri="{FF2B5EF4-FFF2-40B4-BE49-F238E27FC236}">
              <a16:creationId xmlns:a16="http://schemas.microsoft.com/office/drawing/2014/main" id="{42DD6A46-B2B0-4AEA-A6F5-3FFDA3D9C872}"/>
            </a:ext>
          </a:extLst>
        </xdr:cNvPr>
        <xdr:cNvSpPr>
          <a:spLocks noChangeShapeType="1"/>
        </xdr:cNvSpPr>
      </xdr:nvSpPr>
      <xdr:spPr bwMode="auto">
        <a:xfrm flipV="1">
          <a:off x="1798320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55</xdr:col>
      <xdr:colOff>556260</xdr:colOff>
      <xdr:row>21</xdr:row>
      <xdr:rowOff>0</xdr:rowOff>
    </xdr:from>
    <xdr:to>
      <xdr:col>56</xdr:col>
      <xdr:colOff>76200</xdr:colOff>
      <xdr:row>21</xdr:row>
      <xdr:rowOff>0</xdr:rowOff>
    </xdr:to>
    <xdr:sp macro="" textlink="">
      <xdr:nvSpPr>
        <xdr:cNvPr id="90171" name="Line 59">
          <a:extLst>
            <a:ext uri="{FF2B5EF4-FFF2-40B4-BE49-F238E27FC236}">
              <a16:creationId xmlns:a16="http://schemas.microsoft.com/office/drawing/2014/main" id="{75C2A0D8-CC82-4E98-9B11-C0F71EA31BCD}"/>
            </a:ext>
          </a:extLst>
        </xdr:cNvPr>
        <xdr:cNvSpPr>
          <a:spLocks noChangeShapeType="1"/>
        </xdr:cNvSpPr>
      </xdr:nvSpPr>
      <xdr:spPr bwMode="auto">
        <a:xfrm>
          <a:off x="1702308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114300</xdr:colOff>
      <xdr:row>21</xdr:row>
      <xdr:rowOff>0</xdr:rowOff>
    </xdr:from>
    <xdr:to>
      <xdr:col>57</xdr:col>
      <xdr:colOff>259080</xdr:colOff>
      <xdr:row>21</xdr:row>
      <xdr:rowOff>0</xdr:rowOff>
    </xdr:to>
    <xdr:sp macro="" textlink="">
      <xdr:nvSpPr>
        <xdr:cNvPr id="90172" name="Line 60">
          <a:extLst>
            <a:ext uri="{FF2B5EF4-FFF2-40B4-BE49-F238E27FC236}">
              <a16:creationId xmlns:a16="http://schemas.microsoft.com/office/drawing/2014/main" id="{F903B0DC-8356-4413-B182-C59285E12B20}"/>
            </a:ext>
          </a:extLst>
        </xdr:cNvPr>
        <xdr:cNvSpPr>
          <a:spLocks noChangeShapeType="1"/>
        </xdr:cNvSpPr>
      </xdr:nvSpPr>
      <xdr:spPr bwMode="auto">
        <a:xfrm>
          <a:off x="1783080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55</xdr:col>
      <xdr:colOff>617220</xdr:colOff>
      <xdr:row>18</xdr:row>
      <xdr:rowOff>160020</xdr:rowOff>
    </xdr:from>
    <xdr:to>
      <xdr:col>56</xdr:col>
      <xdr:colOff>213360</xdr:colOff>
      <xdr:row>18</xdr:row>
      <xdr:rowOff>160020</xdr:rowOff>
    </xdr:to>
    <xdr:sp macro="" textlink="">
      <xdr:nvSpPr>
        <xdr:cNvPr id="90173" name="Line 61">
          <a:extLst>
            <a:ext uri="{FF2B5EF4-FFF2-40B4-BE49-F238E27FC236}">
              <a16:creationId xmlns:a16="http://schemas.microsoft.com/office/drawing/2014/main" id="{F48E26B6-D23A-4C39-9DD0-BF3C91DE67E1}"/>
            </a:ext>
          </a:extLst>
        </xdr:cNvPr>
        <xdr:cNvSpPr>
          <a:spLocks noChangeShapeType="1"/>
        </xdr:cNvSpPr>
      </xdr:nvSpPr>
      <xdr:spPr bwMode="auto">
        <a:xfrm>
          <a:off x="17084040" y="3208020"/>
          <a:ext cx="2209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55</xdr:col>
      <xdr:colOff>236220</xdr:colOff>
      <xdr:row>21</xdr:row>
      <xdr:rowOff>0</xdr:rowOff>
    </xdr:from>
    <xdr:to>
      <xdr:col>55</xdr:col>
      <xdr:colOff>518160</xdr:colOff>
      <xdr:row>21</xdr:row>
      <xdr:rowOff>0</xdr:rowOff>
    </xdr:to>
    <xdr:sp macro="" textlink="">
      <xdr:nvSpPr>
        <xdr:cNvPr id="90174" name="Line 62">
          <a:extLst>
            <a:ext uri="{FF2B5EF4-FFF2-40B4-BE49-F238E27FC236}">
              <a16:creationId xmlns:a16="http://schemas.microsoft.com/office/drawing/2014/main" id="{0B664339-90AD-4F7B-A4B2-C7DA53F18707}"/>
            </a:ext>
          </a:extLst>
        </xdr:cNvPr>
        <xdr:cNvSpPr>
          <a:spLocks noChangeShapeType="1"/>
        </xdr:cNvSpPr>
      </xdr:nvSpPr>
      <xdr:spPr bwMode="auto">
        <a:xfrm>
          <a:off x="16703040" y="355092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236220</xdr:colOff>
      <xdr:row>18</xdr:row>
      <xdr:rowOff>160020</xdr:rowOff>
    </xdr:from>
    <xdr:to>
      <xdr:col>55</xdr:col>
      <xdr:colOff>579120</xdr:colOff>
      <xdr:row>18</xdr:row>
      <xdr:rowOff>160020</xdr:rowOff>
    </xdr:to>
    <xdr:sp macro="" textlink="">
      <xdr:nvSpPr>
        <xdr:cNvPr id="90175" name="Line 63">
          <a:extLst>
            <a:ext uri="{FF2B5EF4-FFF2-40B4-BE49-F238E27FC236}">
              <a16:creationId xmlns:a16="http://schemas.microsoft.com/office/drawing/2014/main" id="{F4AAE092-F9BA-4D03-A258-2F3B1BF4FEE1}"/>
            </a:ext>
          </a:extLst>
        </xdr:cNvPr>
        <xdr:cNvSpPr>
          <a:spLocks noChangeShapeType="1"/>
        </xdr:cNvSpPr>
      </xdr:nvSpPr>
      <xdr:spPr bwMode="auto">
        <a:xfrm>
          <a:off x="16703040" y="320802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320040</xdr:colOff>
      <xdr:row>18</xdr:row>
      <xdr:rowOff>160020</xdr:rowOff>
    </xdr:from>
    <xdr:to>
      <xdr:col>55</xdr:col>
      <xdr:colOff>320040</xdr:colOff>
      <xdr:row>21</xdr:row>
      <xdr:rowOff>0</xdr:rowOff>
    </xdr:to>
    <xdr:sp macro="" textlink="">
      <xdr:nvSpPr>
        <xdr:cNvPr id="90176" name="Line 64">
          <a:extLst>
            <a:ext uri="{FF2B5EF4-FFF2-40B4-BE49-F238E27FC236}">
              <a16:creationId xmlns:a16="http://schemas.microsoft.com/office/drawing/2014/main" id="{DAFA3E4A-4212-43CE-9813-38BE4574B6BE}"/>
            </a:ext>
          </a:extLst>
        </xdr:cNvPr>
        <xdr:cNvSpPr>
          <a:spLocks noChangeShapeType="1"/>
        </xdr:cNvSpPr>
      </xdr:nvSpPr>
      <xdr:spPr bwMode="auto">
        <a:xfrm>
          <a:off x="16786860" y="320802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56</xdr:col>
      <xdr:colOff>411480</xdr:colOff>
      <xdr:row>16</xdr:row>
      <xdr:rowOff>45720</xdr:rowOff>
    </xdr:from>
    <xdr:to>
      <xdr:col>56</xdr:col>
      <xdr:colOff>411480</xdr:colOff>
      <xdr:row>18</xdr:row>
      <xdr:rowOff>144780</xdr:rowOff>
    </xdr:to>
    <xdr:sp macro="" textlink="">
      <xdr:nvSpPr>
        <xdr:cNvPr id="90177" name="Line 65">
          <a:extLst>
            <a:ext uri="{FF2B5EF4-FFF2-40B4-BE49-F238E27FC236}">
              <a16:creationId xmlns:a16="http://schemas.microsoft.com/office/drawing/2014/main" id="{A967095C-4C45-4755-9DB3-E7756D64AFD3}"/>
            </a:ext>
          </a:extLst>
        </xdr:cNvPr>
        <xdr:cNvSpPr>
          <a:spLocks noChangeShapeType="1"/>
        </xdr:cNvSpPr>
      </xdr:nvSpPr>
      <xdr:spPr bwMode="auto">
        <a:xfrm>
          <a:off x="17503140" y="2758440"/>
          <a:ext cx="0" cy="434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56</xdr:col>
      <xdr:colOff>76200</xdr:colOff>
      <xdr:row>24</xdr:row>
      <xdr:rowOff>0</xdr:rowOff>
    </xdr:from>
    <xdr:to>
      <xdr:col>57</xdr:col>
      <xdr:colOff>137160</xdr:colOff>
      <xdr:row>25</xdr:row>
      <xdr:rowOff>60960</xdr:rowOff>
    </xdr:to>
    <xdr:sp macro="" textlink="">
      <xdr:nvSpPr>
        <xdr:cNvPr id="90178" name="Text Box 66">
          <a:extLst>
            <a:ext uri="{FF2B5EF4-FFF2-40B4-BE49-F238E27FC236}">
              <a16:creationId xmlns:a16="http://schemas.microsoft.com/office/drawing/2014/main" id="{F1FD7C70-15B1-4885-84EF-F83A678F36FE}"/>
            </a:ext>
          </a:extLst>
        </xdr:cNvPr>
        <xdr:cNvSpPr txBox="1">
          <a:spLocks noChangeArrowheads="1"/>
        </xdr:cNvSpPr>
      </xdr:nvSpPr>
      <xdr:spPr bwMode="auto">
        <a:xfrm>
          <a:off x="17167860" y="4053840"/>
          <a:ext cx="685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Elevation</a:t>
          </a:r>
        </a:p>
      </xdr:txBody>
    </xdr:sp>
    <xdr:clientData/>
  </xdr:twoCellAnchor>
  <xdr:twoCellAnchor>
    <xdr:from>
      <xdr:col>56</xdr:col>
      <xdr:colOff>236220</xdr:colOff>
      <xdr:row>14</xdr:row>
      <xdr:rowOff>0</xdr:rowOff>
    </xdr:from>
    <xdr:to>
      <xdr:col>57</xdr:col>
      <xdr:colOff>7620</xdr:colOff>
      <xdr:row>15</xdr:row>
      <xdr:rowOff>38100</xdr:rowOff>
    </xdr:to>
    <xdr:sp macro="" textlink="">
      <xdr:nvSpPr>
        <xdr:cNvPr id="90179" name="Text Box 67">
          <a:extLst>
            <a:ext uri="{FF2B5EF4-FFF2-40B4-BE49-F238E27FC236}">
              <a16:creationId xmlns:a16="http://schemas.microsoft.com/office/drawing/2014/main" id="{4A86D109-7B50-4E09-BFF3-F32F19BCC435}"/>
            </a:ext>
          </a:extLst>
        </xdr:cNvPr>
        <xdr:cNvSpPr txBox="1">
          <a:spLocks noChangeArrowheads="1"/>
        </xdr:cNvSpPr>
      </xdr:nvSpPr>
      <xdr:spPr bwMode="auto">
        <a:xfrm>
          <a:off x="17327880" y="2377440"/>
          <a:ext cx="3962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Plan</a:t>
          </a:r>
        </a:p>
      </xdr:txBody>
    </xdr:sp>
    <xdr:clientData/>
  </xdr:twoCellAnchor>
  <xdr:twoCellAnchor>
    <xdr:from>
      <xdr:col>55</xdr:col>
      <xdr:colOff>556260</xdr:colOff>
      <xdr:row>11</xdr:row>
      <xdr:rowOff>129540</xdr:rowOff>
    </xdr:from>
    <xdr:to>
      <xdr:col>56</xdr:col>
      <xdr:colOff>76200</xdr:colOff>
      <xdr:row>12</xdr:row>
      <xdr:rowOff>106680</xdr:rowOff>
    </xdr:to>
    <xdr:sp macro="" textlink="">
      <xdr:nvSpPr>
        <xdr:cNvPr id="90180" name="Oval 68">
          <a:extLst>
            <a:ext uri="{FF2B5EF4-FFF2-40B4-BE49-F238E27FC236}">
              <a16:creationId xmlns:a16="http://schemas.microsoft.com/office/drawing/2014/main" id="{B55CB7D1-7431-4FD2-9A92-EED60EF768A2}"/>
            </a:ext>
          </a:extLst>
        </xdr:cNvPr>
        <xdr:cNvSpPr>
          <a:spLocks noChangeArrowheads="1"/>
        </xdr:cNvSpPr>
      </xdr:nvSpPr>
      <xdr:spPr bwMode="auto">
        <a:xfrm>
          <a:off x="17023080" y="2004060"/>
          <a:ext cx="14478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55</xdr:col>
      <xdr:colOff>556260</xdr:colOff>
      <xdr:row>7</xdr:row>
      <xdr:rowOff>38100</xdr:rowOff>
    </xdr:from>
    <xdr:to>
      <xdr:col>56</xdr:col>
      <xdr:colOff>76200</xdr:colOff>
      <xdr:row>8</xdr:row>
      <xdr:rowOff>22860</xdr:rowOff>
    </xdr:to>
    <xdr:sp macro="" textlink="">
      <xdr:nvSpPr>
        <xdr:cNvPr id="90181" name="Oval 69">
          <a:extLst>
            <a:ext uri="{FF2B5EF4-FFF2-40B4-BE49-F238E27FC236}">
              <a16:creationId xmlns:a16="http://schemas.microsoft.com/office/drawing/2014/main" id="{569E48C6-8A83-42E5-8511-FDF634F76BDD}"/>
            </a:ext>
          </a:extLst>
        </xdr:cNvPr>
        <xdr:cNvSpPr>
          <a:spLocks noChangeArrowheads="1"/>
        </xdr:cNvSpPr>
      </xdr:nvSpPr>
      <xdr:spPr bwMode="auto">
        <a:xfrm>
          <a:off x="17023080" y="1242060"/>
          <a:ext cx="14478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57</xdr:col>
      <xdr:colOff>114300</xdr:colOff>
      <xdr:row>11</xdr:row>
      <xdr:rowOff>129540</xdr:rowOff>
    </xdr:from>
    <xdr:to>
      <xdr:col>57</xdr:col>
      <xdr:colOff>266700</xdr:colOff>
      <xdr:row>12</xdr:row>
      <xdr:rowOff>106680</xdr:rowOff>
    </xdr:to>
    <xdr:sp macro="" textlink="">
      <xdr:nvSpPr>
        <xdr:cNvPr id="90182" name="Oval 70">
          <a:extLst>
            <a:ext uri="{FF2B5EF4-FFF2-40B4-BE49-F238E27FC236}">
              <a16:creationId xmlns:a16="http://schemas.microsoft.com/office/drawing/2014/main" id="{37858F05-0B6A-481E-88CC-BA0F41414EC1}"/>
            </a:ext>
          </a:extLst>
        </xdr:cNvPr>
        <xdr:cNvSpPr>
          <a:spLocks noChangeArrowheads="1"/>
        </xdr:cNvSpPr>
      </xdr:nvSpPr>
      <xdr:spPr bwMode="auto">
        <a:xfrm>
          <a:off x="17830800" y="2004060"/>
          <a:ext cx="15240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57</xdr:col>
      <xdr:colOff>114300</xdr:colOff>
      <xdr:row>7</xdr:row>
      <xdr:rowOff>38100</xdr:rowOff>
    </xdr:from>
    <xdr:to>
      <xdr:col>57</xdr:col>
      <xdr:colOff>266700</xdr:colOff>
      <xdr:row>8</xdr:row>
      <xdr:rowOff>22860</xdr:rowOff>
    </xdr:to>
    <xdr:sp macro="" textlink="">
      <xdr:nvSpPr>
        <xdr:cNvPr id="90183" name="Oval 71">
          <a:extLst>
            <a:ext uri="{FF2B5EF4-FFF2-40B4-BE49-F238E27FC236}">
              <a16:creationId xmlns:a16="http://schemas.microsoft.com/office/drawing/2014/main" id="{761AC684-F366-496F-9141-6834777E941F}"/>
            </a:ext>
          </a:extLst>
        </xdr:cNvPr>
        <xdr:cNvSpPr>
          <a:spLocks noChangeArrowheads="1"/>
        </xdr:cNvSpPr>
      </xdr:nvSpPr>
      <xdr:spPr bwMode="auto">
        <a:xfrm>
          <a:off x="17830800" y="124206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56</xdr:col>
      <xdr:colOff>251460</xdr:colOff>
      <xdr:row>9</xdr:row>
      <xdr:rowOff>0</xdr:rowOff>
    </xdr:from>
    <xdr:to>
      <xdr:col>56</xdr:col>
      <xdr:colOff>563880</xdr:colOff>
      <xdr:row>10</xdr:row>
      <xdr:rowOff>144780</xdr:rowOff>
    </xdr:to>
    <xdr:sp macro="" textlink="">
      <xdr:nvSpPr>
        <xdr:cNvPr id="90184" name="Rectangle 72">
          <a:extLst>
            <a:ext uri="{FF2B5EF4-FFF2-40B4-BE49-F238E27FC236}">
              <a16:creationId xmlns:a16="http://schemas.microsoft.com/office/drawing/2014/main" id="{7A34163A-C5AC-4212-BAF2-2FCFA83CACC6}"/>
            </a:ext>
          </a:extLst>
        </xdr:cNvPr>
        <xdr:cNvSpPr>
          <a:spLocks noChangeArrowheads="1"/>
        </xdr:cNvSpPr>
      </xdr:nvSpPr>
      <xdr:spPr bwMode="auto">
        <a:xfrm>
          <a:off x="17343120" y="1539240"/>
          <a:ext cx="312420" cy="3124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56</xdr:col>
      <xdr:colOff>411480</xdr:colOff>
      <xdr:row>7</xdr:row>
      <xdr:rowOff>129540</xdr:rowOff>
    </xdr:from>
    <xdr:to>
      <xdr:col>56</xdr:col>
      <xdr:colOff>411480</xdr:colOff>
      <xdr:row>9</xdr:row>
      <xdr:rowOff>137160</xdr:rowOff>
    </xdr:to>
    <xdr:sp macro="" textlink="">
      <xdr:nvSpPr>
        <xdr:cNvPr id="90185" name="Line 73">
          <a:extLst>
            <a:ext uri="{FF2B5EF4-FFF2-40B4-BE49-F238E27FC236}">
              <a16:creationId xmlns:a16="http://schemas.microsoft.com/office/drawing/2014/main" id="{BA0B5A85-1E02-475E-8E65-F0F78344CD70}"/>
            </a:ext>
          </a:extLst>
        </xdr:cNvPr>
        <xdr:cNvSpPr>
          <a:spLocks noChangeShapeType="1"/>
        </xdr:cNvSpPr>
      </xdr:nvSpPr>
      <xdr:spPr bwMode="auto">
        <a:xfrm flipV="1">
          <a:off x="17503140" y="13335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426720</xdr:colOff>
      <xdr:row>9</xdr:row>
      <xdr:rowOff>160020</xdr:rowOff>
    </xdr:from>
    <xdr:to>
      <xdr:col>57</xdr:col>
      <xdr:colOff>175260</xdr:colOff>
      <xdr:row>9</xdr:row>
      <xdr:rowOff>160020</xdr:rowOff>
    </xdr:to>
    <xdr:sp macro="" textlink="">
      <xdr:nvSpPr>
        <xdr:cNvPr id="90186" name="Line 74">
          <a:extLst>
            <a:ext uri="{FF2B5EF4-FFF2-40B4-BE49-F238E27FC236}">
              <a16:creationId xmlns:a16="http://schemas.microsoft.com/office/drawing/2014/main" id="{4DB3E4C7-3E59-4481-8425-C01237C1F3FB}"/>
            </a:ext>
          </a:extLst>
        </xdr:cNvPr>
        <xdr:cNvSpPr>
          <a:spLocks noChangeShapeType="1"/>
        </xdr:cNvSpPr>
      </xdr:nvSpPr>
      <xdr:spPr bwMode="auto">
        <a:xfrm>
          <a:off x="17518380" y="1699260"/>
          <a:ext cx="373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441960</xdr:colOff>
      <xdr:row>8</xdr:row>
      <xdr:rowOff>68580</xdr:rowOff>
    </xdr:from>
    <xdr:to>
      <xdr:col>56</xdr:col>
      <xdr:colOff>411480</xdr:colOff>
      <xdr:row>8</xdr:row>
      <xdr:rowOff>68580</xdr:rowOff>
    </xdr:to>
    <xdr:sp macro="" textlink="">
      <xdr:nvSpPr>
        <xdr:cNvPr id="90187" name="Line 75">
          <a:extLst>
            <a:ext uri="{FF2B5EF4-FFF2-40B4-BE49-F238E27FC236}">
              <a16:creationId xmlns:a16="http://schemas.microsoft.com/office/drawing/2014/main" id="{73E46753-3D2B-46DE-83A9-2D7124471949}"/>
            </a:ext>
          </a:extLst>
        </xdr:cNvPr>
        <xdr:cNvSpPr>
          <a:spLocks noChangeShapeType="1"/>
        </xdr:cNvSpPr>
      </xdr:nvSpPr>
      <xdr:spPr bwMode="auto">
        <a:xfrm>
          <a:off x="16908780" y="1440180"/>
          <a:ext cx="594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57</xdr:col>
      <xdr:colOff>38100</xdr:colOff>
      <xdr:row>9</xdr:row>
      <xdr:rowOff>160020</xdr:rowOff>
    </xdr:from>
    <xdr:to>
      <xdr:col>57</xdr:col>
      <xdr:colOff>38100</xdr:colOff>
      <xdr:row>13</xdr:row>
      <xdr:rowOff>60960</xdr:rowOff>
    </xdr:to>
    <xdr:sp macro="" textlink="">
      <xdr:nvSpPr>
        <xdr:cNvPr id="90188" name="Line 76">
          <a:extLst>
            <a:ext uri="{FF2B5EF4-FFF2-40B4-BE49-F238E27FC236}">
              <a16:creationId xmlns:a16="http://schemas.microsoft.com/office/drawing/2014/main" id="{265FF6C6-843C-4AB1-8FA9-EBC2BA588DDD}"/>
            </a:ext>
          </a:extLst>
        </xdr:cNvPr>
        <xdr:cNvSpPr>
          <a:spLocks noChangeShapeType="1"/>
        </xdr:cNvSpPr>
      </xdr:nvSpPr>
      <xdr:spPr bwMode="auto">
        <a:xfrm>
          <a:off x="17754600" y="169926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55</xdr:col>
      <xdr:colOff>457200</xdr:colOff>
      <xdr:row>12</xdr:row>
      <xdr:rowOff>38100</xdr:rowOff>
    </xdr:from>
    <xdr:to>
      <xdr:col>56</xdr:col>
      <xdr:colOff>7620</xdr:colOff>
      <xdr:row>13</xdr:row>
      <xdr:rowOff>68580</xdr:rowOff>
    </xdr:to>
    <xdr:sp macro="" textlink="">
      <xdr:nvSpPr>
        <xdr:cNvPr id="90189" name="Text Box 77">
          <a:extLst>
            <a:ext uri="{FF2B5EF4-FFF2-40B4-BE49-F238E27FC236}">
              <a16:creationId xmlns:a16="http://schemas.microsoft.com/office/drawing/2014/main" id="{BE9337F0-CFFE-4595-AD8B-DFC5E79E3A95}"/>
            </a:ext>
          </a:extLst>
        </xdr:cNvPr>
        <xdr:cNvSpPr txBox="1">
          <a:spLocks noChangeArrowheads="1"/>
        </xdr:cNvSpPr>
      </xdr:nvSpPr>
      <xdr:spPr bwMode="auto">
        <a:xfrm>
          <a:off x="16924020" y="20802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1</a:t>
          </a:r>
        </a:p>
      </xdr:txBody>
    </xdr:sp>
    <xdr:clientData/>
  </xdr:twoCellAnchor>
  <xdr:twoCellAnchor>
    <xdr:from>
      <xdr:col>57</xdr:col>
      <xdr:colOff>243840</xdr:colOff>
      <xdr:row>12</xdr:row>
      <xdr:rowOff>45720</xdr:rowOff>
    </xdr:from>
    <xdr:to>
      <xdr:col>57</xdr:col>
      <xdr:colOff>419100</xdr:colOff>
      <xdr:row>13</xdr:row>
      <xdr:rowOff>76200</xdr:rowOff>
    </xdr:to>
    <xdr:sp macro="" textlink="">
      <xdr:nvSpPr>
        <xdr:cNvPr id="90190" name="Text Box 78">
          <a:extLst>
            <a:ext uri="{FF2B5EF4-FFF2-40B4-BE49-F238E27FC236}">
              <a16:creationId xmlns:a16="http://schemas.microsoft.com/office/drawing/2014/main" id="{2CAB1DEA-44C1-4601-9199-96333A08BBCD}"/>
            </a:ext>
          </a:extLst>
        </xdr:cNvPr>
        <xdr:cNvSpPr txBox="1">
          <a:spLocks noChangeArrowheads="1"/>
        </xdr:cNvSpPr>
      </xdr:nvSpPr>
      <xdr:spPr bwMode="auto">
        <a:xfrm>
          <a:off x="17960340" y="20878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2</a:t>
          </a:r>
        </a:p>
      </xdr:txBody>
    </xdr:sp>
    <xdr:clientData/>
  </xdr:twoCellAnchor>
  <xdr:twoCellAnchor>
    <xdr:from>
      <xdr:col>55</xdr:col>
      <xdr:colOff>449580</xdr:colOff>
      <xdr:row>6</xdr:row>
      <xdr:rowOff>91440</xdr:rowOff>
    </xdr:from>
    <xdr:to>
      <xdr:col>56</xdr:col>
      <xdr:colOff>0</xdr:colOff>
      <xdr:row>7</xdr:row>
      <xdr:rowOff>121920</xdr:rowOff>
    </xdr:to>
    <xdr:sp macro="" textlink="">
      <xdr:nvSpPr>
        <xdr:cNvPr id="90191" name="Text Box 79">
          <a:extLst>
            <a:ext uri="{FF2B5EF4-FFF2-40B4-BE49-F238E27FC236}">
              <a16:creationId xmlns:a16="http://schemas.microsoft.com/office/drawing/2014/main" id="{9E34C494-D4B2-4000-A925-7B742CABA01E}"/>
            </a:ext>
          </a:extLst>
        </xdr:cNvPr>
        <xdr:cNvSpPr txBox="1">
          <a:spLocks noChangeArrowheads="1"/>
        </xdr:cNvSpPr>
      </xdr:nvSpPr>
      <xdr:spPr bwMode="auto">
        <a:xfrm>
          <a:off x="16916400" y="11277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3</a:t>
          </a:r>
        </a:p>
      </xdr:txBody>
    </xdr:sp>
    <xdr:clientData/>
  </xdr:twoCellAnchor>
  <xdr:twoCellAnchor>
    <xdr:from>
      <xdr:col>57</xdr:col>
      <xdr:colOff>243840</xdr:colOff>
      <xdr:row>6</xdr:row>
      <xdr:rowOff>99060</xdr:rowOff>
    </xdr:from>
    <xdr:to>
      <xdr:col>57</xdr:col>
      <xdr:colOff>419100</xdr:colOff>
      <xdr:row>7</xdr:row>
      <xdr:rowOff>129540</xdr:rowOff>
    </xdr:to>
    <xdr:sp macro="" textlink="">
      <xdr:nvSpPr>
        <xdr:cNvPr id="90192" name="Text Box 80">
          <a:extLst>
            <a:ext uri="{FF2B5EF4-FFF2-40B4-BE49-F238E27FC236}">
              <a16:creationId xmlns:a16="http://schemas.microsoft.com/office/drawing/2014/main" id="{87519F90-033B-46C5-AA60-DB5EE9EB13AA}"/>
            </a:ext>
          </a:extLst>
        </xdr:cNvPr>
        <xdr:cNvSpPr txBox="1">
          <a:spLocks noChangeArrowheads="1"/>
        </xdr:cNvSpPr>
      </xdr:nvSpPr>
      <xdr:spPr bwMode="auto">
        <a:xfrm>
          <a:off x="17960340" y="11353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4</a:t>
          </a:r>
        </a:p>
      </xdr:txBody>
    </xdr:sp>
    <xdr:clientData/>
  </xdr:twoCellAnchor>
  <xdr:twoCellAnchor>
    <xdr:from>
      <xdr:col>55</xdr:col>
      <xdr:colOff>472440</xdr:colOff>
      <xdr:row>10</xdr:row>
      <xdr:rowOff>30480</xdr:rowOff>
    </xdr:from>
    <xdr:to>
      <xdr:col>56</xdr:col>
      <xdr:colOff>106680</xdr:colOff>
      <xdr:row>11</xdr:row>
      <xdr:rowOff>76200</xdr:rowOff>
    </xdr:to>
    <xdr:sp macro="" textlink="">
      <xdr:nvSpPr>
        <xdr:cNvPr id="90193" name="Text Box 81">
          <a:extLst>
            <a:ext uri="{FF2B5EF4-FFF2-40B4-BE49-F238E27FC236}">
              <a16:creationId xmlns:a16="http://schemas.microsoft.com/office/drawing/2014/main" id="{8E8A8BAD-8D3C-4530-AB06-DC00BDE7670A}"/>
            </a:ext>
          </a:extLst>
        </xdr:cNvPr>
        <xdr:cNvSpPr txBox="1">
          <a:spLocks noChangeArrowheads="1"/>
        </xdr:cNvSpPr>
      </xdr:nvSpPr>
      <xdr:spPr bwMode="auto">
        <a:xfrm>
          <a:off x="16939260" y="173736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r>
            <a:rPr lang="en-US" sz="800" b="0" i="0" u="none" strike="noStrike" baseline="0%">
              <a:solidFill>
                <a:srgbClr val="0000FF"/>
              </a:solidFill>
              <a:latin typeface="Arial"/>
              <a:cs typeface="Arial"/>
            </a:rPr>
            <a:t>o</a:t>
          </a:r>
        </a:p>
      </xdr:txBody>
    </xdr:sp>
    <xdr:clientData/>
  </xdr:twoCellAnchor>
  <xdr:twoCellAnchor>
    <xdr:from>
      <xdr:col>56</xdr:col>
      <xdr:colOff>167640</xdr:colOff>
      <xdr:row>12</xdr:row>
      <xdr:rowOff>30480</xdr:rowOff>
    </xdr:from>
    <xdr:to>
      <xdr:col>56</xdr:col>
      <xdr:colOff>426720</xdr:colOff>
      <xdr:row>13</xdr:row>
      <xdr:rowOff>76200</xdr:rowOff>
    </xdr:to>
    <xdr:sp macro="" textlink="">
      <xdr:nvSpPr>
        <xdr:cNvPr id="90194" name="Text Box 82">
          <a:extLst>
            <a:ext uri="{FF2B5EF4-FFF2-40B4-BE49-F238E27FC236}">
              <a16:creationId xmlns:a16="http://schemas.microsoft.com/office/drawing/2014/main" id="{2A2755D0-CAFB-43CD-AC1C-F510687E3FF6}"/>
            </a:ext>
          </a:extLst>
        </xdr:cNvPr>
        <xdr:cNvSpPr txBox="1">
          <a:spLocks noChangeArrowheads="1"/>
        </xdr:cNvSpPr>
      </xdr:nvSpPr>
      <xdr:spPr bwMode="auto">
        <a:xfrm>
          <a:off x="17259300" y="207264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yo</a:t>
          </a:r>
        </a:p>
      </xdr:txBody>
    </xdr:sp>
    <xdr:clientData/>
  </xdr:twoCellAnchor>
  <xdr:twoCellAnchor>
    <xdr:from>
      <xdr:col>56</xdr:col>
      <xdr:colOff>106680</xdr:colOff>
      <xdr:row>7</xdr:row>
      <xdr:rowOff>76200</xdr:rowOff>
    </xdr:from>
    <xdr:to>
      <xdr:col>56</xdr:col>
      <xdr:colOff>373380</xdr:colOff>
      <xdr:row>8</xdr:row>
      <xdr:rowOff>129540</xdr:rowOff>
    </xdr:to>
    <xdr:sp macro="" textlink="">
      <xdr:nvSpPr>
        <xdr:cNvPr id="90195" name="Text Box 83">
          <a:extLst>
            <a:ext uri="{FF2B5EF4-FFF2-40B4-BE49-F238E27FC236}">
              <a16:creationId xmlns:a16="http://schemas.microsoft.com/office/drawing/2014/main" id="{C7D01C8F-BE1D-4209-8DC1-0F02344DE251}"/>
            </a:ext>
          </a:extLst>
        </xdr:cNvPr>
        <xdr:cNvSpPr txBox="1">
          <a:spLocks noChangeArrowheads="1"/>
        </xdr:cNvSpPr>
      </xdr:nvSpPr>
      <xdr:spPr bwMode="auto">
        <a:xfrm>
          <a:off x="17198340" y="128016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p>
      </xdr:txBody>
    </xdr:sp>
    <xdr:clientData/>
  </xdr:twoCellAnchor>
  <xdr:twoCellAnchor>
    <xdr:from>
      <xdr:col>57</xdr:col>
      <xdr:colOff>45720</xdr:colOff>
      <xdr:row>10</xdr:row>
      <xdr:rowOff>137160</xdr:rowOff>
    </xdr:from>
    <xdr:to>
      <xdr:col>57</xdr:col>
      <xdr:colOff>312420</xdr:colOff>
      <xdr:row>12</xdr:row>
      <xdr:rowOff>22860</xdr:rowOff>
    </xdr:to>
    <xdr:sp macro="" textlink="">
      <xdr:nvSpPr>
        <xdr:cNvPr id="90196" name="Text Box 84">
          <a:extLst>
            <a:ext uri="{FF2B5EF4-FFF2-40B4-BE49-F238E27FC236}">
              <a16:creationId xmlns:a16="http://schemas.microsoft.com/office/drawing/2014/main" id="{DD53ED0D-84ED-4EF1-9F01-90725F405970}"/>
            </a:ext>
          </a:extLst>
        </xdr:cNvPr>
        <xdr:cNvSpPr txBox="1">
          <a:spLocks noChangeArrowheads="1"/>
        </xdr:cNvSpPr>
      </xdr:nvSpPr>
      <xdr:spPr bwMode="auto">
        <a:xfrm>
          <a:off x="17762220" y="184404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Y</a:t>
          </a:r>
        </a:p>
      </xdr:txBody>
    </xdr:sp>
    <xdr:clientData/>
  </xdr:twoCellAnchor>
  <xdr:twoCellAnchor>
    <xdr:from>
      <xdr:col>57</xdr:col>
      <xdr:colOff>548640</xdr:colOff>
      <xdr:row>12</xdr:row>
      <xdr:rowOff>144780</xdr:rowOff>
    </xdr:from>
    <xdr:to>
      <xdr:col>58</xdr:col>
      <xdr:colOff>182880</xdr:colOff>
      <xdr:row>14</xdr:row>
      <xdr:rowOff>30480</xdr:rowOff>
    </xdr:to>
    <xdr:sp macro="" textlink="">
      <xdr:nvSpPr>
        <xdr:cNvPr id="90197" name="Text Box 85">
          <a:extLst>
            <a:ext uri="{FF2B5EF4-FFF2-40B4-BE49-F238E27FC236}">
              <a16:creationId xmlns:a16="http://schemas.microsoft.com/office/drawing/2014/main" id="{C9FB8F17-DF6C-46A7-91EB-75EF25B540E7}"/>
            </a:ext>
          </a:extLst>
        </xdr:cNvPr>
        <xdr:cNvSpPr txBox="1">
          <a:spLocks noChangeArrowheads="1"/>
        </xdr:cNvSpPr>
      </xdr:nvSpPr>
      <xdr:spPr bwMode="auto">
        <a:xfrm>
          <a:off x="18265140" y="2186940"/>
          <a:ext cx="2590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+X</a:t>
          </a:r>
        </a:p>
      </xdr:txBody>
    </xdr:sp>
    <xdr:clientData/>
  </xdr:twoCellAnchor>
  <xdr:twoCellAnchor>
    <xdr:from>
      <xdr:col>55</xdr:col>
      <xdr:colOff>312420</xdr:colOff>
      <xdr:row>4</xdr:row>
      <xdr:rowOff>99060</xdr:rowOff>
    </xdr:from>
    <xdr:to>
      <xdr:col>55</xdr:col>
      <xdr:colOff>579120</xdr:colOff>
      <xdr:row>5</xdr:row>
      <xdr:rowOff>144780</xdr:rowOff>
    </xdr:to>
    <xdr:sp macro="" textlink="">
      <xdr:nvSpPr>
        <xdr:cNvPr id="90198" name="Text Box 86">
          <a:extLst>
            <a:ext uri="{FF2B5EF4-FFF2-40B4-BE49-F238E27FC236}">
              <a16:creationId xmlns:a16="http://schemas.microsoft.com/office/drawing/2014/main" id="{DF84A4DE-2E6F-4F98-9C3E-93CFAEF5BEA6}"/>
            </a:ext>
          </a:extLst>
        </xdr:cNvPr>
        <xdr:cNvSpPr txBox="1">
          <a:spLocks noChangeArrowheads="1"/>
        </xdr:cNvSpPr>
      </xdr:nvSpPr>
      <xdr:spPr bwMode="auto">
        <a:xfrm>
          <a:off x="16779240" y="800100"/>
          <a:ext cx="2667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+Y</a:t>
          </a:r>
        </a:p>
      </xdr:txBody>
    </xdr:sp>
    <xdr:clientData/>
  </xdr:twoCellAnchor>
  <xdr:twoCellAnchor>
    <xdr:from>
      <xdr:col>55</xdr:col>
      <xdr:colOff>129540</xdr:colOff>
      <xdr:row>13</xdr:row>
      <xdr:rowOff>99060</xdr:rowOff>
    </xdr:from>
    <xdr:to>
      <xdr:col>55</xdr:col>
      <xdr:colOff>388620</xdr:colOff>
      <xdr:row>14</xdr:row>
      <xdr:rowOff>144780</xdr:rowOff>
    </xdr:to>
    <xdr:sp macro="" textlink="">
      <xdr:nvSpPr>
        <xdr:cNvPr id="90199" name="Text Box 87">
          <a:extLst>
            <a:ext uri="{FF2B5EF4-FFF2-40B4-BE49-F238E27FC236}">
              <a16:creationId xmlns:a16="http://schemas.microsoft.com/office/drawing/2014/main" id="{917AC953-D9B1-4B80-BB5D-B404A85A4B28}"/>
            </a:ext>
          </a:extLst>
        </xdr:cNvPr>
        <xdr:cNvSpPr txBox="1">
          <a:spLocks noChangeArrowheads="1"/>
        </xdr:cNvSpPr>
      </xdr:nvSpPr>
      <xdr:spPr bwMode="auto">
        <a:xfrm>
          <a:off x="16596360" y="230886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+Z</a:t>
          </a:r>
        </a:p>
      </xdr:txBody>
    </xdr:sp>
    <xdr:clientData/>
  </xdr:twoCellAnchor>
  <xdr:twoCellAnchor>
    <xdr:from>
      <xdr:col>56</xdr:col>
      <xdr:colOff>419100</xdr:colOff>
      <xdr:row>15</xdr:row>
      <xdr:rowOff>144780</xdr:rowOff>
    </xdr:from>
    <xdr:to>
      <xdr:col>57</xdr:col>
      <xdr:colOff>160020</xdr:colOff>
      <xdr:row>17</xdr:row>
      <xdr:rowOff>30480</xdr:rowOff>
    </xdr:to>
    <xdr:sp macro="" textlink="">
      <xdr:nvSpPr>
        <xdr:cNvPr id="90200" name="Text Box 88">
          <a:extLst>
            <a:ext uri="{FF2B5EF4-FFF2-40B4-BE49-F238E27FC236}">
              <a16:creationId xmlns:a16="http://schemas.microsoft.com/office/drawing/2014/main" id="{20485B86-C45B-4D09-A84D-677C7ADE654E}"/>
            </a:ext>
          </a:extLst>
        </xdr:cNvPr>
        <xdr:cNvSpPr txBox="1">
          <a:spLocks noChangeArrowheads="1"/>
        </xdr:cNvSpPr>
      </xdr:nvSpPr>
      <xdr:spPr bwMode="auto">
        <a:xfrm>
          <a:off x="17510760" y="2689860"/>
          <a:ext cx="3657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-P</a:t>
          </a:r>
          <a:r>
            <a:rPr lang="en-US" sz="800" b="1" i="0" u="none" strike="noStrike" baseline="0%">
              <a:solidFill>
                <a:srgbClr val="0000FF"/>
              </a:solidFill>
              <a:latin typeface="Arial"/>
              <a:cs typeface="Arial"/>
            </a:rPr>
            <a:t>z</a:t>
          </a:r>
        </a:p>
      </xdr:txBody>
    </xdr:sp>
    <xdr:clientData/>
  </xdr:twoCellAnchor>
  <xdr:twoCellAnchor>
    <xdr:from>
      <xdr:col>56</xdr:col>
      <xdr:colOff>548640</xdr:colOff>
      <xdr:row>18</xdr:row>
      <xdr:rowOff>0</xdr:rowOff>
    </xdr:from>
    <xdr:to>
      <xdr:col>57</xdr:col>
      <xdr:colOff>289560</xdr:colOff>
      <xdr:row>19</xdr:row>
      <xdr:rowOff>76200</xdr:rowOff>
    </xdr:to>
    <xdr:sp macro="" textlink="">
      <xdr:nvSpPr>
        <xdr:cNvPr id="90201" name="Text Box 89">
          <a:extLst>
            <a:ext uri="{FF2B5EF4-FFF2-40B4-BE49-F238E27FC236}">
              <a16:creationId xmlns:a16="http://schemas.microsoft.com/office/drawing/2014/main" id="{D6578DDB-9CDE-40E0-8B1E-11B079179DFF}"/>
            </a:ext>
          </a:extLst>
        </xdr:cNvPr>
        <xdr:cNvSpPr txBox="1">
          <a:spLocks noChangeArrowheads="1"/>
        </xdr:cNvSpPr>
      </xdr:nvSpPr>
      <xdr:spPr bwMode="auto">
        <a:xfrm>
          <a:off x="17640300" y="3048000"/>
          <a:ext cx="36576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+M</a:t>
          </a:r>
          <a:r>
            <a:rPr lang="en-US" sz="800" b="1" i="0" u="none" strike="noStrike" baseline="0%">
              <a:solidFill>
                <a:srgbClr val="0000FF"/>
              </a:solidFill>
              <a:latin typeface="Arial"/>
              <a:cs typeface="Arial"/>
            </a:rPr>
            <a:t>y</a:t>
          </a:r>
        </a:p>
      </xdr:txBody>
    </xdr:sp>
    <xdr:clientData/>
  </xdr:twoCellAnchor>
  <xdr:twoCellAnchor>
    <xdr:from>
      <xdr:col>55</xdr:col>
      <xdr:colOff>563880</xdr:colOff>
      <xdr:row>17</xdr:row>
      <xdr:rowOff>144780</xdr:rowOff>
    </xdr:from>
    <xdr:to>
      <xdr:col>56</xdr:col>
      <xdr:colOff>312420</xdr:colOff>
      <xdr:row>19</xdr:row>
      <xdr:rowOff>60960</xdr:rowOff>
    </xdr:to>
    <xdr:sp macro="" textlink="">
      <xdr:nvSpPr>
        <xdr:cNvPr id="90202" name="Text Box 90">
          <a:extLst>
            <a:ext uri="{FF2B5EF4-FFF2-40B4-BE49-F238E27FC236}">
              <a16:creationId xmlns:a16="http://schemas.microsoft.com/office/drawing/2014/main" id="{30E7A35B-C834-4851-AB0C-C943F367EAEE}"/>
            </a:ext>
          </a:extLst>
        </xdr:cNvPr>
        <xdr:cNvSpPr txBox="1">
          <a:spLocks noChangeArrowheads="1"/>
        </xdr:cNvSpPr>
      </xdr:nvSpPr>
      <xdr:spPr bwMode="auto">
        <a:xfrm>
          <a:off x="17030700" y="3025140"/>
          <a:ext cx="373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+H</a:t>
          </a:r>
          <a:r>
            <a:rPr lang="en-US" sz="800" b="1" i="0" u="none" strike="noStrike" baseline="0%">
              <a:solidFill>
                <a:srgbClr val="0000FF"/>
              </a:solidFill>
              <a:latin typeface="Arial"/>
              <a:cs typeface="Arial"/>
            </a:rPr>
            <a:t>x</a:t>
          </a:r>
        </a:p>
      </xdr:txBody>
    </xdr:sp>
    <xdr:clientData/>
  </xdr:twoCellAnchor>
  <xdr:twoCellAnchor>
    <xdr:from>
      <xdr:col>55</xdr:col>
      <xdr:colOff>205740</xdr:colOff>
      <xdr:row>19</xdr:row>
      <xdr:rowOff>76200</xdr:rowOff>
    </xdr:from>
    <xdr:to>
      <xdr:col>55</xdr:col>
      <xdr:colOff>381000</xdr:colOff>
      <xdr:row>20</xdr:row>
      <xdr:rowOff>106680</xdr:rowOff>
    </xdr:to>
    <xdr:sp macro="" textlink="">
      <xdr:nvSpPr>
        <xdr:cNvPr id="90203" name="Text Box 91">
          <a:extLst>
            <a:ext uri="{FF2B5EF4-FFF2-40B4-BE49-F238E27FC236}">
              <a16:creationId xmlns:a16="http://schemas.microsoft.com/office/drawing/2014/main" id="{BC350BE9-0411-4E9E-BBCB-08C218AB628F}"/>
            </a:ext>
          </a:extLst>
        </xdr:cNvPr>
        <xdr:cNvSpPr txBox="1">
          <a:spLocks noChangeArrowheads="1"/>
        </xdr:cNvSpPr>
      </xdr:nvSpPr>
      <xdr:spPr bwMode="auto">
        <a:xfrm>
          <a:off x="16672560" y="329184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h</a:t>
          </a:r>
        </a:p>
      </xdr:txBody>
    </xdr:sp>
    <xdr:clientData/>
  </xdr:twoCellAnchor>
  <xdr:twoCellAnchor>
    <xdr:from>
      <xdr:col>56</xdr:col>
      <xdr:colOff>251460</xdr:colOff>
      <xdr:row>17</xdr:row>
      <xdr:rowOff>22860</xdr:rowOff>
    </xdr:from>
    <xdr:to>
      <xdr:col>56</xdr:col>
      <xdr:colOff>563880</xdr:colOff>
      <xdr:row>19</xdr:row>
      <xdr:rowOff>0</xdr:rowOff>
    </xdr:to>
    <xdr:sp macro="" textlink="">
      <xdr:nvSpPr>
        <xdr:cNvPr id="90204" name="Arc 92">
          <a:extLst>
            <a:ext uri="{FF2B5EF4-FFF2-40B4-BE49-F238E27FC236}">
              <a16:creationId xmlns:a16="http://schemas.microsoft.com/office/drawing/2014/main" id="{2B6FAC97-76A0-49EF-BDA0-D01474CEA809}"/>
            </a:ext>
          </a:extLst>
        </xdr:cNvPr>
        <xdr:cNvSpPr>
          <a:spLocks/>
        </xdr:cNvSpPr>
      </xdr:nvSpPr>
      <xdr:spPr bwMode="auto">
        <a:xfrm rot="18900000">
          <a:off x="17343120" y="2903220"/>
          <a:ext cx="312420" cy="312420"/>
        </a:xfrm>
        <a:custGeom>
          <a:avLst/>
          <a:gdLst>
            <a:gd name="G0" fmla="+- 10424 0 0"/>
            <a:gd name="G1" fmla="+- 21600 0 0"/>
            <a:gd name="G2" fmla="+- 21600 0 0"/>
            <a:gd name="T0" fmla="*/ 0 w 32024"/>
            <a:gd name="T1" fmla="*/ 2682 h 33135"/>
            <a:gd name="T2" fmla="*/ 28686 w 32024"/>
            <a:gd name="T3" fmla="*/ 33135 h 33135"/>
            <a:gd name="T4" fmla="*/ 10424 w 32024"/>
            <a:gd name="T5" fmla="*/ 21600 h 33135"/>
          </a:gdLst>
          <a:ahLst/>
          <a:cxnLst>
            <a:cxn ang="0">
              <a:pos x="T0" y="T1"/>
            </a:cxn>
            <a:cxn ang="0">
              <a:pos x="T2" y="T3"/>
            </a:cxn>
            <a:cxn ang="0">
              <a:pos x="T4" y="T5"/>
            </a:cxn>
          </a:cxnLst>
          <a:rect l="0" t="0" r="r" b="b"/>
          <a:pathLst>
            <a:path w="32024" h="33135" fill="none" extrusionOk="0">
              <a:moveTo>
                <a:pt x="-1" y="2681"/>
              </a:moveTo>
              <a:cubicBezTo>
                <a:pt x="3192" y="922"/>
                <a:pt x="6778" y="0"/>
                <a:pt x="10424" y="0"/>
              </a:cubicBezTo>
              <a:cubicBezTo>
                <a:pt x="22353" y="0"/>
                <a:pt x="32024" y="9670"/>
                <a:pt x="32024" y="21600"/>
              </a:cubicBezTo>
              <a:cubicBezTo>
                <a:pt x="32024" y="25683"/>
                <a:pt x="30866" y="29682"/>
                <a:pt x="28686" y="33135"/>
              </a:cubicBezTo>
            </a:path>
            <a:path w="32024" h="33135" stroke="0" extrusionOk="0">
              <a:moveTo>
                <a:pt x="-1" y="2681"/>
              </a:moveTo>
              <a:cubicBezTo>
                <a:pt x="3192" y="922"/>
                <a:pt x="6778" y="0"/>
                <a:pt x="10424" y="0"/>
              </a:cubicBezTo>
              <a:cubicBezTo>
                <a:pt x="22353" y="0"/>
                <a:pt x="32024" y="9670"/>
                <a:pt x="32024" y="21600"/>
              </a:cubicBezTo>
              <a:cubicBezTo>
                <a:pt x="32024" y="25683"/>
                <a:pt x="30866" y="29682"/>
                <a:pt x="28686" y="33135"/>
              </a:cubicBezTo>
              <a:lnTo>
                <a:pt x="10424"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55</xdr:col>
      <xdr:colOff>320040</xdr:colOff>
      <xdr:row>12</xdr:row>
      <xdr:rowOff>99060</xdr:rowOff>
    </xdr:from>
    <xdr:to>
      <xdr:col>55</xdr:col>
      <xdr:colOff>495300</xdr:colOff>
      <xdr:row>13</xdr:row>
      <xdr:rowOff>129540</xdr:rowOff>
    </xdr:to>
    <xdr:sp macro="" textlink="">
      <xdr:nvSpPr>
        <xdr:cNvPr id="90205" name="Text Box 93">
          <a:extLst>
            <a:ext uri="{FF2B5EF4-FFF2-40B4-BE49-F238E27FC236}">
              <a16:creationId xmlns:a16="http://schemas.microsoft.com/office/drawing/2014/main" id="{0392B8C6-F1E2-422E-83D6-9BDEDDF89BD8}"/>
            </a:ext>
          </a:extLst>
        </xdr:cNvPr>
        <xdr:cNvSpPr txBox="1">
          <a:spLocks noChangeArrowheads="1"/>
        </xdr:cNvSpPr>
      </xdr:nvSpPr>
      <xdr:spPr bwMode="auto">
        <a:xfrm>
          <a:off x="16786860" y="214122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0</a:t>
          </a:r>
        </a:p>
      </xdr:txBody>
    </xdr:sp>
    <xdr:clientData/>
  </xdr:twoCellAnchor>
  <xdr:twoCellAnchor>
    <xdr:from>
      <xdr:col>56</xdr:col>
      <xdr:colOff>7620</xdr:colOff>
      <xdr:row>10</xdr:row>
      <xdr:rowOff>160020</xdr:rowOff>
    </xdr:from>
    <xdr:to>
      <xdr:col>56</xdr:col>
      <xdr:colOff>7620</xdr:colOff>
      <xdr:row>12</xdr:row>
      <xdr:rowOff>7620</xdr:rowOff>
    </xdr:to>
    <xdr:sp macro="" textlink="">
      <xdr:nvSpPr>
        <xdr:cNvPr id="90206" name="Line 94">
          <a:extLst>
            <a:ext uri="{FF2B5EF4-FFF2-40B4-BE49-F238E27FC236}">
              <a16:creationId xmlns:a16="http://schemas.microsoft.com/office/drawing/2014/main" id="{F6E84303-61D3-493A-8E22-37127BF5C029}"/>
            </a:ext>
          </a:extLst>
        </xdr:cNvPr>
        <xdr:cNvSpPr>
          <a:spLocks noChangeShapeType="1"/>
        </xdr:cNvSpPr>
      </xdr:nvSpPr>
      <xdr:spPr bwMode="auto">
        <a:xfrm flipV="1">
          <a:off x="17099280" y="1866900"/>
          <a:ext cx="0" cy="182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30480</xdr:colOff>
      <xdr:row>12</xdr:row>
      <xdr:rowOff>30480</xdr:rowOff>
    </xdr:from>
    <xdr:to>
      <xdr:col>56</xdr:col>
      <xdr:colOff>198120</xdr:colOff>
      <xdr:row>12</xdr:row>
      <xdr:rowOff>30480</xdr:rowOff>
    </xdr:to>
    <xdr:sp macro="" textlink="">
      <xdr:nvSpPr>
        <xdr:cNvPr id="90207" name="Line 95">
          <a:extLst>
            <a:ext uri="{FF2B5EF4-FFF2-40B4-BE49-F238E27FC236}">
              <a16:creationId xmlns:a16="http://schemas.microsoft.com/office/drawing/2014/main" id="{55B6A5DD-0998-4281-8CE1-A5B26FB7EF44}"/>
            </a:ext>
          </a:extLst>
        </xdr:cNvPr>
        <xdr:cNvSpPr>
          <a:spLocks noChangeShapeType="1"/>
        </xdr:cNvSpPr>
      </xdr:nvSpPr>
      <xdr:spPr bwMode="auto">
        <a:xfrm>
          <a:off x="17122140" y="2072640"/>
          <a:ext cx="167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441960</xdr:colOff>
      <xdr:row>11</xdr:row>
      <xdr:rowOff>38100</xdr:rowOff>
    </xdr:from>
    <xdr:to>
      <xdr:col>56</xdr:col>
      <xdr:colOff>7620</xdr:colOff>
      <xdr:row>11</xdr:row>
      <xdr:rowOff>38100</xdr:rowOff>
    </xdr:to>
    <xdr:sp macro="" textlink="">
      <xdr:nvSpPr>
        <xdr:cNvPr id="90208" name="Line 96">
          <a:extLst>
            <a:ext uri="{FF2B5EF4-FFF2-40B4-BE49-F238E27FC236}">
              <a16:creationId xmlns:a16="http://schemas.microsoft.com/office/drawing/2014/main" id="{1760F1A3-DA15-4E5F-B337-6D128B579A13}"/>
            </a:ext>
          </a:extLst>
        </xdr:cNvPr>
        <xdr:cNvSpPr>
          <a:spLocks noChangeShapeType="1"/>
        </xdr:cNvSpPr>
      </xdr:nvSpPr>
      <xdr:spPr bwMode="auto">
        <a:xfrm>
          <a:off x="16908780" y="191262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56</xdr:col>
      <xdr:colOff>144780</xdr:colOff>
      <xdr:row>12</xdr:row>
      <xdr:rowOff>30480</xdr:rowOff>
    </xdr:from>
    <xdr:to>
      <xdr:col>56</xdr:col>
      <xdr:colOff>144780</xdr:colOff>
      <xdr:row>13</xdr:row>
      <xdr:rowOff>60960</xdr:rowOff>
    </xdr:to>
    <xdr:sp macro="" textlink="">
      <xdr:nvSpPr>
        <xdr:cNvPr id="90209" name="Line 97">
          <a:extLst>
            <a:ext uri="{FF2B5EF4-FFF2-40B4-BE49-F238E27FC236}">
              <a16:creationId xmlns:a16="http://schemas.microsoft.com/office/drawing/2014/main" id="{1A6B5781-54C9-4603-9895-04532A554F88}"/>
            </a:ext>
          </a:extLst>
        </xdr:cNvPr>
        <xdr:cNvSpPr>
          <a:spLocks noChangeShapeType="1"/>
        </xdr:cNvSpPr>
      </xdr:nvSpPr>
      <xdr:spPr bwMode="auto">
        <a:xfrm>
          <a:off x="17236440" y="2072640"/>
          <a:ext cx="0" cy="198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56</xdr:col>
      <xdr:colOff>251460</xdr:colOff>
      <xdr:row>21</xdr:row>
      <xdr:rowOff>121920</xdr:rowOff>
    </xdr:from>
    <xdr:to>
      <xdr:col>56</xdr:col>
      <xdr:colOff>601980</xdr:colOff>
      <xdr:row>22</xdr:row>
      <xdr:rowOff>160020</xdr:rowOff>
    </xdr:to>
    <xdr:sp macro="" textlink="">
      <xdr:nvSpPr>
        <xdr:cNvPr id="90210" name="Text Box 98">
          <a:extLst>
            <a:ext uri="{FF2B5EF4-FFF2-40B4-BE49-F238E27FC236}">
              <a16:creationId xmlns:a16="http://schemas.microsoft.com/office/drawing/2014/main" id="{4F1CEAC0-6DC8-4CDB-9B34-75AEB425527F}"/>
            </a:ext>
          </a:extLst>
        </xdr:cNvPr>
        <xdr:cNvSpPr txBox="1">
          <a:spLocks noChangeArrowheads="1"/>
        </xdr:cNvSpPr>
      </xdr:nvSpPr>
      <xdr:spPr bwMode="auto">
        <a:xfrm>
          <a:off x="17343120" y="3672840"/>
          <a:ext cx="35052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Piles</a:t>
          </a:r>
        </a:p>
      </xdr:txBody>
    </xdr:sp>
    <xdr:clientData/>
  </xdr:twoCellAnchor>
  <xdr:twoCellAnchor>
    <xdr:from>
      <xdr:col>56</xdr:col>
      <xdr:colOff>76200</xdr:colOff>
      <xdr:row>22</xdr:row>
      <xdr:rowOff>30480</xdr:rowOff>
    </xdr:from>
    <xdr:to>
      <xdr:col>56</xdr:col>
      <xdr:colOff>213360</xdr:colOff>
      <xdr:row>22</xdr:row>
      <xdr:rowOff>30480</xdr:rowOff>
    </xdr:to>
    <xdr:sp macro="" textlink="">
      <xdr:nvSpPr>
        <xdr:cNvPr id="90211" name="Line 99">
          <a:extLst>
            <a:ext uri="{FF2B5EF4-FFF2-40B4-BE49-F238E27FC236}">
              <a16:creationId xmlns:a16="http://schemas.microsoft.com/office/drawing/2014/main" id="{2CFC1E36-C997-440A-919C-E931BF5FB97B}"/>
            </a:ext>
          </a:extLst>
        </xdr:cNvPr>
        <xdr:cNvSpPr>
          <a:spLocks noChangeShapeType="1"/>
        </xdr:cNvSpPr>
      </xdr:nvSpPr>
      <xdr:spPr bwMode="auto">
        <a:xfrm flipH="1">
          <a:off x="1716786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sm"/>
        </a:ln>
        <a:extLst>
          <a:ext uri="{909E8E84-426E-40DD-AFC4-6F175D3DCCD1}">
            <a14:hiddenFill xmlns:a14="http://schemas.microsoft.com/office/drawing/2010/main">
              <a:noFill/>
            </a14:hiddenFill>
          </a:ext>
        </a:extLst>
      </xdr:spPr>
    </xdr:sp>
    <xdr:clientData/>
  </xdr:twoCellAnchor>
  <xdr:twoCellAnchor>
    <xdr:from>
      <xdr:col>56</xdr:col>
      <xdr:colOff>601980</xdr:colOff>
      <xdr:row>22</xdr:row>
      <xdr:rowOff>30480</xdr:rowOff>
    </xdr:from>
    <xdr:to>
      <xdr:col>57</xdr:col>
      <xdr:colOff>114300</xdr:colOff>
      <xdr:row>22</xdr:row>
      <xdr:rowOff>30480</xdr:rowOff>
    </xdr:to>
    <xdr:sp macro="" textlink="">
      <xdr:nvSpPr>
        <xdr:cNvPr id="90212" name="Line 100">
          <a:extLst>
            <a:ext uri="{FF2B5EF4-FFF2-40B4-BE49-F238E27FC236}">
              <a16:creationId xmlns:a16="http://schemas.microsoft.com/office/drawing/2014/main" id="{29E6EB4A-CA01-41C6-91E2-EC0A24DFA10A}"/>
            </a:ext>
          </a:extLst>
        </xdr:cNvPr>
        <xdr:cNvSpPr>
          <a:spLocks noChangeShapeType="1"/>
        </xdr:cNvSpPr>
      </xdr:nvSpPr>
      <xdr:spPr bwMode="auto">
        <a:xfrm>
          <a:off x="1769364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sm"/>
        </a:ln>
        <a:extLst>
          <a:ext uri="{909E8E84-426E-40DD-AFC4-6F175D3DCCD1}">
            <a14:hiddenFill xmlns:a14="http://schemas.microsoft.com/office/drawing/2010/main">
              <a:noFill/>
            </a14:hiddenFill>
          </a:ext>
        </a:extLst>
      </xdr:spPr>
    </xdr:sp>
    <xdr:clientData/>
  </xdr:twoCellAnchor>
  <xdr:twoCellAnchor>
    <xdr:from>
      <xdr:col>1</xdr:col>
      <xdr:colOff>487680</xdr:colOff>
      <xdr:row>105</xdr:row>
      <xdr:rowOff>45720</xdr:rowOff>
    </xdr:from>
    <xdr:to>
      <xdr:col>1</xdr:col>
      <xdr:colOff>487680</xdr:colOff>
      <xdr:row>108</xdr:row>
      <xdr:rowOff>22860</xdr:rowOff>
    </xdr:to>
    <xdr:sp macro="" textlink="">
      <xdr:nvSpPr>
        <xdr:cNvPr id="90217" name="Line 105">
          <a:extLst>
            <a:ext uri="{FF2B5EF4-FFF2-40B4-BE49-F238E27FC236}">
              <a16:creationId xmlns:a16="http://schemas.microsoft.com/office/drawing/2014/main" id="{ED507399-994B-4FE2-8594-390F56A28D65}"/>
            </a:ext>
          </a:extLst>
        </xdr:cNvPr>
        <xdr:cNvSpPr>
          <a:spLocks noChangeShapeType="1"/>
        </xdr:cNvSpPr>
      </xdr:nvSpPr>
      <xdr:spPr bwMode="auto">
        <a:xfrm flipV="1">
          <a:off x="1303020" y="17678400"/>
          <a:ext cx="0" cy="480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510540</xdr:colOff>
      <xdr:row>151</xdr:row>
      <xdr:rowOff>45720</xdr:rowOff>
    </xdr:from>
    <xdr:to>
      <xdr:col>14</xdr:col>
      <xdr:colOff>350520</xdr:colOff>
      <xdr:row>151</xdr:row>
      <xdr:rowOff>45720</xdr:rowOff>
    </xdr:to>
    <xdr:sp macro="" textlink="">
      <xdr:nvSpPr>
        <xdr:cNvPr id="90218" name="Line 106">
          <a:extLst>
            <a:ext uri="{FF2B5EF4-FFF2-40B4-BE49-F238E27FC236}">
              <a16:creationId xmlns:a16="http://schemas.microsoft.com/office/drawing/2014/main" id="{517B8464-CE9E-4779-9B4C-5055153ED78D}"/>
            </a:ext>
          </a:extLst>
        </xdr:cNvPr>
        <xdr:cNvSpPr>
          <a:spLocks noChangeShapeType="1"/>
        </xdr:cNvSpPr>
      </xdr:nvSpPr>
      <xdr:spPr bwMode="auto">
        <a:xfrm>
          <a:off x="9479280" y="25389840"/>
          <a:ext cx="4648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v="urn:schemas-microsoft-com:vml" Requires="v"/>
    <mc:Fallback>
      <xdr:twoCellAnchor editAs="absolute">
        <xdr:from>
          <xdr:col>61</xdr:col>
          <xdr:colOff>182880</xdr:colOff>
          <xdr:row>0</xdr:row>
          <xdr:rowOff>38100</xdr:rowOff>
        </xdr:from>
        <xdr:to>
          <xdr:col>64</xdr:col>
          <xdr:colOff>381000</xdr:colOff>
          <xdr:row>2</xdr:row>
          <xdr:rowOff>30480</xdr:rowOff>
        </xdr:to>
        <xdr:sp macro="" textlink="">
          <xdr:nvSpPr>
            <xdr:cNvPr id="90113" name="Comment 1" hidden="1">
              <a:extLst>
                <a:ext uri="{FF2B5EF4-FFF2-40B4-BE49-F238E27FC236}">
                  <a16:creationId xmlns:a16="http://schemas.microsoft.com/office/drawing/2014/main" id="{5F3A3C76-DABF-441C-B1CB-48C997C0A54C}"/>
                </a:ext>
              </a:extLst>
            </xdr:cNvPr>
            <xdr:cNvSpPr txBox="1">
              <a:spLocks noChangeArrowheads="1"/>
            </xdr:cNvSpPr>
          </xdr:nvSpPr>
          <xdr:spPr bwMode="auto">
            <a:xfrm>
              <a:off x="20589240" y="38100"/>
              <a:ext cx="2072640" cy="3581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              "</a:t>
              </a:r>
              <a:r>
                <a:rPr lang="en-US" sz="800" b="1" i="0" u="none" strike="noStrike" baseline="0%">
                  <a:solidFill>
                    <a:srgbClr val="000000"/>
                  </a:solidFill>
                  <a:latin typeface="Tahoma"/>
                  <a:ea typeface="Tahoma"/>
                  <a:cs typeface="Tahoma"/>
                </a:rPr>
                <a:t>PILEGRP.xls</a:t>
              </a:r>
              <a:r>
                <a:rPr lang="en-US" sz="800" b="0" i="0" u="none" strike="noStrike" baseline="0%">
                  <a:solidFill>
                    <a:srgbClr val="000000"/>
                  </a:solidFill>
                  <a:latin typeface="Tahoma"/>
                  <a:ea typeface="Tahoma"/>
                  <a:cs typeface="Tahoma"/>
                </a:rPr>
                <a:t>"</a:t>
              </a:r>
            </a:p>
            <a:p>
              <a:pPr algn="l" rtl="0">
                <a:defRPr sz="1000"/>
              </a:pPr>
              <a:r>
                <a:rPr lang="en-US" sz="800" b="0" i="0" u="none" strike="noStrike" baseline="0%">
                  <a:solidFill>
                    <a:srgbClr val="000000"/>
                  </a:solidFill>
                  <a:latin typeface="Tahoma"/>
                  <a:ea typeface="Tahoma"/>
                  <a:cs typeface="Tahoma"/>
                </a:rPr>
                <a:t>written by:  Alex Tomanovich, P.E.</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177</xdr:row>
          <xdr:rowOff>76200</xdr:rowOff>
        </xdr:from>
        <xdr:to>
          <xdr:col>8</xdr:col>
          <xdr:colOff>586740</xdr:colOff>
          <xdr:row>184</xdr:row>
          <xdr:rowOff>76200</xdr:rowOff>
        </xdr:to>
        <xdr:sp macro="" textlink="">
          <xdr:nvSpPr>
            <xdr:cNvPr id="90114" name="Comment 2" hidden="1">
              <a:extLst>
                <a:ext uri="{FF2B5EF4-FFF2-40B4-BE49-F238E27FC236}">
                  <a16:creationId xmlns:a16="http://schemas.microsoft.com/office/drawing/2014/main" id="{953C049C-6CD1-4B52-B5D9-6D0A6DA268AC}"/>
                </a:ext>
              </a:extLst>
            </xdr:cNvPr>
            <xdr:cNvSpPr txBox="1">
              <a:spLocks noChangeArrowheads="1"/>
            </xdr:cNvSpPr>
          </xdr:nvSpPr>
          <xdr:spPr bwMode="auto">
            <a:xfrm>
              <a:off x="1653540" y="29778960"/>
              <a:ext cx="4777740" cy="11734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Pile Reaction, 'Rz', at each pile is calculated as follows:</a:t>
              </a:r>
            </a:p>
            <a:p>
              <a:pPr algn="l" rtl="0">
                <a:defRPr sz="1000"/>
              </a:pPr>
              <a:r>
                <a:rPr lang="en-US" sz="800" b="0" i="0" u="none" strike="noStrike" baseline="0%">
                  <a:solidFill>
                    <a:srgbClr val="000000"/>
                  </a:solidFill>
                  <a:latin typeface="Tahoma"/>
                  <a:ea typeface="Tahoma"/>
                  <a:cs typeface="Tahoma"/>
                </a:rPr>
                <a:t>   Rz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Pz)/Np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My)*Ix-(-</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Mx)*Ixy)/(Ix*Iy-Ixy^2)*Xp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Mx)*Iy-(</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My)*Ixy)/(Ix*Iy-Ixy^2)*Yp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Sign convention for 'Rz'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594360</xdr:colOff>
          <xdr:row>177</xdr:row>
          <xdr:rowOff>76200</xdr:rowOff>
        </xdr:from>
        <xdr:to>
          <xdr:col>8</xdr:col>
          <xdr:colOff>320040</xdr:colOff>
          <xdr:row>183</xdr:row>
          <xdr:rowOff>76200</xdr:rowOff>
        </xdr:to>
        <xdr:sp macro="" textlink="">
          <xdr:nvSpPr>
            <xdr:cNvPr id="90115" name="Comment 3" hidden="1">
              <a:extLst>
                <a:ext uri="{FF2B5EF4-FFF2-40B4-BE49-F238E27FC236}">
                  <a16:creationId xmlns:a16="http://schemas.microsoft.com/office/drawing/2014/main" id="{EBE65ECB-85AF-4BBF-97FC-C07B291D4107}"/>
                </a:ext>
              </a:extLst>
            </xdr:cNvPr>
            <xdr:cNvSpPr txBox="1">
              <a:spLocks noChangeArrowheads="1"/>
            </xdr:cNvSpPr>
          </xdr:nvSpPr>
          <xdr:spPr bwMode="auto">
            <a:xfrm>
              <a:off x="2278380" y="29778960"/>
              <a:ext cx="388620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Horizontal Pile Reaction, 'Rh', at each pile is calculated as follows:</a:t>
              </a:r>
            </a:p>
            <a:p>
              <a:pPr algn="l" rtl="0">
                <a:defRPr sz="1000"/>
              </a:pPr>
              <a:r>
                <a:rPr lang="en-US" sz="800" b="0" i="0" u="none" strike="noStrike" baseline="0%">
                  <a:solidFill>
                    <a:srgbClr val="000000"/>
                  </a:solidFill>
                  <a:latin typeface="Tahoma"/>
                  <a:ea typeface="Tahoma"/>
                  <a:cs typeface="Tahoma"/>
                </a:rPr>
                <a:t>   Rh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Hx)/Np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Mz)*Yp/J)^2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Hy)/Np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Mz)*Xp/J)^2)^(1/2)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Note: 'Rh' is an "absolute" value with no particular sign convention, thus no</a:t>
              </a:r>
            </a:p>
            <a:p>
              <a:pPr algn="l" rtl="0">
                <a:defRPr sz="1000"/>
              </a:pPr>
              <a:r>
                <a:rPr lang="en-US" sz="800" b="0" i="0" u="none" strike="noStrike" baseline="0%">
                  <a:solidFill>
                    <a:srgbClr val="000000"/>
                  </a:solidFill>
                  <a:latin typeface="Tahoma"/>
                  <a:ea typeface="Tahoma"/>
                  <a:cs typeface="Tahoma"/>
                </a:rPr>
                <a:t>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487680</xdr:colOff>
          <xdr:row>158</xdr:row>
          <xdr:rowOff>76200</xdr:rowOff>
        </xdr:from>
        <xdr:to>
          <xdr:col>8</xdr:col>
          <xdr:colOff>60960</xdr:colOff>
          <xdr:row>161</xdr:row>
          <xdr:rowOff>76200</xdr:rowOff>
        </xdr:to>
        <xdr:sp macro="" textlink="">
          <xdr:nvSpPr>
            <xdr:cNvPr id="90116" name="Comment 4" hidden="1">
              <a:extLst>
                <a:ext uri="{FF2B5EF4-FFF2-40B4-BE49-F238E27FC236}">
                  <a16:creationId xmlns:a16="http://schemas.microsoft.com/office/drawing/2014/main" id="{983028FC-20BE-46DF-8344-8C1EDE419251}"/>
                </a:ext>
              </a:extLst>
            </xdr:cNvPr>
            <xdr:cNvSpPr txBox="1">
              <a:spLocks noChangeArrowheads="1"/>
            </xdr:cNvSpPr>
          </xdr:nvSpPr>
          <xdr:spPr bwMode="auto">
            <a:xfrm>
              <a:off x="3421380" y="26593800"/>
              <a:ext cx="2484120" cy="5029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Pz = sum of all applied vertical (Z-axis)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+Z-axis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487680</xdr:colOff>
          <xdr:row>159</xdr:row>
          <xdr:rowOff>76200</xdr:rowOff>
        </xdr:from>
        <xdr:to>
          <xdr:col>8</xdr:col>
          <xdr:colOff>160020</xdr:colOff>
          <xdr:row>162</xdr:row>
          <xdr:rowOff>30480</xdr:rowOff>
        </xdr:to>
        <xdr:sp macro="" textlink="">
          <xdr:nvSpPr>
            <xdr:cNvPr id="90117" name="Comment 5" hidden="1">
              <a:extLst>
                <a:ext uri="{FF2B5EF4-FFF2-40B4-BE49-F238E27FC236}">
                  <a16:creationId xmlns:a16="http://schemas.microsoft.com/office/drawing/2014/main" id="{F8F71EED-3BA6-450C-B31A-CE9634F57DDA}"/>
                </a:ext>
              </a:extLst>
            </xdr:cNvPr>
            <xdr:cNvSpPr txBox="1">
              <a:spLocks noChangeArrowheads="1"/>
            </xdr:cNvSpPr>
          </xdr:nvSpPr>
          <xdr:spPr bwMode="auto">
            <a:xfrm>
              <a:off x="3421380" y="26761440"/>
              <a:ext cx="258318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Hx = sum of all applied horizontal (X-axis)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+X-axis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487680</xdr:colOff>
          <xdr:row>160</xdr:row>
          <xdr:rowOff>76200</xdr:rowOff>
        </xdr:from>
        <xdr:to>
          <xdr:col>8</xdr:col>
          <xdr:colOff>160020</xdr:colOff>
          <xdr:row>163</xdr:row>
          <xdr:rowOff>76200</xdr:rowOff>
        </xdr:to>
        <xdr:sp macro="" textlink="">
          <xdr:nvSpPr>
            <xdr:cNvPr id="90118" name="Comment 6" hidden="1">
              <a:extLst>
                <a:ext uri="{FF2B5EF4-FFF2-40B4-BE49-F238E27FC236}">
                  <a16:creationId xmlns:a16="http://schemas.microsoft.com/office/drawing/2014/main" id="{87867070-E8F5-4465-A6E8-93E7C06B5164}"/>
                </a:ext>
              </a:extLst>
            </xdr:cNvPr>
            <xdr:cNvSpPr txBox="1">
              <a:spLocks noChangeArrowheads="1"/>
            </xdr:cNvSpPr>
          </xdr:nvSpPr>
          <xdr:spPr bwMode="auto">
            <a:xfrm>
              <a:off x="3421380" y="26929080"/>
              <a:ext cx="2583180" cy="5029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Hy = sum of all applied horizontal (Y-axis)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+Y-axis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158</xdr:row>
          <xdr:rowOff>76200</xdr:rowOff>
        </xdr:from>
        <xdr:to>
          <xdr:col>5</xdr:col>
          <xdr:colOff>60960</xdr:colOff>
          <xdr:row>163</xdr:row>
          <xdr:rowOff>0</xdr:rowOff>
        </xdr:to>
        <xdr:sp macro="" textlink="">
          <xdr:nvSpPr>
            <xdr:cNvPr id="90119" name="Comment 7" hidden="1">
              <a:extLst>
                <a:ext uri="{FF2B5EF4-FFF2-40B4-BE49-F238E27FC236}">
                  <a16:creationId xmlns:a16="http://schemas.microsoft.com/office/drawing/2014/main" id="{DDBFFC28-718B-4DDD-99E2-F956B6C40379}"/>
                </a:ext>
              </a:extLst>
            </xdr:cNvPr>
            <xdr:cNvSpPr txBox="1">
              <a:spLocks noChangeArrowheads="1"/>
            </xdr:cNvSpPr>
          </xdr:nvSpPr>
          <xdr:spPr bwMode="auto">
            <a:xfrm>
              <a:off x="1653540" y="26593800"/>
              <a:ext cx="2209800" cy="7620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Y-axis from the origin Y-axis is calculated as follows:</a:t>
              </a:r>
            </a:p>
            <a:p>
              <a:pPr algn="l" rtl="0">
                <a:defRPr sz="1000"/>
              </a:pPr>
              <a:r>
                <a:rPr lang="en-US" sz="800" b="0" i="0" u="none" strike="noStrike" baseline="0%">
                  <a:solidFill>
                    <a:srgbClr val="000000"/>
                  </a:solidFill>
                  <a:latin typeface="Tahoma"/>
                  <a:ea typeface="Tahoma"/>
                  <a:cs typeface="Tahoma"/>
                </a:rPr>
                <a:t>   Xc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(Xo)/Np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159</xdr:row>
          <xdr:rowOff>76200</xdr:rowOff>
        </xdr:from>
        <xdr:to>
          <xdr:col>5</xdr:col>
          <xdr:colOff>60960</xdr:colOff>
          <xdr:row>164</xdr:row>
          <xdr:rowOff>30480</xdr:rowOff>
        </xdr:to>
        <xdr:sp macro="" textlink="">
          <xdr:nvSpPr>
            <xdr:cNvPr id="90120" name="Comment 8" hidden="1">
              <a:extLst>
                <a:ext uri="{FF2B5EF4-FFF2-40B4-BE49-F238E27FC236}">
                  <a16:creationId xmlns:a16="http://schemas.microsoft.com/office/drawing/2014/main" id="{25EA7C59-7A8D-4534-995F-A531A35BB7D1}"/>
                </a:ext>
              </a:extLst>
            </xdr:cNvPr>
            <xdr:cNvSpPr txBox="1">
              <a:spLocks noChangeArrowheads="1"/>
            </xdr:cNvSpPr>
          </xdr:nvSpPr>
          <xdr:spPr bwMode="auto">
            <a:xfrm>
              <a:off x="1653540" y="26761440"/>
              <a:ext cx="2209800" cy="7924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X-axis from the origin X-axis is calculated as follows:</a:t>
              </a:r>
            </a:p>
            <a:p>
              <a:pPr algn="l" rtl="0">
                <a:defRPr sz="1000"/>
              </a:pPr>
              <a:r>
                <a:rPr lang="en-US" sz="800" b="0" i="0" u="none" strike="noStrike" baseline="0%">
                  <a:solidFill>
                    <a:srgbClr val="000000"/>
                  </a:solidFill>
                  <a:latin typeface="Tahoma"/>
                  <a:ea typeface="Tahoma"/>
                  <a:cs typeface="Tahoma"/>
                </a:rPr>
                <a:t>   Yc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(Yo)/Np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164</xdr:row>
          <xdr:rowOff>76200</xdr:rowOff>
        </xdr:from>
        <xdr:to>
          <xdr:col>5</xdr:col>
          <xdr:colOff>274320</xdr:colOff>
          <xdr:row>170</xdr:row>
          <xdr:rowOff>76200</xdr:rowOff>
        </xdr:to>
        <xdr:sp macro="" textlink="">
          <xdr:nvSpPr>
            <xdr:cNvPr id="90121" name="Comment 9" hidden="1">
              <a:extLst>
                <a:ext uri="{FF2B5EF4-FFF2-40B4-BE49-F238E27FC236}">
                  <a16:creationId xmlns:a16="http://schemas.microsoft.com/office/drawing/2014/main" id="{D2DAD976-E09F-479C-BF7B-0F0ABDBF1198}"/>
                </a:ext>
              </a:extLst>
            </xdr:cNvPr>
            <xdr:cNvSpPr txBox="1">
              <a:spLocks noChangeArrowheads="1"/>
            </xdr:cNvSpPr>
          </xdr:nvSpPr>
          <xdr:spPr bwMode="auto">
            <a:xfrm>
              <a:off x="1653540" y="27599640"/>
              <a:ext cx="242316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orientation of the principal axes, is defined by the rotation angle,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from the centroidal axes and is calculated as follows:</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a:t>
              </a:r>
              <a:r>
                <a:rPr lang="en-US" sz="800" b="0" i="0" u="none" strike="noStrike" baseline="0%">
                  <a:solidFill>
                    <a:srgbClr val="000000"/>
                  </a:solidFill>
                  <a:latin typeface="Tahoma"/>
                  <a:ea typeface="Tahoma"/>
                  <a:cs typeface="Tahoma"/>
                </a:rPr>
                <a:t> = (ATAN(-2*Ixy/(Ix-Iy)))/2</a:t>
              </a:r>
            </a:p>
            <a:p>
              <a:pPr algn="l" rtl="0">
                <a:defRPr sz="1000"/>
              </a:pPr>
              <a:r>
                <a:rPr lang="en-US" sz="800" b="0" i="0" u="none" strike="noStrike" baseline="0%">
                  <a:solidFill>
                    <a:srgbClr val="000000"/>
                  </a:solidFill>
                  <a:latin typeface="Tahoma"/>
                  <a:ea typeface="Tahoma"/>
                  <a:cs typeface="Tahoma"/>
                </a:rPr>
                <a:t>Note: sign convention is positive (+) ccw.</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 0  for a pile group with at least one</a:t>
              </a:r>
            </a:p>
            <a:p>
              <a:pPr algn="l" rtl="0">
                <a:defRPr sz="1000"/>
              </a:pPr>
              <a:r>
                <a:rPr lang="en-US" sz="800" b="0" i="0" u="none" strike="noStrike" baseline="0%">
                  <a:solidFill>
                    <a:srgbClr val="000000"/>
                  </a:solidFill>
                  <a:latin typeface="Tahoma"/>
                  <a:ea typeface="Tahoma"/>
                  <a:cs typeface="Tahoma"/>
                </a:rPr>
                <a:t>          axis of symmetry.</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594360</xdr:colOff>
          <xdr:row>9</xdr:row>
          <xdr:rowOff>76200</xdr:rowOff>
        </xdr:from>
        <xdr:to>
          <xdr:col>6</xdr:col>
          <xdr:colOff>525780</xdr:colOff>
          <xdr:row>14</xdr:row>
          <xdr:rowOff>99060</xdr:rowOff>
        </xdr:to>
        <xdr:sp macro="" textlink="">
          <xdr:nvSpPr>
            <xdr:cNvPr id="90122" name="Comment 10" hidden="1">
              <a:extLst>
                <a:ext uri="{FF2B5EF4-FFF2-40B4-BE49-F238E27FC236}">
                  <a16:creationId xmlns:a16="http://schemas.microsoft.com/office/drawing/2014/main" id="{260451E9-E018-4798-A4EC-B5ACAAD70322}"/>
                </a:ext>
              </a:extLst>
            </xdr:cNvPr>
            <xdr:cNvSpPr txBox="1">
              <a:spLocks noChangeArrowheads="1"/>
            </xdr:cNvSpPr>
          </xdr:nvSpPr>
          <xdr:spPr bwMode="auto">
            <a:xfrm>
              <a:off x="2278380" y="1615440"/>
              <a:ext cx="2811780" cy="8610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piles must be located in the positive 1st quadrant.  That is, all pile Xo, Yo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pile coordinates, or those cell values should be input = 0.</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10</xdr:row>
          <xdr:rowOff>76200</xdr:rowOff>
        </xdr:from>
        <xdr:to>
          <xdr:col>4</xdr:col>
          <xdr:colOff>716280</xdr:colOff>
          <xdr:row>12</xdr:row>
          <xdr:rowOff>45720</xdr:rowOff>
        </xdr:to>
        <xdr:sp macro="" textlink="">
          <xdr:nvSpPr>
            <xdr:cNvPr id="90123" name="Comment 11" hidden="1">
              <a:extLst>
                <a:ext uri="{FF2B5EF4-FFF2-40B4-BE49-F238E27FC236}">
                  <a16:creationId xmlns:a16="http://schemas.microsoft.com/office/drawing/2014/main" id="{4FF82DAD-DAD4-4AFE-AEDC-24CE04AADFAA}"/>
                </a:ext>
              </a:extLst>
            </xdr:cNvPr>
            <xdr:cNvSpPr txBox="1">
              <a:spLocks noChangeArrowheads="1"/>
            </xdr:cNvSpPr>
          </xdr:nvSpPr>
          <xdr:spPr bwMode="auto">
            <a:xfrm>
              <a:off x="1653540" y="1783080"/>
              <a:ext cx="1996440" cy="304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'Xo' coordinate is the x-distance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594360</xdr:colOff>
          <xdr:row>10</xdr:row>
          <xdr:rowOff>76200</xdr:rowOff>
        </xdr:from>
        <xdr:to>
          <xdr:col>5</xdr:col>
          <xdr:colOff>457200</xdr:colOff>
          <xdr:row>12</xdr:row>
          <xdr:rowOff>45720</xdr:rowOff>
        </xdr:to>
        <xdr:sp macro="" textlink="">
          <xdr:nvSpPr>
            <xdr:cNvPr id="90124" name="Comment 12" hidden="1">
              <a:extLst>
                <a:ext uri="{FF2B5EF4-FFF2-40B4-BE49-F238E27FC236}">
                  <a16:creationId xmlns:a16="http://schemas.microsoft.com/office/drawing/2014/main" id="{8D9F37C3-9501-4A02-9467-A3446F4A9B79}"/>
                </a:ext>
              </a:extLst>
            </xdr:cNvPr>
            <xdr:cNvSpPr txBox="1">
              <a:spLocks noChangeArrowheads="1"/>
            </xdr:cNvSpPr>
          </xdr:nvSpPr>
          <xdr:spPr bwMode="auto">
            <a:xfrm>
              <a:off x="2278380" y="1783080"/>
              <a:ext cx="1981200" cy="304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'Yo' coordinate is the y-distance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65</xdr:row>
          <xdr:rowOff>76200</xdr:rowOff>
        </xdr:from>
        <xdr:to>
          <xdr:col>4</xdr:col>
          <xdr:colOff>152400</xdr:colOff>
          <xdr:row>67</xdr:row>
          <xdr:rowOff>91440</xdr:rowOff>
        </xdr:to>
        <xdr:sp macro="" textlink="">
          <xdr:nvSpPr>
            <xdr:cNvPr id="90126" name="Comment 14" hidden="1">
              <a:extLst>
                <a:ext uri="{FF2B5EF4-FFF2-40B4-BE49-F238E27FC236}">
                  <a16:creationId xmlns:a16="http://schemas.microsoft.com/office/drawing/2014/main" id="{3F4F12A7-C465-43A8-BF86-0B012357CEE5}"/>
                </a:ext>
              </a:extLst>
            </xdr:cNvPr>
            <xdr:cNvSpPr txBox="1">
              <a:spLocks noChangeArrowheads="1"/>
            </xdr:cNvSpPr>
          </xdr:nvSpPr>
          <xdr:spPr bwMode="auto">
            <a:xfrm>
              <a:off x="922020" y="11003280"/>
              <a:ext cx="216408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 coordinate is the x-distance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66</xdr:row>
          <xdr:rowOff>76200</xdr:rowOff>
        </xdr:from>
        <xdr:to>
          <xdr:col>4</xdr:col>
          <xdr:colOff>137160</xdr:colOff>
          <xdr:row>68</xdr:row>
          <xdr:rowOff>91440</xdr:rowOff>
        </xdr:to>
        <xdr:sp macro="" textlink="">
          <xdr:nvSpPr>
            <xdr:cNvPr id="90127" name="Comment 15" hidden="1">
              <a:extLst>
                <a:ext uri="{FF2B5EF4-FFF2-40B4-BE49-F238E27FC236}">
                  <a16:creationId xmlns:a16="http://schemas.microsoft.com/office/drawing/2014/main" id="{EA083A78-70B0-48B8-8A5A-1BA94421A8EE}"/>
                </a:ext>
              </a:extLst>
            </xdr:cNvPr>
            <xdr:cNvSpPr txBox="1">
              <a:spLocks noChangeArrowheads="1"/>
            </xdr:cNvSpPr>
          </xdr:nvSpPr>
          <xdr:spPr bwMode="auto">
            <a:xfrm>
              <a:off x="922020" y="11170920"/>
              <a:ext cx="214884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 coordinate is the y-distance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67</xdr:row>
          <xdr:rowOff>76200</xdr:rowOff>
        </xdr:from>
        <xdr:to>
          <xdr:col>5</xdr:col>
          <xdr:colOff>91440</xdr:colOff>
          <xdr:row>73</xdr:row>
          <xdr:rowOff>76200</xdr:rowOff>
        </xdr:to>
        <xdr:sp macro="" textlink="">
          <xdr:nvSpPr>
            <xdr:cNvPr id="90128" name="Comment 16" hidden="1">
              <a:extLst>
                <a:ext uri="{FF2B5EF4-FFF2-40B4-BE49-F238E27FC236}">
                  <a16:creationId xmlns:a16="http://schemas.microsoft.com/office/drawing/2014/main" id="{38CC942E-9BC4-49BF-B286-BB4532809E5F}"/>
                </a:ext>
              </a:extLst>
            </xdr:cNvPr>
            <xdr:cNvSpPr txBox="1">
              <a:spLocks noChangeArrowheads="1"/>
            </xdr:cNvSpPr>
          </xdr:nvSpPr>
          <xdr:spPr bwMode="auto">
            <a:xfrm>
              <a:off x="922020" y="11338560"/>
              <a:ext cx="297180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69</xdr:row>
          <xdr:rowOff>76200</xdr:rowOff>
        </xdr:from>
        <xdr:to>
          <xdr:col>5</xdr:col>
          <xdr:colOff>541020</xdr:colOff>
          <xdr:row>71</xdr:row>
          <xdr:rowOff>76200</xdr:rowOff>
        </xdr:to>
        <xdr:sp macro="" textlink="">
          <xdr:nvSpPr>
            <xdr:cNvPr id="90129" name="Comment 17" hidden="1">
              <a:extLst>
                <a:ext uri="{FF2B5EF4-FFF2-40B4-BE49-F238E27FC236}">
                  <a16:creationId xmlns:a16="http://schemas.microsoft.com/office/drawing/2014/main" id="{C9B67FEC-2865-4CD3-B3CC-73B801716532}"/>
                </a:ext>
              </a:extLst>
            </xdr:cNvPr>
            <xdr:cNvSpPr txBox="1">
              <a:spLocks noChangeArrowheads="1"/>
            </xdr:cNvSpPr>
          </xdr:nvSpPr>
          <xdr:spPr bwMode="auto">
            <a:xfrm>
              <a:off x="922020" y="11673840"/>
              <a:ext cx="3421380" cy="3352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'Hx' is the horizontal (X-axis) load to be applied at the pier location.</a:t>
              </a:r>
            </a:p>
            <a:p>
              <a:pPr algn="l" rtl="0">
                <a:defRPr sz="1000"/>
              </a:pPr>
              <a:r>
                <a:rPr lang="en-US" sz="800" b="0" i="0" u="none" strike="noStrike" baseline="0%">
                  <a:solidFill>
                    <a:srgbClr val="000000"/>
                  </a:solidFill>
                  <a:latin typeface="Tahoma"/>
                  <a:ea typeface="Tahoma"/>
                  <a:cs typeface="Tahoma"/>
                </a:rPr>
                <a:t>Sign convention: + = to right</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70</xdr:row>
          <xdr:rowOff>76200</xdr:rowOff>
        </xdr:from>
        <xdr:to>
          <xdr:col>5</xdr:col>
          <xdr:colOff>563880</xdr:colOff>
          <xdr:row>72</xdr:row>
          <xdr:rowOff>91440</xdr:rowOff>
        </xdr:to>
        <xdr:sp macro="" textlink="">
          <xdr:nvSpPr>
            <xdr:cNvPr id="90130" name="Comment 18" hidden="1">
              <a:extLst>
                <a:ext uri="{FF2B5EF4-FFF2-40B4-BE49-F238E27FC236}">
                  <a16:creationId xmlns:a16="http://schemas.microsoft.com/office/drawing/2014/main" id="{04ABF119-1B44-49E6-8E78-830B2A0D3974}"/>
                </a:ext>
              </a:extLst>
            </xdr:cNvPr>
            <xdr:cNvSpPr txBox="1">
              <a:spLocks noChangeArrowheads="1"/>
            </xdr:cNvSpPr>
          </xdr:nvSpPr>
          <xdr:spPr bwMode="auto">
            <a:xfrm>
              <a:off x="922020" y="11841480"/>
              <a:ext cx="344424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'Hy' is the horizontal (Y-axis)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 the page</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68</xdr:row>
          <xdr:rowOff>76200</xdr:rowOff>
        </xdr:from>
        <xdr:to>
          <xdr:col>5</xdr:col>
          <xdr:colOff>419100</xdr:colOff>
          <xdr:row>71</xdr:row>
          <xdr:rowOff>38100</xdr:rowOff>
        </xdr:to>
        <xdr:sp macro="" textlink="">
          <xdr:nvSpPr>
            <xdr:cNvPr id="90131" name="Comment 19" hidden="1">
              <a:extLst>
                <a:ext uri="{FF2B5EF4-FFF2-40B4-BE49-F238E27FC236}">
                  <a16:creationId xmlns:a16="http://schemas.microsoft.com/office/drawing/2014/main" id="{445CCBE8-06E1-4909-95AC-6A69DAC6C630}"/>
                </a:ext>
              </a:extLst>
            </xdr:cNvPr>
            <xdr:cNvSpPr txBox="1">
              <a:spLocks noChangeArrowheads="1"/>
            </xdr:cNvSpPr>
          </xdr:nvSpPr>
          <xdr:spPr bwMode="auto">
            <a:xfrm>
              <a:off x="922020" y="11506200"/>
              <a:ext cx="329946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'Pz' is the vertical (Z-axis)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upward (out of page)</a:t>
              </a:r>
            </a:p>
            <a:p>
              <a:pPr algn="l" rtl="0">
                <a:defRPr sz="1000"/>
              </a:pPr>
              <a:r>
                <a:rPr lang="en-US" sz="800" b="0" i="0" u="none" strike="noStrike" baseline="0%">
                  <a:solidFill>
                    <a:srgbClr val="000000"/>
                  </a:solidFill>
                  <a:latin typeface="Tahoma"/>
                  <a:ea typeface="Tahoma"/>
                  <a:cs typeface="Tahoma"/>
                </a:rPr>
                <a:t>                                   -  = downward (into page) for gravity loads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71</xdr:row>
          <xdr:rowOff>76200</xdr:rowOff>
        </xdr:from>
        <xdr:to>
          <xdr:col>5</xdr:col>
          <xdr:colOff>182880</xdr:colOff>
          <xdr:row>73</xdr:row>
          <xdr:rowOff>91440</xdr:rowOff>
        </xdr:to>
        <xdr:sp macro="" textlink="">
          <xdr:nvSpPr>
            <xdr:cNvPr id="90132" name="Comment 20" hidden="1">
              <a:extLst>
                <a:ext uri="{FF2B5EF4-FFF2-40B4-BE49-F238E27FC236}">
                  <a16:creationId xmlns:a16="http://schemas.microsoft.com/office/drawing/2014/main" id="{05CC7E05-85A0-4F12-9C4A-6EC16DF81F84}"/>
                </a:ext>
              </a:extLst>
            </xdr:cNvPr>
            <xdr:cNvSpPr txBox="1">
              <a:spLocks noChangeArrowheads="1"/>
            </xdr:cNvSpPr>
          </xdr:nvSpPr>
          <xdr:spPr bwMode="auto">
            <a:xfrm>
              <a:off x="922020" y="12009120"/>
              <a:ext cx="306324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'Mx' is the X-axis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72</xdr:row>
          <xdr:rowOff>76200</xdr:rowOff>
        </xdr:from>
        <xdr:to>
          <xdr:col>5</xdr:col>
          <xdr:colOff>160020</xdr:colOff>
          <xdr:row>74</xdr:row>
          <xdr:rowOff>91440</xdr:rowOff>
        </xdr:to>
        <xdr:sp macro="" textlink="">
          <xdr:nvSpPr>
            <xdr:cNvPr id="90133" name="Comment 21" hidden="1">
              <a:extLst>
                <a:ext uri="{FF2B5EF4-FFF2-40B4-BE49-F238E27FC236}">
                  <a16:creationId xmlns:a16="http://schemas.microsoft.com/office/drawing/2014/main" id="{B940511B-185B-42C9-BAAC-2B0319CBD51E}"/>
                </a:ext>
              </a:extLst>
            </xdr:cNvPr>
            <xdr:cNvSpPr txBox="1">
              <a:spLocks noChangeArrowheads="1"/>
            </xdr:cNvSpPr>
          </xdr:nvSpPr>
          <xdr:spPr bwMode="auto">
            <a:xfrm>
              <a:off x="922020" y="12176760"/>
              <a:ext cx="304038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'My' is the Y-axis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73</xdr:row>
          <xdr:rowOff>76200</xdr:rowOff>
        </xdr:from>
        <xdr:to>
          <xdr:col>5</xdr:col>
          <xdr:colOff>175260</xdr:colOff>
          <xdr:row>75</xdr:row>
          <xdr:rowOff>99060</xdr:rowOff>
        </xdr:to>
        <xdr:sp macro="" textlink="">
          <xdr:nvSpPr>
            <xdr:cNvPr id="90134" name="Comment 22" hidden="1">
              <a:extLst>
                <a:ext uri="{FF2B5EF4-FFF2-40B4-BE49-F238E27FC236}">
                  <a16:creationId xmlns:a16="http://schemas.microsoft.com/office/drawing/2014/main" id="{426CDEBE-B2FB-496D-90E5-B127D0422EA2}"/>
                </a:ext>
              </a:extLst>
            </xdr:cNvPr>
            <xdr:cNvSpPr txBox="1">
              <a:spLocks noChangeArrowheads="1"/>
            </xdr:cNvSpPr>
          </xdr:nvSpPr>
          <xdr:spPr bwMode="auto">
            <a:xfrm>
              <a:off x="922020" y="12344400"/>
              <a:ext cx="3055620" cy="3581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'Mz' is the Z-axis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487680</xdr:colOff>
          <xdr:row>161</xdr:row>
          <xdr:rowOff>76200</xdr:rowOff>
        </xdr:from>
        <xdr:to>
          <xdr:col>9</xdr:col>
          <xdr:colOff>160020</xdr:colOff>
          <xdr:row>164</xdr:row>
          <xdr:rowOff>45720</xdr:rowOff>
        </xdr:to>
        <xdr:sp macro="" textlink="">
          <xdr:nvSpPr>
            <xdr:cNvPr id="90135" name="Comment 23" hidden="1">
              <a:extLst>
                <a:ext uri="{FF2B5EF4-FFF2-40B4-BE49-F238E27FC236}">
                  <a16:creationId xmlns:a16="http://schemas.microsoft.com/office/drawing/2014/main" id="{DB8086C7-4F89-46AB-91F6-A564DF28959C}"/>
                </a:ext>
              </a:extLst>
            </xdr:cNvPr>
            <xdr:cNvSpPr txBox="1">
              <a:spLocks noChangeArrowheads="1"/>
            </xdr:cNvSpPr>
          </xdr:nvSpPr>
          <xdr:spPr bwMode="auto">
            <a:xfrm>
              <a:off x="3421380" y="27096720"/>
              <a:ext cx="3208020" cy="4724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Mx = sum of all applied X-axis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487680</xdr:colOff>
          <xdr:row>162</xdr:row>
          <xdr:rowOff>76200</xdr:rowOff>
        </xdr:from>
        <xdr:to>
          <xdr:col>9</xdr:col>
          <xdr:colOff>220980</xdr:colOff>
          <xdr:row>165</xdr:row>
          <xdr:rowOff>76200</xdr:rowOff>
        </xdr:to>
        <xdr:sp macro="" textlink="">
          <xdr:nvSpPr>
            <xdr:cNvPr id="90136" name="Comment 24" hidden="1">
              <a:extLst>
                <a:ext uri="{FF2B5EF4-FFF2-40B4-BE49-F238E27FC236}">
                  <a16:creationId xmlns:a16="http://schemas.microsoft.com/office/drawing/2014/main" id="{ACAF03CC-614A-4757-BF85-44636CDDF259}"/>
                </a:ext>
              </a:extLst>
            </xdr:cNvPr>
            <xdr:cNvSpPr txBox="1">
              <a:spLocks noChangeArrowheads="1"/>
            </xdr:cNvSpPr>
          </xdr:nvSpPr>
          <xdr:spPr bwMode="auto">
            <a:xfrm>
              <a:off x="3421380" y="27264360"/>
              <a:ext cx="3268980" cy="5029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My = sum of all applied Y-axis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487680</xdr:colOff>
          <xdr:row>163</xdr:row>
          <xdr:rowOff>76200</xdr:rowOff>
        </xdr:from>
        <xdr:to>
          <xdr:col>9</xdr:col>
          <xdr:colOff>129540</xdr:colOff>
          <xdr:row>166</xdr:row>
          <xdr:rowOff>30480</xdr:rowOff>
        </xdr:to>
        <xdr:sp macro="" textlink="">
          <xdr:nvSpPr>
            <xdr:cNvPr id="90137" name="Comment 25" hidden="1">
              <a:extLst>
                <a:ext uri="{FF2B5EF4-FFF2-40B4-BE49-F238E27FC236}">
                  <a16:creationId xmlns:a16="http://schemas.microsoft.com/office/drawing/2014/main" id="{728D7D86-BB9F-4DAF-8420-FB2EC7DD4877}"/>
                </a:ext>
              </a:extLst>
            </xdr:cNvPr>
            <xdr:cNvSpPr txBox="1">
              <a:spLocks noChangeArrowheads="1"/>
            </xdr:cNvSpPr>
          </xdr:nvSpPr>
          <xdr:spPr bwMode="auto">
            <a:xfrm>
              <a:off x="3421380" y="27432000"/>
              <a:ext cx="317754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Mz = sum of all applied Z-axis moments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168</xdr:row>
          <xdr:rowOff>76200</xdr:rowOff>
        </xdr:from>
        <xdr:to>
          <xdr:col>5</xdr:col>
          <xdr:colOff>137160</xdr:colOff>
          <xdr:row>171</xdr:row>
          <xdr:rowOff>76200</xdr:rowOff>
        </xdr:to>
        <xdr:sp macro="" textlink="">
          <xdr:nvSpPr>
            <xdr:cNvPr id="90138" name="Comment 26" hidden="1">
              <a:extLst>
                <a:ext uri="{FF2B5EF4-FFF2-40B4-BE49-F238E27FC236}">
                  <a16:creationId xmlns:a16="http://schemas.microsoft.com/office/drawing/2014/main" id="{66492ACE-A85F-4AE1-B6C7-B193507FF929}"/>
                </a:ext>
              </a:extLst>
            </xdr:cNvPr>
            <xdr:cNvSpPr txBox="1">
              <a:spLocks noChangeArrowheads="1"/>
            </xdr:cNvSpPr>
          </xdr:nvSpPr>
          <xdr:spPr bwMode="auto">
            <a:xfrm>
              <a:off x="1653540" y="28270200"/>
              <a:ext cx="2286000" cy="5029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'Rz(max)'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169</xdr:row>
          <xdr:rowOff>76200</xdr:rowOff>
        </xdr:from>
        <xdr:to>
          <xdr:col>5</xdr:col>
          <xdr:colOff>137160</xdr:colOff>
          <xdr:row>172</xdr:row>
          <xdr:rowOff>30480</xdr:rowOff>
        </xdr:to>
        <xdr:sp macro="" textlink="">
          <xdr:nvSpPr>
            <xdr:cNvPr id="90139" name="Comment 27" hidden="1">
              <a:extLst>
                <a:ext uri="{FF2B5EF4-FFF2-40B4-BE49-F238E27FC236}">
                  <a16:creationId xmlns:a16="http://schemas.microsoft.com/office/drawing/2014/main" id="{CA3FE4B0-1E89-4443-BCA0-6A192C16BBA5}"/>
                </a:ext>
              </a:extLst>
            </xdr:cNvPr>
            <xdr:cNvSpPr txBox="1">
              <a:spLocks noChangeArrowheads="1"/>
            </xdr:cNvSpPr>
          </xdr:nvSpPr>
          <xdr:spPr bwMode="auto">
            <a:xfrm>
              <a:off x="1653540" y="28437840"/>
              <a:ext cx="228600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'Rz(min)'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170</xdr:row>
          <xdr:rowOff>76200</xdr:rowOff>
        </xdr:from>
        <xdr:to>
          <xdr:col>4</xdr:col>
          <xdr:colOff>807720</xdr:colOff>
          <xdr:row>173</xdr:row>
          <xdr:rowOff>45720</xdr:rowOff>
        </xdr:to>
        <xdr:sp macro="" textlink="">
          <xdr:nvSpPr>
            <xdr:cNvPr id="90140" name="Comment 28" hidden="1">
              <a:extLst>
                <a:ext uri="{FF2B5EF4-FFF2-40B4-BE49-F238E27FC236}">
                  <a16:creationId xmlns:a16="http://schemas.microsoft.com/office/drawing/2014/main" id="{D6141F12-C156-4830-9C57-2E3A229A0749}"/>
                </a:ext>
              </a:extLst>
            </xdr:cNvPr>
            <xdr:cNvSpPr txBox="1">
              <a:spLocks noChangeArrowheads="1"/>
            </xdr:cNvSpPr>
          </xdr:nvSpPr>
          <xdr:spPr bwMode="auto">
            <a:xfrm>
              <a:off x="1653540" y="28605480"/>
              <a:ext cx="2087880" cy="4724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Note: 'Rh(max)' is an "absolute" value</a:t>
              </a:r>
            </a:p>
            <a:p>
              <a:pPr algn="l" rtl="0">
                <a:defRPr sz="1000"/>
              </a:pPr>
              <a:r>
                <a:rPr lang="en-US" sz="800" b="0" i="0" u="none" strike="noStrike" baseline="0%">
                  <a:solidFill>
                    <a:srgbClr val="000000"/>
                  </a:solidFill>
                  <a:latin typeface="Tahoma"/>
                  <a:ea typeface="Tahoma"/>
                  <a:cs typeface="Tahoma"/>
                </a:rPr>
                <a:t>          with no particular sign convention,</a:t>
              </a:r>
            </a:p>
            <a:p>
              <a:pPr algn="l" rtl="0">
                <a:defRPr sz="1000"/>
              </a:pPr>
              <a:r>
                <a:rPr lang="en-US" sz="800" b="0" i="0" u="none" strike="noStrike" baseline="0%">
                  <a:solidFill>
                    <a:srgbClr val="000000"/>
                  </a:solidFill>
                  <a:latin typeface="Tahoma"/>
                  <a:ea typeface="Tahoma"/>
                  <a:cs typeface="Tahoma"/>
                </a:rPr>
                <a:t>          thus no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61</xdr:col>
          <xdr:colOff>236220</xdr:colOff>
          <xdr:row>0</xdr:row>
          <xdr:rowOff>167640</xdr:rowOff>
        </xdr:from>
        <xdr:to>
          <xdr:col>64</xdr:col>
          <xdr:colOff>449580</xdr:colOff>
          <xdr:row>6</xdr:row>
          <xdr:rowOff>7620</xdr:rowOff>
        </xdr:to>
        <xdr:sp macro="" textlink="">
          <xdr:nvSpPr>
            <xdr:cNvPr id="90142" name="Comment 30" hidden="1">
              <a:extLst>
                <a:ext uri="{FF2B5EF4-FFF2-40B4-BE49-F238E27FC236}">
                  <a16:creationId xmlns:a16="http://schemas.microsoft.com/office/drawing/2014/main" id="{163DA90D-262B-4FB2-AF23-310A009DD843}"/>
                </a:ext>
              </a:extLst>
            </xdr:cNvPr>
            <xdr:cNvSpPr txBox="1">
              <a:spLocks noChangeArrowheads="1"/>
            </xdr:cNvSpPr>
          </xdr:nvSpPr>
          <xdr:spPr bwMode="auto">
            <a:xfrm>
              <a:off x="20642580" y="167640"/>
              <a:ext cx="2087880" cy="876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user may manually adjust the scaling of the plotted pile group by adjusting the "X" and "Y" plot scale factors below.  The object is to try to equalize the maximum X-axis and Y-axis values which are shown.</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7620</xdr:colOff>
          <xdr:row>7</xdr:row>
          <xdr:rowOff>68580</xdr:rowOff>
        </xdr:from>
        <xdr:to>
          <xdr:col>6</xdr:col>
          <xdr:colOff>129540</xdr:colOff>
          <xdr:row>9</xdr:row>
          <xdr:rowOff>76200</xdr:rowOff>
        </xdr:to>
        <xdr:sp macro="" textlink="">
          <xdr:nvSpPr>
            <xdr:cNvPr id="90144" name="Comment 32" hidden="1">
              <a:extLst>
                <a:ext uri="{FF2B5EF4-FFF2-40B4-BE49-F238E27FC236}">
                  <a16:creationId xmlns:a16="http://schemas.microsoft.com/office/drawing/2014/main" id="{EF110DB7-84B9-485F-AA21-3721BBA2B139}"/>
                </a:ext>
              </a:extLst>
            </xdr:cNvPr>
            <xdr:cNvSpPr txBox="1">
              <a:spLocks noChangeArrowheads="1"/>
            </xdr:cNvSpPr>
          </xdr:nvSpPr>
          <xdr:spPr bwMode="auto">
            <a:xfrm>
              <a:off x="2316480" y="1272540"/>
              <a:ext cx="2377440" cy="342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2.</a:t>
              </a:r>
            </a:p>
            <a:p>
              <a:pPr algn="l" rtl="0">
                <a:defRPr sz="1000"/>
              </a:pPr>
              <a:r>
                <a:rPr lang="en-US" sz="800" b="1" i="0" u="none" strike="noStrike" baseline="0%">
                  <a:solidFill>
                    <a:srgbClr val="000000"/>
                  </a:solidFill>
                  <a:latin typeface="Tahoma"/>
                  <a:ea typeface="Tahoma"/>
                  <a:cs typeface="Tahoma"/>
                </a:rPr>
                <a:t>The maximum number of piles = 400.</a:t>
              </a:r>
            </a:p>
          </xdr:txBody>
        </xdr:sp>
        <xdr:clientData/>
      </xdr:twoCellAnchor>
    </mc:Fallback>
  </mc:AlternateContent>
  <mc:AlternateContent xmlns:mc="http://schemas.openxmlformats.org/markup-compatibility/2006">
    <mc:Choice xmlns:v="urn:schemas-microsoft-com:vml" Requires="v"/>
    <mc:Fallback>
      <xdr:twoCellAnchor editAs="absolute">
        <xdr:from>
          <xdr:col>64</xdr:col>
          <xdr:colOff>350520</xdr:colOff>
          <xdr:row>82</xdr:row>
          <xdr:rowOff>76200</xdr:rowOff>
        </xdr:from>
        <xdr:to>
          <xdr:col>68</xdr:col>
          <xdr:colOff>251460</xdr:colOff>
          <xdr:row>84</xdr:row>
          <xdr:rowOff>76200</xdr:rowOff>
        </xdr:to>
        <xdr:sp macro="" textlink="">
          <xdr:nvSpPr>
            <xdr:cNvPr id="90145" name="Comment 33" hidden="1">
              <a:extLst>
                <a:ext uri="{FF2B5EF4-FFF2-40B4-BE49-F238E27FC236}">
                  <a16:creationId xmlns:a16="http://schemas.microsoft.com/office/drawing/2014/main" id="{77D2C41C-F90E-47EE-A5A3-4F1551BBEAA3}"/>
                </a:ext>
              </a:extLst>
            </xdr:cNvPr>
            <xdr:cNvSpPr txBox="1">
              <a:spLocks noChangeArrowheads="1"/>
            </xdr:cNvSpPr>
          </xdr:nvSpPr>
          <xdr:spPr bwMode="auto">
            <a:xfrm>
              <a:off x="22631400" y="13853160"/>
              <a:ext cx="2400300" cy="3352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3.</a:t>
              </a:r>
            </a:p>
            <a:p>
              <a:pPr algn="l" rtl="0">
                <a:defRPr sz="1000"/>
              </a:pPr>
              <a:r>
                <a:rPr lang="en-US" sz="800" b="1" i="0" u="none" strike="noStrike" baseline="0%">
                  <a:solidFill>
                    <a:srgbClr val="000000"/>
                  </a:solidFill>
                  <a:latin typeface="Tahoma"/>
                  <a:ea typeface="Tahoma"/>
                  <a:cs typeface="Tahoma"/>
                </a:rPr>
                <a:t>The maximum number of piles = 300.</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xdr:colOff>
          <xdr:row>160</xdr:row>
          <xdr:rowOff>76200</xdr:rowOff>
        </xdr:from>
        <xdr:to>
          <xdr:col>4</xdr:col>
          <xdr:colOff>716280</xdr:colOff>
          <xdr:row>166</xdr:row>
          <xdr:rowOff>99060</xdr:rowOff>
        </xdr:to>
        <xdr:sp macro="" textlink="">
          <xdr:nvSpPr>
            <xdr:cNvPr id="90213" name="Comment 101" hidden="1">
              <a:extLst>
                <a:ext uri="{FF2B5EF4-FFF2-40B4-BE49-F238E27FC236}">
                  <a16:creationId xmlns:a16="http://schemas.microsoft.com/office/drawing/2014/main" id="{3ECE48C4-48A9-4C38-9222-86DBBA548EA1}"/>
                </a:ext>
              </a:extLst>
            </xdr:cNvPr>
            <xdr:cNvSpPr txBox="1">
              <a:spLocks noChangeArrowheads="1"/>
            </xdr:cNvSpPr>
          </xdr:nvSpPr>
          <xdr:spPr bwMode="auto">
            <a:xfrm>
              <a:off x="1691640" y="26929080"/>
              <a:ext cx="1958340" cy="10287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X-axis Moment of Inertia, 'Ix',  for the pile group is calculated as follows:</a:t>
              </a:r>
            </a:p>
            <a:p>
              <a:pPr algn="l" rtl="0">
                <a:defRPr sz="1000"/>
              </a:pPr>
              <a:r>
                <a:rPr lang="en-US" sz="800" b="0" i="0" u="none" strike="noStrike" baseline="0%">
                  <a:solidFill>
                    <a:srgbClr val="000000"/>
                  </a:solidFill>
                  <a:latin typeface="Tahoma"/>
                  <a:ea typeface="Tahoma"/>
                  <a:cs typeface="Tahoma"/>
                </a:rPr>
                <a:t>   Ix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(dy)^2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 </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xdr:colOff>
          <xdr:row>161</xdr:row>
          <xdr:rowOff>76200</xdr:rowOff>
        </xdr:from>
        <xdr:to>
          <xdr:col>4</xdr:col>
          <xdr:colOff>716280</xdr:colOff>
          <xdr:row>167</xdr:row>
          <xdr:rowOff>76200</xdr:rowOff>
        </xdr:to>
        <xdr:sp macro="" textlink="">
          <xdr:nvSpPr>
            <xdr:cNvPr id="90214" name="Comment 102" hidden="1">
              <a:extLst>
                <a:ext uri="{FF2B5EF4-FFF2-40B4-BE49-F238E27FC236}">
                  <a16:creationId xmlns:a16="http://schemas.microsoft.com/office/drawing/2014/main" id="{71EAB087-06BB-4698-995C-CD5940F44AE9}"/>
                </a:ext>
              </a:extLst>
            </xdr:cNvPr>
            <xdr:cNvSpPr txBox="1">
              <a:spLocks noChangeArrowheads="1"/>
            </xdr:cNvSpPr>
          </xdr:nvSpPr>
          <xdr:spPr bwMode="auto">
            <a:xfrm>
              <a:off x="1691640" y="27096720"/>
              <a:ext cx="195834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Y-axis Moment of Inertia, 'Iy',  for the pile group is calculated as follows:</a:t>
              </a:r>
            </a:p>
            <a:p>
              <a:pPr algn="l" rtl="0">
                <a:defRPr sz="1000"/>
              </a:pPr>
              <a:r>
                <a:rPr lang="en-US" sz="800" b="0" i="0" u="none" strike="noStrike" baseline="0%">
                  <a:solidFill>
                    <a:srgbClr val="000000"/>
                  </a:solidFill>
                  <a:latin typeface="Tahoma"/>
                  <a:ea typeface="Tahoma"/>
                  <a:cs typeface="Tahoma"/>
                </a:rPr>
                <a:t>   Iy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 </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xdr:colOff>
          <xdr:row>162</xdr:row>
          <xdr:rowOff>76200</xdr:rowOff>
        </xdr:from>
        <xdr:to>
          <xdr:col>4</xdr:col>
          <xdr:colOff>716280</xdr:colOff>
          <xdr:row>165</xdr:row>
          <xdr:rowOff>30480</xdr:rowOff>
        </xdr:to>
        <xdr:sp macro="" textlink="">
          <xdr:nvSpPr>
            <xdr:cNvPr id="90215" name="Comment 103" hidden="1">
              <a:extLst>
                <a:ext uri="{FF2B5EF4-FFF2-40B4-BE49-F238E27FC236}">
                  <a16:creationId xmlns:a16="http://schemas.microsoft.com/office/drawing/2014/main" id="{3F438C4F-5DB7-4BC8-A563-C1E0B6BEB9DC}"/>
                </a:ext>
              </a:extLst>
            </xdr:cNvPr>
            <xdr:cNvSpPr txBox="1">
              <a:spLocks noChangeArrowheads="1"/>
            </xdr:cNvSpPr>
          </xdr:nvSpPr>
          <xdr:spPr bwMode="auto">
            <a:xfrm>
              <a:off x="1691640" y="27264360"/>
              <a:ext cx="195834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Polar Moment of Inertia for the pile group is calculated as follows:</a:t>
              </a:r>
            </a:p>
            <a:p>
              <a:pPr algn="l" rtl="0">
                <a:defRPr sz="1000"/>
              </a:pPr>
              <a:r>
                <a:rPr lang="en-US" sz="800" b="0" i="0" u="none" strike="noStrike" baseline="0%">
                  <a:solidFill>
                    <a:srgbClr val="000000"/>
                  </a:solidFill>
                  <a:latin typeface="Tahoma"/>
                  <a:ea typeface="Tahoma"/>
                  <a:cs typeface="Tahoma"/>
                </a:rPr>
                <a:t>   J = Ix+Iy</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xdr:colOff>
          <xdr:row>163</xdr:row>
          <xdr:rowOff>76200</xdr:rowOff>
        </xdr:from>
        <xdr:to>
          <xdr:col>4</xdr:col>
          <xdr:colOff>762000</xdr:colOff>
          <xdr:row>173</xdr:row>
          <xdr:rowOff>76200</xdr:rowOff>
        </xdr:to>
        <xdr:sp macro="" textlink="">
          <xdr:nvSpPr>
            <xdr:cNvPr id="90216" name="Comment 104" hidden="1">
              <a:extLst>
                <a:ext uri="{FF2B5EF4-FFF2-40B4-BE49-F238E27FC236}">
                  <a16:creationId xmlns:a16="http://schemas.microsoft.com/office/drawing/2014/main" id="{83B5A9CD-72CC-41D9-92AF-33847B568BE0}"/>
                </a:ext>
              </a:extLst>
            </xdr:cNvPr>
            <xdr:cNvSpPr txBox="1">
              <a:spLocks noChangeArrowheads="1"/>
            </xdr:cNvSpPr>
          </xdr:nvSpPr>
          <xdr:spPr bwMode="auto">
            <a:xfrm>
              <a:off x="1691640" y="27432000"/>
              <a:ext cx="2004060" cy="16764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Product Moment of Inertia, 'Ixy', for the pile group is calculated as follows:</a:t>
              </a:r>
            </a:p>
            <a:p>
              <a:pPr algn="l" rtl="0">
                <a:defRPr sz="1000"/>
              </a:pPr>
              <a:r>
                <a:rPr lang="en-US" sz="800" b="0" i="0" u="none" strike="noStrike" baseline="0%">
                  <a:solidFill>
                    <a:srgbClr val="000000"/>
                  </a:solidFill>
                  <a:latin typeface="Tahoma"/>
                  <a:ea typeface="Tahoma"/>
                  <a:cs typeface="Tahoma"/>
                </a:rPr>
                <a:t>   Ixy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(dx*dy)</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a:t>
              </a:r>
            </a:p>
            <a:p>
              <a:pPr algn="l" rtl="0">
                <a:defRPr sz="1000"/>
              </a:pPr>
              <a:r>
                <a:rPr lang="en-US" sz="800" b="0" i="0" u="none" strike="noStrike" baseline="0%">
                  <a:solidFill>
                    <a:srgbClr val="000000"/>
                  </a:solidFill>
                  <a:latin typeface="Tahoma"/>
                  <a:ea typeface="Tahoma"/>
                  <a:cs typeface="Tahoma"/>
                </a:rPr>
                <a:t>Note:  'Ixy' = 0  for a pile group with at</a:t>
              </a:r>
            </a:p>
            <a:p>
              <a:pPr algn="l" rtl="0">
                <a:defRPr sz="1000"/>
              </a:pPr>
              <a:r>
                <a:rPr lang="en-US" sz="800" b="0" i="0" u="none" strike="noStrike" baseline="0%">
                  <a:solidFill>
                    <a:srgbClr val="000000"/>
                  </a:solidFill>
                  <a:latin typeface="Tahoma"/>
                  <a:ea typeface="Tahoma"/>
                  <a:cs typeface="Tahoma"/>
                </a:rPr>
                <a:t>           least one axis of symmetry.</a:t>
              </a: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144780</xdr:colOff>
          <xdr:row>63</xdr:row>
          <xdr:rowOff>76200</xdr:rowOff>
        </xdr:from>
        <xdr:to>
          <xdr:col>18</xdr:col>
          <xdr:colOff>449580</xdr:colOff>
          <xdr:row>67</xdr:row>
          <xdr:rowOff>160020</xdr:rowOff>
        </xdr:to>
        <xdr:sp macro="" textlink="">
          <xdr:nvSpPr>
            <xdr:cNvPr id="90222" name="Comment 110" hidden="1">
              <a:extLst>
                <a:ext uri="{FF2B5EF4-FFF2-40B4-BE49-F238E27FC236}">
                  <a16:creationId xmlns:a16="http://schemas.microsoft.com/office/drawing/2014/main" id="{6B47D571-00BC-410D-8CD3-E113A1A663DC}"/>
                </a:ext>
              </a:extLst>
            </xdr:cNvPr>
            <xdr:cNvSpPr txBox="1">
              <a:spLocks noChangeArrowheads="1"/>
            </xdr:cNvSpPr>
          </xdr:nvSpPr>
          <xdr:spPr bwMode="auto">
            <a:xfrm>
              <a:off x="9113520" y="10668000"/>
              <a:ext cx="3429000" cy="7543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piers must be located in the positive 1st quadrant.  That is, all pier X, Y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pier coordinates, or those cell values should be input = 0.</a:t>
              </a:r>
            </a:p>
          </xdr:txBody>
        </xdr:sp>
        <xdr:clientData/>
      </xdr:twoCellAnchor>
    </mc:Fallback>
  </mc:AlternateContent>
</xdr:wsDr>
</file>

<file path=xl/drawings/drawing8.xml><?xml version="1.0" encoding="utf-8"?>
<xdr:wsDr xmlns:xdr="http://purl.oclc.org/ooxml/drawingml/spreadsheetDrawing" xmlns:a="http://purl.oclc.org/ooxml/drawingml/main">
  <xdr:twoCellAnchor>
    <xdr:from>
      <xdr:col>56</xdr:col>
      <xdr:colOff>0</xdr:colOff>
      <xdr:row>1</xdr:row>
      <xdr:rowOff>0</xdr:rowOff>
    </xdr:from>
    <xdr:to>
      <xdr:col>58</xdr:col>
      <xdr:colOff>0</xdr:colOff>
      <xdr:row>4</xdr:row>
      <xdr:rowOff>0</xdr:rowOff>
    </xdr:to>
    <xdr:sp macro="" textlink="">
      <xdr:nvSpPr>
        <xdr:cNvPr id="88093" name="Rectangle 29">
          <a:extLst>
            <a:ext uri="{FF2B5EF4-FFF2-40B4-BE49-F238E27FC236}">
              <a16:creationId xmlns:a16="http://schemas.microsoft.com/office/drawing/2014/main" id="{338A0948-CEFB-47FC-9E87-51BFF80A1A32}"/>
            </a:ext>
          </a:extLst>
        </xdr:cNvPr>
        <xdr:cNvSpPr>
          <a:spLocks noChangeArrowheads="1"/>
        </xdr:cNvSpPr>
      </xdr:nvSpPr>
      <xdr:spPr bwMode="auto">
        <a:xfrm>
          <a:off x="17099280" y="198120"/>
          <a:ext cx="1249680" cy="50292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ffectLst>
          <a:outerShdw dist="107763"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77</xdr:row>
      <xdr:rowOff>129540</xdr:rowOff>
    </xdr:from>
    <xdr:to>
      <xdr:col>23</xdr:col>
      <xdr:colOff>22860</xdr:colOff>
      <xdr:row>152</xdr:row>
      <xdr:rowOff>144780</xdr:rowOff>
    </xdr:to>
    <xdr:graphicFrame macro="">
      <xdr:nvGraphicFramePr>
        <xdr:cNvPr id="88095" name="Chart 31">
          <a:extLst>
            <a:ext uri="{FF2B5EF4-FFF2-40B4-BE49-F238E27FC236}">
              <a16:creationId xmlns:a16="http://schemas.microsoft.com/office/drawing/2014/main" id="{F42B2B23-AD62-4EAB-A831-DD3C37417DD8}"/>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56</xdr:col>
      <xdr:colOff>68580</xdr:colOff>
      <xdr:row>7</xdr:row>
      <xdr:rowOff>38100</xdr:rowOff>
    </xdr:from>
    <xdr:to>
      <xdr:col>56</xdr:col>
      <xdr:colOff>167640</xdr:colOff>
      <xdr:row>7</xdr:row>
      <xdr:rowOff>137160</xdr:rowOff>
    </xdr:to>
    <xdr:sp macro="" textlink="">
      <xdr:nvSpPr>
        <xdr:cNvPr id="88098" name="Oval 34">
          <a:extLst>
            <a:ext uri="{FF2B5EF4-FFF2-40B4-BE49-F238E27FC236}">
              <a16:creationId xmlns:a16="http://schemas.microsoft.com/office/drawing/2014/main" id="{6F2EF68D-802E-4EE5-87CE-EE1B8FCD9B03}"/>
            </a:ext>
          </a:extLst>
        </xdr:cNvPr>
        <xdr:cNvSpPr>
          <a:spLocks noChangeArrowheads="1"/>
        </xdr:cNvSpPr>
      </xdr:nvSpPr>
      <xdr:spPr bwMode="auto">
        <a:xfrm>
          <a:off x="17167860" y="1242060"/>
          <a:ext cx="99060" cy="9906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round/>
          <a:headEnd/>
          <a:tailEnd/>
        </a:ln>
      </xdr:spPr>
    </xdr:sp>
    <xdr:clientData/>
  </xdr:twoCellAnchor>
  <xdr:twoCellAnchor>
    <xdr:from>
      <xdr:col>55</xdr:col>
      <xdr:colOff>441960</xdr:colOff>
      <xdr:row>6</xdr:row>
      <xdr:rowOff>91440</xdr:rowOff>
    </xdr:from>
    <xdr:to>
      <xdr:col>57</xdr:col>
      <xdr:colOff>381000</xdr:colOff>
      <xdr:row>13</xdr:row>
      <xdr:rowOff>60960</xdr:rowOff>
    </xdr:to>
    <xdr:sp macro="" textlink="">
      <xdr:nvSpPr>
        <xdr:cNvPr id="88099" name="Rectangle 35">
          <a:extLst>
            <a:ext uri="{FF2B5EF4-FFF2-40B4-BE49-F238E27FC236}">
              <a16:creationId xmlns:a16="http://schemas.microsoft.com/office/drawing/2014/main" id="{A469F3E8-BCDD-4DB4-B8E7-B652418B779F}"/>
            </a:ext>
          </a:extLst>
        </xdr:cNvPr>
        <xdr:cNvSpPr>
          <a:spLocks noChangeArrowheads="1"/>
        </xdr:cNvSpPr>
      </xdr:nvSpPr>
      <xdr:spPr bwMode="auto">
        <a:xfrm>
          <a:off x="16916400" y="1127760"/>
          <a:ext cx="118872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55</xdr:col>
      <xdr:colOff>441960</xdr:colOff>
      <xdr:row>5</xdr:row>
      <xdr:rowOff>91440</xdr:rowOff>
    </xdr:from>
    <xdr:to>
      <xdr:col>55</xdr:col>
      <xdr:colOff>441960</xdr:colOff>
      <xdr:row>6</xdr:row>
      <xdr:rowOff>76200</xdr:rowOff>
    </xdr:to>
    <xdr:sp macro="" textlink="">
      <xdr:nvSpPr>
        <xdr:cNvPr id="88100" name="Line 36">
          <a:extLst>
            <a:ext uri="{FF2B5EF4-FFF2-40B4-BE49-F238E27FC236}">
              <a16:creationId xmlns:a16="http://schemas.microsoft.com/office/drawing/2014/main" id="{9B18F128-94D0-4D20-A585-70D2E5A6FA20}"/>
            </a:ext>
          </a:extLst>
        </xdr:cNvPr>
        <xdr:cNvSpPr>
          <a:spLocks noChangeShapeType="1"/>
        </xdr:cNvSpPr>
      </xdr:nvSpPr>
      <xdr:spPr bwMode="auto">
        <a:xfrm flipV="1">
          <a:off x="16916400" y="96012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55</xdr:col>
      <xdr:colOff>320040</xdr:colOff>
      <xdr:row>13</xdr:row>
      <xdr:rowOff>60960</xdr:rowOff>
    </xdr:from>
    <xdr:to>
      <xdr:col>55</xdr:col>
      <xdr:colOff>441960</xdr:colOff>
      <xdr:row>14</xdr:row>
      <xdr:rowOff>7620</xdr:rowOff>
    </xdr:to>
    <xdr:sp macro="" textlink="">
      <xdr:nvSpPr>
        <xdr:cNvPr id="88101" name="Line 37">
          <a:extLst>
            <a:ext uri="{FF2B5EF4-FFF2-40B4-BE49-F238E27FC236}">
              <a16:creationId xmlns:a16="http://schemas.microsoft.com/office/drawing/2014/main" id="{2D822D14-0984-4193-B16C-E164C753EEC7}"/>
            </a:ext>
          </a:extLst>
        </xdr:cNvPr>
        <xdr:cNvSpPr>
          <a:spLocks noChangeShapeType="1"/>
        </xdr:cNvSpPr>
      </xdr:nvSpPr>
      <xdr:spPr bwMode="auto">
        <a:xfrm flipH="1">
          <a:off x="16794480" y="2270760"/>
          <a:ext cx="12192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57</xdr:col>
      <xdr:colOff>388620</xdr:colOff>
      <xdr:row>13</xdr:row>
      <xdr:rowOff>60960</xdr:rowOff>
    </xdr:from>
    <xdr:to>
      <xdr:col>57</xdr:col>
      <xdr:colOff>548640</xdr:colOff>
      <xdr:row>13</xdr:row>
      <xdr:rowOff>60960</xdr:rowOff>
    </xdr:to>
    <xdr:sp macro="" textlink="">
      <xdr:nvSpPr>
        <xdr:cNvPr id="88102" name="Line 38">
          <a:extLst>
            <a:ext uri="{FF2B5EF4-FFF2-40B4-BE49-F238E27FC236}">
              <a16:creationId xmlns:a16="http://schemas.microsoft.com/office/drawing/2014/main" id="{94A8E944-F87D-49B8-9461-C3E0CBF6C16B}"/>
            </a:ext>
          </a:extLst>
        </xdr:cNvPr>
        <xdr:cNvSpPr>
          <a:spLocks noChangeShapeType="1"/>
        </xdr:cNvSpPr>
      </xdr:nvSpPr>
      <xdr:spPr bwMode="auto">
        <a:xfrm flipV="1">
          <a:off x="18112740" y="2270760"/>
          <a:ext cx="1600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55</xdr:col>
      <xdr:colOff>441960</xdr:colOff>
      <xdr:row>19</xdr:row>
      <xdr:rowOff>144780</xdr:rowOff>
    </xdr:from>
    <xdr:to>
      <xdr:col>57</xdr:col>
      <xdr:colOff>381000</xdr:colOff>
      <xdr:row>21</xdr:row>
      <xdr:rowOff>45720</xdr:rowOff>
    </xdr:to>
    <xdr:sp macro="" textlink="">
      <xdr:nvSpPr>
        <xdr:cNvPr id="88103" name="Rectangle 39">
          <a:extLst>
            <a:ext uri="{FF2B5EF4-FFF2-40B4-BE49-F238E27FC236}">
              <a16:creationId xmlns:a16="http://schemas.microsoft.com/office/drawing/2014/main" id="{0B480027-91E2-43F9-9996-D77BF93D2F98}"/>
            </a:ext>
          </a:extLst>
        </xdr:cNvPr>
        <xdr:cNvSpPr>
          <a:spLocks noChangeArrowheads="1"/>
        </xdr:cNvSpPr>
      </xdr:nvSpPr>
      <xdr:spPr bwMode="auto">
        <a:xfrm>
          <a:off x="16916400" y="3360420"/>
          <a:ext cx="1188720" cy="2362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56</xdr:col>
      <xdr:colOff>251460</xdr:colOff>
      <xdr:row>18</xdr:row>
      <xdr:rowOff>160020</xdr:rowOff>
    </xdr:from>
    <xdr:to>
      <xdr:col>56</xdr:col>
      <xdr:colOff>563880</xdr:colOff>
      <xdr:row>19</xdr:row>
      <xdr:rowOff>144780</xdr:rowOff>
    </xdr:to>
    <xdr:sp macro="" textlink="">
      <xdr:nvSpPr>
        <xdr:cNvPr id="88104" name="Rectangle 40">
          <a:extLst>
            <a:ext uri="{FF2B5EF4-FFF2-40B4-BE49-F238E27FC236}">
              <a16:creationId xmlns:a16="http://schemas.microsoft.com/office/drawing/2014/main" id="{FE91BC4F-1A08-457F-B3C2-CD7320318BA0}"/>
            </a:ext>
          </a:extLst>
        </xdr:cNvPr>
        <xdr:cNvSpPr>
          <a:spLocks noChangeArrowheads="1"/>
        </xdr:cNvSpPr>
      </xdr:nvSpPr>
      <xdr:spPr bwMode="auto">
        <a:xfrm>
          <a:off x="17350740" y="3208020"/>
          <a:ext cx="312420"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55</xdr:col>
      <xdr:colOff>556260</xdr:colOff>
      <xdr:row>21</xdr:row>
      <xdr:rowOff>45720</xdr:rowOff>
    </xdr:from>
    <xdr:to>
      <xdr:col>55</xdr:col>
      <xdr:colOff>556260</xdr:colOff>
      <xdr:row>23</xdr:row>
      <xdr:rowOff>76200</xdr:rowOff>
    </xdr:to>
    <xdr:sp macro="" textlink="">
      <xdr:nvSpPr>
        <xdr:cNvPr id="88105" name="Line 41">
          <a:extLst>
            <a:ext uri="{FF2B5EF4-FFF2-40B4-BE49-F238E27FC236}">
              <a16:creationId xmlns:a16="http://schemas.microsoft.com/office/drawing/2014/main" id="{013335F3-AF1C-4BB6-9608-F9DE9D98911B}"/>
            </a:ext>
          </a:extLst>
        </xdr:cNvPr>
        <xdr:cNvSpPr>
          <a:spLocks noChangeShapeType="1"/>
        </xdr:cNvSpPr>
      </xdr:nvSpPr>
      <xdr:spPr bwMode="auto">
        <a:xfrm>
          <a:off x="1703070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76200</xdr:colOff>
      <xdr:row>21</xdr:row>
      <xdr:rowOff>45720</xdr:rowOff>
    </xdr:from>
    <xdr:to>
      <xdr:col>56</xdr:col>
      <xdr:colOff>76200</xdr:colOff>
      <xdr:row>23</xdr:row>
      <xdr:rowOff>76200</xdr:rowOff>
    </xdr:to>
    <xdr:sp macro="" textlink="">
      <xdr:nvSpPr>
        <xdr:cNvPr id="88106" name="Line 42">
          <a:extLst>
            <a:ext uri="{FF2B5EF4-FFF2-40B4-BE49-F238E27FC236}">
              <a16:creationId xmlns:a16="http://schemas.microsoft.com/office/drawing/2014/main" id="{4A3B59C0-71F2-44EB-BC6D-DFBBF090E29C}"/>
            </a:ext>
          </a:extLst>
        </xdr:cNvPr>
        <xdr:cNvSpPr>
          <a:spLocks noChangeShapeType="1"/>
        </xdr:cNvSpPr>
      </xdr:nvSpPr>
      <xdr:spPr bwMode="auto">
        <a:xfrm>
          <a:off x="1717548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480060</xdr:colOff>
      <xdr:row>23</xdr:row>
      <xdr:rowOff>76200</xdr:rowOff>
    </xdr:from>
    <xdr:to>
      <xdr:col>55</xdr:col>
      <xdr:colOff>586740</xdr:colOff>
      <xdr:row>23</xdr:row>
      <xdr:rowOff>76200</xdr:rowOff>
    </xdr:to>
    <xdr:sp macro="" textlink="">
      <xdr:nvSpPr>
        <xdr:cNvPr id="88107" name="Line 43">
          <a:extLst>
            <a:ext uri="{FF2B5EF4-FFF2-40B4-BE49-F238E27FC236}">
              <a16:creationId xmlns:a16="http://schemas.microsoft.com/office/drawing/2014/main" id="{103FAF21-9655-47C7-A090-6659995411F1}"/>
            </a:ext>
          </a:extLst>
        </xdr:cNvPr>
        <xdr:cNvSpPr>
          <a:spLocks noChangeShapeType="1"/>
        </xdr:cNvSpPr>
      </xdr:nvSpPr>
      <xdr:spPr bwMode="auto">
        <a:xfrm>
          <a:off x="1695450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38100</xdr:colOff>
      <xdr:row>23</xdr:row>
      <xdr:rowOff>76200</xdr:rowOff>
    </xdr:from>
    <xdr:to>
      <xdr:col>56</xdr:col>
      <xdr:colOff>144780</xdr:colOff>
      <xdr:row>23</xdr:row>
      <xdr:rowOff>76200</xdr:rowOff>
    </xdr:to>
    <xdr:sp macro="" textlink="">
      <xdr:nvSpPr>
        <xdr:cNvPr id="88108" name="Line 44">
          <a:extLst>
            <a:ext uri="{FF2B5EF4-FFF2-40B4-BE49-F238E27FC236}">
              <a16:creationId xmlns:a16="http://schemas.microsoft.com/office/drawing/2014/main" id="{3F4B42B4-2692-41AD-A08E-98D889F4BEF1}"/>
            </a:ext>
          </a:extLst>
        </xdr:cNvPr>
        <xdr:cNvSpPr>
          <a:spLocks noChangeShapeType="1"/>
        </xdr:cNvSpPr>
      </xdr:nvSpPr>
      <xdr:spPr bwMode="auto">
        <a:xfrm>
          <a:off x="1713738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586740</xdr:colOff>
      <xdr:row>23</xdr:row>
      <xdr:rowOff>76200</xdr:rowOff>
    </xdr:from>
    <xdr:to>
      <xdr:col>55</xdr:col>
      <xdr:colOff>609600</xdr:colOff>
      <xdr:row>23</xdr:row>
      <xdr:rowOff>99060</xdr:rowOff>
    </xdr:to>
    <xdr:sp macro="" textlink="">
      <xdr:nvSpPr>
        <xdr:cNvPr id="88109" name="Line 45">
          <a:extLst>
            <a:ext uri="{FF2B5EF4-FFF2-40B4-BE49-F238E27FC236}">
              <a16:creationId xmlns:a16="http://schemas.microsoft.com/office/drawing/2014/main" id="{59AB5F1C-9923-47D7-9335-67D3E0645F8A}"/>
            </a:ext>
          </a:extLst>
        </xdr:cNvPr>
        <xdr:cNvSpPr>
          <a:spLocks noChangeShapeType="1"/>
        </xdr:cNvSpPr>
      </xdr:nvSpPr>
      <xdr:spPr bwMode="auto">
        <a:xfrm>
          <a:off x="1706118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22860</xdr:colOff>
      <xdr:row>23</xdr:row>
      <xdr:rowOff>60960</xdr:rowOff>
    </xdr:from>
    <xdr:to>
      <xdr:col>56</xdr:col>
      <xdr:colOff>45720</xdr:colOff>
      <xdr:row>23</xdr:row>
      <xdr:rowOff>83820</xdr:rowOff>
    </xdr:to>
    <xdr:sp macro="" textlink="">
      <xdr:nvSpPr>
        <xdr:cNvPr id="88110" name="Line 46">
          <a:extLst>
            <a:ext uri="{FF2B5EF4-FFF2-40B4-BE49-F238E27FC236}">
              <a16:creationId xmlns:a16="http://schemas.microsoft.com/office/drawing/2014/main" id="{BADAF2EB-BB75-471C-A4BB-C60E7975F697}"/>
            </a:ext>
          </a:extLst>
        </xdr:cNvPr>
        <xdr:cNvSpPr>
          <a:spLocks noChangeShapeType="1"/>
        </xdr:cNvSpPr>
      </xdr:nvSpPr>
      <xdr:spPr bwMode="auto">
        <a:xfrm flipH="1" flipV="1">
          <a:off x="1712214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601980</xdr:colOff>
      <xdr:row>23</xdr:row>
      <xdr:rowOff>60960</xdr:rowOff>
    </xdr:from>
    <xdr:to>
      <xdr:col>56</xdr:col>
      <xdr:colOff>22860</xdr:colOff>
      <xdr:row>23</xdr:row>
      <xdr:rowOff>99060</xdr:rowOff>
    </xdr:to>
    <xdr:sp macro="" textlink="">
      <xdr:nvSpPr>
        <xdr:cNvPr id="88111" name="Line 47">
          <a:extLst>
            <a:ext uri="{FF2B5EF4-FFF2-40B4-BE49-F238E27FC236}">
              <a16:creationId xmlns:a16="http://schemas.microsoft.com/office/drawing/2014/main" id="{7DB787A5-6714-43BC-BF1D-0D3F9B87EAE7}"/>
            </a:ext>
          </a:extLst>
        </xdr:cNvPr>
        <xdr:cNvSpPr>
          <a:spLocks noChangeShapeType="1"/>
        </xdr:cNvSpPr>
      </xdr:nvSpPr>
      <xdr:spPr bwMode="auto">
        <a:xfrm flipV="1">
          <a:off x="17076420" y="3947160"/>
          <a:ext cx="4572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114300</xdr:colOff>
      <xdr:row>21</xdr:row>
      <xdr:rowOff>45720</xdr:rowOff>
    </xdr:from>
    <xdr:to>
      <xdr:col>57</xdr:col>
      <xdr:colOff>114300</xdr:colOff>
      <xdr:row>23</xdr:row>
      <xdr:rowOff>76200</xdr:rowOff>
    </xdr:to>
    <xdr:sp macro="" textlink="">
      <xdr:nvSpPr>
        <xdr:cNvPr id="88112" name="Line 48">
          <a:extLst>
            <a:ext uri="{FF2B5EF4-FFF2-40B4-BE49-F238E27FC236}">
              <a16:creationId xmlns:a16="http://schemas.microsoft.com/office/drawing/2014/main" id="{72EDD14F-FB1C-42AB-B628-13932D1E55F1}"/>
            </a:ext>
          </a:extLst>
        </xdr:cNvPr>
        <xdr:cNvSpPr>
          <a:spLocks noChangeShapeType="1"/>
        </xdr:cNvSpPr>
      </xdr:nvSpPr>
      <xdr:spPr bwMode="auto">
        <a:xfrm>
          <a:off x="1783842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266700</xdr:colOff>
      <xdr:row>21</xdr:row>
      <xdr:rowOff>45720</xdr:rowOff>
    </xdr:from>
    <xdr:to>
      <xdr:col>57</xdr:col>
      <xdr:colOff>266700</xdr:colOff>
      <xdr:row>23</xdr:row>
      <xdr:rowOff>76200</xdr:rowOff>
    </xdr:to>
    <xdr:sp macro="" textlink="">
      <xdr:nvSpPr>
        <xdr:cNvPr id="88113" name="Line 49">
          <a:extLst>
            <a:ext uri="{FF2B5EF4-FFF2-40B4-BE49-F238E27FC236}">
              <a16:creationId xmlns:a16="http://schemas.microsoft.com/office/drawing/2014/main" id="{93539EE8-20D1-49F9-B450-33D770451437}"/>
            </a:ext>
          </a:extLst>
        </xdr:cNvPr>
        <xdr:cNvSpPr>
          <a:spLocks noChangeShapeType="1"/>
        </xdr:cNvSpPr>
      </xdr:nvSpPr>
      <xdr:spPr bwMode="auto">
        <a:xfrm>
          <a:off x="17990820" y="3596640"/>
          <a:ext cx="0" cy="3657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38100</xdr:colOff>
      <xdr:row>23</xdr:row>
      <xdr:rowOff>76200</xdr:rowOff>
    </xdr:from>
    <xdr:to>
      <xdr:col>57</xdr:col>
      <xdr:colOff>144780</xdr:colOff>
      <xdr:row>23</xdr:row>
      <xdr:rowOff>76200</xdr:rowOff>
    </xdr:to>
    <xdr:sp macro="" textlink="">
      <xdr:nvSpPr>
        <xdr:cNvPr id="88114" name="Line 50">
          <a:extLst>
            <a:ext uri="{FF2B5EF4-FFF2-40B4-BE49-F238E27FC236}">
              <a16:creationId xmlns:a16="http://schemas.microsoft.com/office/drawing/2014/main" id="{EEE5CA7E-0CC9-46AA-821F-391A4531CAB4}"/>
            </a:ext>
          </a:extLst>
        </xdr:cNvPr>
        <xdr:cNvSpPr>
          <a:spLocks noChangeShapeType="1"/>
        </xdr:cNvSpPr>
      </xdr:nvSpPr>
      <xdr:spPr bwMode="auto">
        <a:xfrm>
          <a:off x="1776222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220980</xdr:colOff>
      <xdr:row>23</xdr:row>
      <xdr:rowOff>76200</xdr:rowOff>
    </xdr:from>
    <xdr:to>
      <xdr:col>57</xdr:col>
      <xdr:colOff>327660</xdr:colOff>
      <xdr:row>23</xdr:row>
      <xdr:rowOff>76200</xdr:rowOff>
    </xdr:to>
    <xdr:sp macro="" textlink="">
      <xdr:nvSpPr>
        <xdr:cNvPr id="88115" name="Line 51">
          <a:extLst>
            <a:ext uri="{FF2B5EF4-FFF2-40B4-BE49-F238E27FC236}">
              <a16:creationId xmlns:a16="http://schemas.microsoft.com/office/drawing/2014/main" id="{04EA3051-5662-4FFE-A0E4-FDB35F6752B8}"/>
            </a:ext>
          </a:extLst>
        </xdr:cNvPr>
        <xdr:cNvSpPr>
          <a:spLocks noChangeShapeType="1"/>
        </xdr:cNvSpPr>
      </xdr:nvSpPr>
      <xdr:spPr bwMode="auto">
        <a:xfrm>
          <a:off x="17945100" y="3962400"/>
          <a:ext cx="106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144780</xdr:colOff>
      <xdr:row>23</xdr:row>
      <xdr:rowOff>76200</xdr:rowOff>
    </xdr:from>
    <xdr:to>
      <xdr:col>57</xdr:col>
      <xdr:colOff>167640</xdr:colOff>
      <xdr:row>23</xdr:row>
      <xdr:rowOff>99060</xdr:rowOff>
    </xdr:to>
    <xdr:sp macro="" textlink="">
      <xdr:nvSpPr>
        <xdr:cNvPr id="88116" name="Line 52">
          <a:extLst>
            <a:ext uri="{FF2B5EF4-FFF2-40B4-BE49-F238E27FC236}">
              <a16:creationId xmlns:a16="http://schemas.microsoft.com/office/drawing/2014/main" id="{F6402DDF-73A7-4350-B40B-0FF36EA64490}"/>
            </a:ext>
          </a:extLst>
        </xdr:cNvPr>
        <xdr:cNvSpPr>
          <a:spLocks noChangeShapeType="1"/>
        </xdr:cNvSpPr>
      </xdr:nvSpPr>
      <xdr:spPr bwMode="auto">
        <a:xfrm>
          <a:off x="17868900" y="396240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205740</xdr:colOff>
      <xdr:row>23</xdr:row>
      <xdr:rowOff>60960</xdr:rowOff>
    </xdr:from>
    <xdr:to>
      <xdr:col>57</xdr:col>
      <xdr:colOff>228600</xdr:colOff>
      <xdr:row>23</xdr:row>
      <xdr:rowOff>83820</xdr:rowOff>
    </xdr:to>
    <xdr:sp macro="" textlink="">
      <xdr:nvSpPr>
        <xdr:cNvPr id="88117" name="Line 53">
          <a:extLst>
            <a:ext uri="{FF2B5EF4-FFF2-40B4-BE49-F238E27FC236}">
              <a16:creationId xmlns:a16="http://schemas.microsoft.com/office/drawing/2014/main" id="{7801CBF4-836D-4179-AF03-76CE956CCE76}"/>
            </a:ext>
          </a:extLst>
        </xdr:cNvPr>
        <xdr:cNvSpPr>
          <a:spLocks noChangeShapeType="1"/>
        </xdr:cNvSpPr>
      </xdr:nvSpPr>
      <xdr:spPr bwMode="auto">
        <a:xfrm flipH="1" flipV="1">
          <a:off x="17929860" y="3947160"/>
          <a:ext cx="22860" cy="22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167640</xdr:colOff>
      <xdr:row>23</xdr:row>
      <xdr:rowOff>60960</xdr:rowOff>
    </xdr:from>
    <xdr:to>
      <xdr:col>57</xdr:col>
      <xdr:colOff>205740</xdr:colOff>
      <xdr:row>23</xdr:row>
      <xdr:rowOff>99060</xdr:rowOff>
    </xdr:to>
    <xdr:sp macro="" textlink="">
      <xdr:nvSpPr>
        <xdr:cNvPr id="88118" name="Line 54">
          <a:extLst>
            <a:ext uri="{FF2B5EF4-FFF2-40B4-BE49-F238E27FC236}">
              <a16:creationId xmlns:a16="http://schemas.microsoft.com/office/drawing/2014/main" id="{CE9E6709-A827-4CD8-B969-F431D976A18D}"/>
            </a:ext>
          </a:extLst>
        </xdr:cNvPr>
        <xdr:cNvSpPr>
          <a:spLocks noChangeShapeType="1"/>
        </xdr:cNvSpPr>
      </xdr:nvSpPr>
      <xdr:spPr bwMode="auto">
        <a:xfrm flipV="1">
          <a:off x="17891760" y="3947160"/>
          <a:ext cx="3810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556260</xdr:colOff>
      <xdr:row>20</xdr:row>
      <xdr:rowOff>160020</xdr:rowOff>
    </xdr:from>
    <xdr:to>
      <xdr:col>55</xdr:col>
      <xdr:colOff>556260</xdr:colOff>
      <xdr:row>21</xdr:row>
      <xdr:rowOff>45720</xdr:rowOff>
    </xdr:to>
    <xdr:sp macro="" textlink="">
      <xdr:nvSpPr>
        <xdr:cNvPr id="88119" name="Line 55">
          <a:extLst>
            <a:ext uri="{FF2B5EF4-FFF2-40B4-BE49-F238E27FC236}">
              <a16:creationId xmlns:a16="http://schemas.microsoft.com/office/drawing/2014/main" id="{D53441B4-BFF3-4C09-AD6A-E29BC35BC746}"/>
            </a:ext>
          </a:extLst>
        </xdr:cNvPr>
        <xdr:cNvSpPr>
          <a:spLocks noChangeShapeType="1"/>
        </xdr:cNvSpPr>
      </xdr:nvSpPr>
      <xdr:spPr bwMode="auto">
        <a:xfrm flipV="1">
          <a:off x="1703070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56</xdr:col>
      <xdr:colOff>76200</xdr:colOff>
      <xdr:row>20</xdr:row>
      <xdr:rowOff>160020</xdr:rowOff>
    </xdr:from>
    <xdr:to>
      <xdr:col>56</xdr:col>
      <xdr:colOff>76200</xdr:colOff>
      <xdr:row>21</xdr:row>
      <xdr:rowOff>45720</xdr:rowOff>
    </xdr:to>
    <xdr:sp macro="" textlink="">
      <xdr:nvSpPr>
        <xdr:cNvPr id="88120" name="Line 56">
          <a:extLst>
            <a:ext uri="{FF2B5EF4-FFF2-40B4-BE49-F238E27FC236}">
              <a16:creationId xmlns:a16="http://schemas.microsoft.com/office/drawing/2014/main" id="{1826E7DA-C6CE-4D63-AA10-7A34BD123CAA}"/>
            </a:ext>
          </a:extLst>
        </xdr:cNvPr>
        <xdr:cNvSpPr>
          <a:spLocks noChangeShapeType="1"/>
        </xdr:cNvSpPr>
      </xdr:nvSpPr>
      <xdr:spPr bwMode="auto">
        <a:xfrm flipV="1">
          <a:off x="1717548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114300</xdr:colOff>
      <xdr:row>20</xdr:row>
      <xdr:rowOff>160020</xdr:rowOff>
    </xdr:from>
    <xdr:to>
      <xdr:col>57</xdr:col>
      <xdr:colOff>114300</xdr:colOff>
      <xdr:row>21</xdr:row>
      <xdr:rowOff>45720</xdr:rowOff>
    </xdr:to>
    <xdr:sp macro="" textlink="">
      <xdr:nvSpPr>
        <xdr:cNvPr id="88121" name="Line 57">
          <a:extLst>
            <a:ext uri="{FF2B5EF4-FFF2-40B4-BE49-F238E27FC236}">
              <a16:creationId xmlns:a16="http://schemas.microsoft.com/office/drawing/2014/main" id="{DB400A30-4E76-4A4F-AB16-561C300B83E5}"/>
            </a:ext>
          </a:extLst>
        </xdr:cNvPr>
        <xdr:cNvSpPr>
          <a:spLocks noChangeShapeType="1"/>
        </xdr:cNvSpPr>
      </xdr:nvSpPr>
      <xdr:spPr bwMode="auto">
        <a:xfrm flipV="1">
          <a:off x="1783842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266700</xdr:colOff>
      <xdr:row>20</xdr:row>
      <xdr:rowOff>160020</xdr:rowOff>
    </xdr:from>
    <xdr:to>
      <xdr:col>57</xdr:col>
      <xdr:colOff>266700</xdr:colOff>
      <xdr:row>21</xdr:row>
      <xdr:rowOff>45720</xdr:rowOff>
    </xdr:to>
    <xdr:sp macro="" textlink="">
      <xdr:nvSpPr>
        <xdr:cNvPr id="88122" name="Line 58">
          <a:extLst>
            <a:ext uri="{FF2B5EF4-FFF2-40B4-BE49-F238E27FC236}">
              <a16:creationId xmlns:a16="http://schemas.microsoft.com/office/drawing/2014/main" id="{1D4B2DB7-C3BA-4A8E-852F-2515A3D9617E}"/>
            </a:ext>
          </a:extLst>
        </xdr:cNvPr>
        <xdr:cNvSpPr>
          <a:spLocks noChangeShapeType="1"/>
        </xdr:cNvSpPr>
      </xdr:nvSpPr>
      <xdr:spPr bwMode="auto">
        <a:xfrm flipV="1">
          <a:off x="17990820" y="3543300"/>
          <a:ext cx="0" cy="5334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55</xdr:col>
      <xdr:colOff>556260</xdr:colOff>
      <xdr:row>21</xdr:row>
      <xdr:rowOff>0</xdr:rowOff>
    </xdr:from>
    <xdr:to>
      <xdr:col>56</xdr:col>
      <xdr:colOff>76200</xdr:colOff>
      <xdr:row>21</xdr:row>
      <xdr:rowOff>0</xdr:rowOff>
    </xdr:to>
    <xdr:sp macro="" textlink="">
      <xdr:nvSpPr>
        <xdr:cNvPr id="88123" name="Line 59">
          <a:extLst>
            <a:ext uri="{FF2B5EF4-FFF2-40B4-BE49-F238E27FC236}">
              <a16:creationId xmlns:a16="http://schemas.microsoft.com/office/drawing/2014/main" id="{2FCE46B6-F653-47CE-AFEB-EA0FC8DA1F0C}"/>
            </a:ext>
          </a:extLst>
        </xdr:cNvPr>
        <xdr:cNvSpPr>
          <a:spLocks noChangeShapeType="1"/>
        </xdr:cNvSpPr>
      </xdr:nvSpPr>
      <xdr:spPr bwMode="auto">
        <a:xfrm>
          <a:off x="1703070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57</xdr:col>
      <xdr:colOff>114300</xdr:colOff>
      <xdr:row>21</xdr:row>
      <xdr:rowOff>0</xdr:rowOff>
    </xdr:from>
    <xdr:to>
      <xdr:col>57</xdr:col>
      <xdr:colOff>259080</xdr:colOff>
      <xdr:row>21</xdr:row>
      <xdr:rowOff>0</xdr:rowOff>
    </xdr:to>
    <xdr:sp macro="" textlink="">
      <xdr:nvSpPr>
        <xdr:cNvPr id="88124" name="Line 60">
          <a:extLst>
            <a:ext uri="{FF2B5EF4-FFF2-40B4-BE49-F238E27FC236}">
              <a16:creationId xmlns:a16="http://schemas.microsoft.com/office/drawing/2014/main" id="{701FE3B3-430A-4CEE-A69F-742E39D3AFBA}"/>
            </a:ext>
          </a:extLst>
        </xdr:cNvPr>
        <xdr:cNvSpPr>
          <a:spLocks noChangeShapeType="1"/>
        </xdr:cNvSpPr>
      </xdr:nvSpPr>
      <xdr:spPr bwMode="auto">
        <a:xfrm>
          <a:off x="17838420" y="355092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55</xdr:col>
      <xdr:colOff>617220</xdr:colOff>
      <xdr:row>18</xdr:row>
      <xdr:rowOff>160020</xdr:rowOff>
    </xdr:from>
    <xdr:to>
      <xdr:col>56</xdr:col>
      <xdr:colOff>213360</xdr:colOff>
      <xdr:row>18</xdr:row>
      <xdr:rowOff>160020</xdr:rowOff>
    </xdr:to>
    <xdr:sp macro="" textlink="">
      <xdr:nvSpPr>
        <xdr:cNvPr id="88125" name="Line 61">
          <a:extLst>
            <a:ext uri="{FF2B5EF4-FFF2-40B4-BE49-F238E27FC236}">
              <a16:creationId xmlns:a16="http://schemas.microsoft.com/office/drawing/2014/main" id="{F3B76705-1199-4824-8FFC-5644FD85EC2F}"/>
            </a:ext>
          </a:extLst>
        </xdr:cNvPr>
        <xdr:cNvSpPr>
          <a:spLocks noChangeShapeType="1"/>
        </xdr:cNvSpPr>
      </xdr:nvSpPr>
      <xdr:spPr bwMode="auto">
        <a:xfrm>
          <a:off x="17091660" y="3208020"/>
          <a:ext cx="2209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55</xdr:col>
      <xdr:colOff>236220</xdr:colOff>
      <xdr:row>21</xdr:row>
      <xdr:rowOff>0</xdr:rowOff>
    </xdr:from>
    <xdr:to>
      <xdr:col>55</xdr:col>
      <xdr:colOff>518160</xdr:colOff>
      <xdr:row>21</xdr:row>
      <xdr:rowOff>0</xdr:rowOff>
    </xdr:to>
    <xdr:sp macro="" textlink="">
      <xdr:nvSpPr>
        <xdr:cNvPr id="88126" name="Line 62">
          <a:extLst>
            <a:ext uri="{FF2B5EF4-FFF2-40B4-BE49-F238E27FC236}">
              <a16:creationId xmlns:a16="http://schemas.microsoft.com/office/drawing/2014/main" id="{4B298261-18BA-4AE7-963D-658DBBBF5038}"/>
            </a:ext>
          </a:extLst>
        </xdr:cNvPr>
        <xdr:cNvSpPr>
          <a:spLocks noChangeShapeType="1"/>
        </xdr:cNvSpPr>
      </xdr:nvSpPr>
      <xdr:spPr bwMode="auto">
        <a:xfrm>
          <a:off x="16710660" y="355092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236220</xdr:colOff>
      <xdr:row>18</xdr:row>
      <xdr:rowOff>160020</xdr:rowOff>
    </xdr:from>
    <xdr:to>
      <xdr:col>55</xdr:col>
      <xdr:colOff>579120</xdr:colOff>
      <xdr:row>18</xdr:row>
      <xdr:rowOff>160020</xdr:rowOff>
    </xdr:to>
    <xdr:sp macro="" textlink="">
      <xdr:nvSpPr>
        <xdr:cNvPr id="88127" name="Line 63">
          <a:extLst>
            <a:ext uri="{FF2B5EF4-FFF2-40B4-BE49-F238E27FC236}">
              <a16:creationId xmlns:a16="http://schemas.microsoft.com/office/drawing/2014/main" id="{3EAE2D6A-A989-4028-9321-6C261F1A2336}"/>
            </a:ext>
          </a:extLst>
        </xdr:cNvPr>
        <xdr:cNvSpPr>
          <a:spLocks noChangeShapeType="1"/>
        </xdr:cNvSpPr>
      </xdr:nvSpPr>
      <xdr:spPr bwMode="auto">
        <a:xfrm>
          <a:off x="16710660" y="320802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320040</xdr:colOff>
      <xdr:row>18</xdr:row>
      <xdr:rowOff>160020</xdr:rowOff>
    </xdr:from>
    <xdr:to>
      <xdr:col>55</xdr:col>
      <xdr:colOff>320040</xdr:colOff>
      <xdr:row>21</xdr:row>
      <xdr:rowOff>0</xdr:rowOff>
    </xdr:to>
    <xdr:sp macro="" textlink="">
      <xdr:nvSpPr>
        <xdr:cNvPr id="88128" name="Line 64">
          <a:extLst>
            <a:ext uri="{FF2B5EF4-FFF2-40B4-BE49-F238E27FC236}">
              <a16:creationId xmlns:a16="http://schemas.microsoft.com/office/drawing/2014/main" id="{91C50898-7908-4B2E-AAD8-DAF6B74E1A26}"/>
            </a:ext>
          </a:extLst>
        </xdr:cNvPr>
        <xdr:cNvSpPr>
          <a:spLocks noChangeShapeType="1"/>
        </xdr:cNvSpPr>
      </xdr:nvSpPr>
      <xdr:spPr bwMode="auto">
        <a:xfrm>
          <a:off x="16794480" y="320802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56</xdr:col>
      <xdr:colOff>411480</xdr:colOff>
      <xdr:row>16</xdr:row>
      <xdr:rowOff>45720</xdr:rowOff>
    </xdr:from>
    <xdr:to>
      <xdr:col>56</xdr:col>
      <xdr:colOff>411480</xdr:colOff>
      <xdr:row>18</xdr:row>
      <xdr:rowOff>144780</xdr:rowOff>
    </xdr:to>
    <xdr:sp macro="" textlink="">
      <xdr:nvSpPr>
        <xdr:cNvPr id="88129" name="Line 65">
          <a:extLst>
            <a:ext uri="{FF2B5EF4-FFF2-40B4-BE49-F238E27FC236}">
              <a16:creationId xmlns:a16="http://schemas.microsoft.com/office/drawing/2014/main" id="{53F65E04-F6B3-44F8-A226-06B3C32F5598}"/>
            </a:ext>
          </a:extLst>
        </xdr:cNvPr>
        <xdr:cNvSpPr>
          <a:spLocks noChangeShapeType="1"/>
        </xdr:cNvSpPr>
      </xdr:nvSpPr>
      <xdr:spPr bwMode="auto">
        <a:xfrm>
          <a:off x="17510760" y="2758440"/>
          <a:ext cx="0" cy="434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noFill/>
            </a14:hiddenFill>
          </a:ext>
        </a:extLst>
      </xdr:spPr>
    </xdr:sp>
    <xdr:clientData/>
  </xdr:twoCellAnchor>
  <xdr:twoCellAnchor>
    <xdr:from>
      <xdr:col>56</xdr:col>
      <xdr:colOff>76200</xdr:colOff>
      <xdr:row>24</xdr:row>
      <xdr:rowOff>0</xdr:rowOff>
    </xdr:from>
    <xdr:to>
      <xdr:col>57</xdr:col>
      <xdr:colOff>137160</xdr:colOff>
      <xdr:row>25</xdr:row>
      <xdr:rowOff>60960</xdr:rowOff>
    </xdr:to>
    <xdr:sp macro="" textlink="">
      <xdr:nvSpPr>
        <xdr:cNvPr id="88130" name="Text Box 66">
          <a:extLst>
            <a:ext uri="{FF2B5EF4-FFF2-40B4-BE49-F238E27FC236}">
              <a16:creationId xmlns:a16="http://schemas.microsoft.com/office/drawing/2014/main" id="{7315720B-C42C-4255-8551-1B69A9BDFB8F}"/>
            </a:ext>
          </a:extLst>
        </xdr:cNvPr>
        <xdr:cNvSpPr txBox="1">
          <a:spLocks noChangeArrowheads="1"/>
        </xdr:cNvSpPr>
      </xdr:nvSpPr>
      <xdr:spPr bwMode="auto">
        <a:xfrm>
          <a:off x="17175480" y="4053840"/>
          <a:ext cx="685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Elevation</a:t>
          </a:r>
        </a:p>
      </xdr:txBody>
    </xdr:sp>
    <xdr:clientData/>
  </xdr:twoCellAnchor>
  <xdr:twoCellAnchor>
    <xdr:from>
      <xdr:col>56</xdr:col>
      <xdr:colOff>236220</xdr:colOff>
      <xdr:row>14</xdr:row>
      <xdr:rowOff>0</xdr:rowOff>
    </xdr:from>
    <xdr:to>
      <xdr:col>57</xdr:col>
      <xdr:colOff>7620</xdr:colOff>
      <xdr:row>15</xdr:row>
      <xdr:rowOff>38100</xdr:rowOff>
    </xdr:to>
    <xdr:sp macro="" textlink="">
      <xdr:nvSpPr>
        <xdr:cNvPr id="88131" name="Text Box 67">
          <a:extLst>
            <a:ext uri="{FF2B5EF4-FFF2-40B4-BE49-F238E27FC236}">
              <a16:creationId xmlns:a16="http://schemas.microsoft.com/office/drawing/2014/main" id="{14A12DCE-2197-493A-A257-14B82EA74236}"/>
            </a:ext>
          </a:extLst>
        </xdr:cNvPr>
        <xdr:cNvSpPr txBox="1">
          <a:spLocks noChangeArrowheads="1"/>
        </xdr:cNvSpPr>
      </xdr:nvSpPr>
      <xdr:spPr bwMode="auto">
        <a:xfrm>
          <a:off x="17335500" y="2377440"/>
          <a:ext cx="39624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Plan</a:t>
          </a:r>
        </a:p>
      </xdr:txBody>
    </xdr:sp>
    <xdr:clientData/>
  </xdr:twoCellAnchor>
  <xdr:twoCellAnchor>
    <xdr:from>
      <xdr:col>55</xdr:col>
      <xdr:colOff>556260</xdr:colOff>
      <xdr:row>11</xdr:row>
      <xdr:rowOff>129540</xdr:rowOff>
    </xdr:from>
    <xdr:to>
      <xdr:col>56</xdr:col>
      <xdr:colOff>76200</xdr:colOff>
      <xdr:row>12</xdr:row>
      <xdr:rowOff>106680</xdr:rowOff>
    </xdr:to>
    <xdr:sp macro="" textlink="">
      <xdr:nvSpPr>
        <xdr:cNvPr id="88132" name="Oval 68">
          <a:extLst>
            <a:ext uri="{FF2B5EF4-FFF2-40B4-BE49-F238E27FC236}">
              <a16:creationId xmlns:a16="http://schemas.microsoft.com/office/drawing/2014/main" id="{5C6D1FA8-90A5-4B6A-A412-E157FAC0E42E}"/>
            </a:ext>
          </a:extLst>
        </xdr:cNvPr>
        <xdr:cNvSpPr>
          <a:spLocks noChangeArrowheads="1"/>
        </xdr:cNvSpPr>
      </xdr:nvSpPr>
      <xdr:spPr bwMode="auto">
        <a:xfrm>
          <a:off x="17030700" y="2004060"/>
          <a:ext cx="14478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55</xdr:col>
      <xdr:colOff>556260</xdr:colOff>
      <xdr:row>7</xdr:row>
      <xdr:rowOff>38100</xdr:rowOff>
    </xdr:from>
    <xdr:to>
      <xdr:col>56</xdr:col>
      <xdr:colOff>76200</xdr:colOff>
      <xdr:row>8</xdr:row>
      <xdr:rowOff>22860</xdr:rowOff>
    </xdr:to>
    <xdr:sp macro="" textlink="">
      <xdr:nvSpPr>
        <xdr:cNvPr id="88133" name="Oval 69">
          <a:extLst>
            <a:ext uri="{FF2B5EF4-FFF2-40B4-BE49-F238E27FC236}">
              <a16:creationId xmlns:a16="http://schemas.microsoft.com/office/drawing/2014/main" id="{9264546C-58C5-4B2A-9D92-1EAB9A078B75}"/>
            </a:ext>
          </a:extLst>
        </xdr:cNvPr>
        <xdr:cNvSpPr>
          <a:spLocks noChangeArrowheads="1"/>
        </xdr:cNvSpPr>
      </xdr:nvSpPr>
      <xdr:spPr bwMode="auto">
        <a:xfrm>
          <a:off x="17030700" y="1242060"/>
          <a:ext cx="14478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57</xdr:col>
      <xdr:colOff>114300</xdr:colOff>
      <xdr:row>11</xdr:row>
      <xdr:rowOff>129540</xdr:rowOff>
    </xdr:from>
    <xdr:to>
      <xdr:col>57</xdr:col>
      <xdr:colOff>266700</xdr:colOff>
      <xdr:row>12</xdr:row>
      <xdr:rowOff>106680</xdr:rowOff>
    </xdr:to>
    <xdr:sp macro="" textlink="">
      <xdr:nvSpPr>
        <xdr:cNvPr id="88134" name="Oval 70">
          <a:extLst>
            <a:ext uri="{FF2B5EF4-FFF2-40B4-BE49-F238E27FC236}">
              <a16:creationId xmlns:a16="http://schemas.microsoft.com/office/drawing/2014/main" id="{A9AB1D46-6DF5-4431-8AE4-2B4F7D202613}"/>
            </a:ext>
          </a:extLst>
        </xdr:cNvPr>
        <xdr:cNvSpPr>
          <a:spLocks noChangeArrowheads="1"/>
        </xdr:cNvSpPr>
      </xdr:nvSpPr>
      <xdr:spPr bwMode="auto">
        <a:xfrm>
          <a:off x="17838420" y="2004060"/>
          <a:ext cx="152400" cy="1447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57</xdr:col>
      <xdr:colOff>114300</xdr:colOff>
      <xdr:row>7</xdr:row>
      <xdr:rowOff>38100</xdr:rowOff>
    </xdr:from>
    <xdr:to>
      <xdr:col>57</xdr:col>
      <xdr:colOff>266700</xdr:colOff>
      <xdr:row>8</xdr:row>
      <xdr:rowOff>22860</xdr:rowOff>
    </xdr:to>
    <xdr:sp macro="" textlink="">
      <xdr:nvSpPr>
        <xdr:cNvPr id="88135" name="Oval 71">
          <a:extLst>
            <a:ext uri="{FF2B5EF4-FFF2-40B4-BE49-F238E27FC236}">
              <a16:creationId xmlns:a16="http://schemas.microsoft.com/office/drawing/2014/main" id="{F574386F-029D-42B1-BB44-809635B07A35}"/>
            </a:ext>
          </a:extLst>
        </xdr:cNvPr>
        <xdr:cNvSpPr>
          <a:spLocks noChangeArrowheads="1"/>
        </xdr:cNvSpPr>
      </xdr:nvSpPr>
      <xdr:spPr bwMode="auto">
        <a:xfrm>
          <a:off x="17838420" y="1242060"/>
          <a:ext cx="152400" cy="15240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56</xdr:col>
      <xdr:colOff>251460</xdr:colOff>
      <xdr:row>9</xdr:row>
      <xdr:rowOff>0</xdr:rowOff>
    </xdr:from>
    <xdr:to>
      <xdr:col>56</xdr:col>
      <xdr:colOff>563880</xdr:colOff>
      <xdr:row>10</xdr:row>
      <xdr:rowOff>144780</xdr:rowOff>
    </xdr:to>
    <xdr:sp macro="" textlink="">
      <xdr:nvSpPr>
        <xdr:cNvPr id="88136" name="Rectangle 72">
          <a:extLst>
            <a:ext uri="{FF2B5EF4-FFF2-40B4-BE49-F238E27FC236}">
              <a16:creationId xmlns:a16="http://schemas.microsoft.com/office/drawing/2014/main" id="{05E07BEA-E59C-4CC1-B65E-83BC9477C5CC}"/>
            </a:ext>
          </a:extLst>
        </xdr:cNvPr>
        <xdr:cNvSpPr>
          <a:spLocks noChangeArrowheads="1"/>
        </xdr:cNvSpPr>
      </xdr:nvSpPr>
      <xdr:spPr bwMode="auto">
        <a:xfrm>
          <a:off x="17350740" y="1539240"/>
          <a:ext cx="312420" cy="3124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sp>
    <xdr:clientData/>
  </xdr:twoCellAnchor>
  <xdr:twoCellAnchor>
    <xdr:from>
      <xdr:col>56</xdr:col>
      <xdr:colOff>411480</xdr:colOff>
      <xdr:row>7</xdr:row>
      <xdr:rowOff>129540</xdr:rowOff>
    </xdr:from>
    <xdr:to>
      <xdr:col>56</xdr:col>
      <xdr:colOff>411480</xdr:colOff>
      <xdr:row>9</xdr:row>
      <xdr:rowOff>137160</xdr:rowOff>
    </xdr:to>
    <xdr:sp macro="" textlink="">
      <xdr:nvSpPr>
        <xdr:cNvPr id="88137" name="Line 73">
          <a:extLst>
            <a:ext uri="{FF2B5EF4-FFF2-40B4-BE49-F238E27FC236}">
              <a16:creationId xmlns:a16="http://schemas.microsoft.com/office/drawing/2014/main" id="{3B17E5E2-8862-4DFE-AFEF-41C92CB29B3F}"/>
            </a:ext>
          </a:extLst>
        </xdr:cNvPr>
        <xdr:cNvSpPr>
          <a:spLocks noChangeShapeType="1"/>
        </xdr:cNvSpPr>
      </xdr:nvSpPr>
      <xdr:spPr bwMode="auto">
        <a:xfrm flipV="1">
          <a:off x="17510760" y="13335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426720</xdr:colOff>
      <xdr:row>9</xdr:row>
      <xdr:rowOff>160020</xdr:rowOff>
    </xdr:from>
    <xdr:to>
      <xdr:col>57</xdr:col>
      <xdr:colOff>175260</xdr:colOff>
      <xdr:row>9</xdr:row>
      <xdr:rowOff>160020</xdr:rowOff>
    </xdr:to>
    <xdr:sp macro="" textlink="">
      <xdr:nvSpPr>
        <xdr:cNvPr id="88138" name="Line 74">
          <a:extLst>
            <a:ext uri="{FF2B5EF4-FFF2-40B4-BE49-F238E27FC236}">
              <a16:creationId xmlns:a16="http://schemas.microsoft.com/office/drawing/2014/main" id="{3F01BBB8-717E-4572-9A7B-C14A5D2D6242}"/>
            </a:ext>
          </a:extLst>
        </xdr:cNvPr>
        <xdr:cNvSpPr>
          <a:spLocks noChangeShapeType="1"/>
        </xdr:cNvSpPr>
      </xdr:nvSpPr>
      <xdr:spPr bwMode="auto">
        <a:xfrm>
          <a:off x="17526000" y="1699260"/>
          <a:ext cx="3733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441960</xdr:colOff>
      <xdr:row>8</xdr:row>
      <xdr:rowOff>68580</xdr:rowOff>
    </xdr:from>
    <xdr:to>
      <xdr:col>56</xdr:col>
      <xdr:colOff>411480</xdr:colOff>
      <xdr:row>8</xdr:row>
      <xdr:rowOff>68580</xdr:rowOff>
    </xdr:to>
    <xdr:sp macro="" textlink="">
      <xdr:nvSpPr>
        <xdr:cNvPr id="88139" name="Line 75">
          <a:extLst>
            <a:ext uri="{FF2B5EF4-FFF2-40B4-BE49-F238E27FC236}">
              <a16:creationId xmlns:a16="http://schemas.microsoft.com/office/drawing/2014/main" id="{B7ED3FD4-192A-4CAF-8CCD-4FD80C4E0469}"/>
            </a:ext>
          </a:extLst>
        </xdr:cNvPr>
        <xdr:cNvSpPr>
          <a:spLocks noChangeShapeType="1"/>
        </xdr:cNvSpPr>
      </xdr:nvSpPr>
      <xdr:spPr bwMode="auto">
        <a:xfrm>
          <a:off x="16916400" y="1440180"/>
          <a:ext cx="594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57</xdr:col>
      <xdr:colOff>38100</xdr:colOff>
      <xdr:row>9</xdr:row>
      <xdr:rowOff>160020</xdr:rowOff>
    </xdr:from>
    <xdr:to>
      <xdr:col>57</xdr:col>
      <xdr:colOff>38100</xdr:colOff>
      <xdr:row>13</xdr:row>
      <xdr:rowOff>60960</xdr:rowOff>
    </xdr:to>
    <xdr:sp macro="" textlink="">
      <xdr:nvSpPr>
        <xdr:cNvPr id="88140" name="Line 76">
          <a:extLst>
            <a:ext uri="{FF2B5EF4-FFF2-40B4-BE49-F238E27FC236}">
              <a16:creationId xmlns:a16="http://schemas.microsoft.com/office/drawing/2014/main" id="{F45F0D4B-080C-44E8-A68C-34EA35811DB5}"/>
            </a:ext>
          </a:extLst>
        </xdr:cNvPr>
        <xdr:cNvSpPr>
          <a:spLocks noChangeShapeType="1"/>
        </xdr:cNvSpPr>
      </xdr:nvSpPr>
      <xdr:spPr bwMode="auto">
        <a:xfrm>
          <a:off x="17762220" y="169926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55</xdr:col>
      <xdr:colOff>457200</xdr:colOff>
      <xdr:row>12</xdr:row>
      <xdr:rowOff>38100</xdr:rowOff>
    </xdr:from>
    <xdr:to>
      <xdr:col>56</xdr:col>
      <xdr:colOff>7620</xdr:colOff>
      <xdr:row>13</xdr:row>
      <xdr:rowOff>68580</xdr:rowOff>
    </xdr:to>
    <xdr:sp macro="" textlink="">
      <xdr:nvSpPr>
        <xdr:cNvPr id="88141" name="Text Box 77">
          <a:extLst>
            <a:ext uri="{FF2B5EF4-FFF2-40B4-BE49-F238E27FC236}">
              <a16:creationId xmlns:a16="http://schemas.microsoft.com/office/drawing/2014/main" id="{C65130D9-DE91-411E-8CF2-ACD2DD92C6C2}"/>
            </a:ext>
          </a:extLst>
        </xdr:cNvPr>
        <xdr:cNvSpPr txBox="1">
          <a:spLocks noChangeArrowheads="1"/>
        </xdr:cNvSpPr>
      </xdr:nvSpPr>
      <xdr:spPr bwMode="auto">
        <a:xfrm>
          <a:off x="16931640" y="20802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1</a:t>
          </a:r>
        </a:p>
      </xdr:txBody>
    </xdr:sp>
    <xdr:clientData/>
  </xdr:twoCellAnchor>
  <xdr:twoCellAnchor>
    <xdr:from>
      <xdr:col>57</xdr:col>
      <xdr:colOff>243840</xdr:colOff>
      <xdr:row>12</xdr:row>
      <xdr:rowOff>45720</xdr:rowOff>
    </xdr:from>
    <xdr:to>
      <xdr:col>57</xdr:col>
      <xdr:colOff>419100</xdr:colOff>
      <xdr:row>13</xdr:row>
      <xdr:rowOff>76200</xdr:rowOff>
    </xdr:to>
    <xdr:sp macro="" textlink="">
      <xdr:nvSpPr>
        <xdr:cNvPr id="88142" name="Text Box 78">
          <a:extLst>
            <a:ext uri="{FF2B5EF4-FFF2-40B4-BE49-F238E27FC236}">
              <a16:creationId xmlns:a16="http://schemas.microsoft.com/office/drawing/2014/main" id="{4422CDBF-F6DE-4BE0-B492-33CC325A6AF0}"/>
            </a:ext>
          </a:extLst>
        </xdr:cNvPr>
        <xdr:cNvSpPr txBox="1">
          <a:spLocks noChangeArrowheads="1"/>
        </xdr:cNvSpPr>
      </xdr:nvSpPr>
      <xdr:spPr bwMode="auto">
        <a:xfrm>
          <a:off x="17967960" y="20878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2</a:t>
          </a:r>
        </a:p>
      </xdr:txBody>
    </xdr:sp>
    <xdr:clientData/>
  </xdr:twoCellAnchor>
  <xdr:twoCellAnchor>
    <xdr:from>
      <xdr:col>55</xdr:col>
      <xdr:colOff>449580</xdr:colOff>
      <xdr:row>6</xdr:row>
      <xdr:rowOff>91440</xdr:rowOff>
    </xdr:from>
    <xdr:to>
      <xdr:col>56</xdr:col>
      <xdr:colOff>0</xdr:colOff>
      <xdr:row>7</xdr:row>
      <xdr:rowOff>121920</xdr:rowOff>
    </xdr:to>
    <xdr:sp macro="" textlink="">
      <xdr:nvSpPr>
        <xdr:cNvPr id="88143" name="Text Box 79">
          <a:extLst>
            <a:ext uri="{FF2B5EF4-FFF2-40B4-BE49-F238E27FC236}">
              <a16:creationId xmlns:a16="http://schemas.microsoft.com/office/drawing/2014/main" id="{D288B7AF-A671-4B19-B5DE-F87404007FC3}"/>
            </a:ext>
          </a:extLst>
        </xdr:cNvPr>
        <xdr:cNvSpPr txBox="1">
          <a:spLocks noChangeArrowheads="1"/>
        </xdr:cNvSpPr>
      </xdr:nvSpPr>
      <xdr:spPr bwMode="auto">
        <a:xfrm>
          <a:off x="16924020" y="112776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3</a:t>
          </a:r>
        </a:p>
      </xdr:txBody>
    </xdr:sp>
    <xdr:clientData/>
  </xdr:twoCellAnchor>
  <xdr:twoCellAnchor>
    <xdr:from>
      <xdr:col>57</xdr:col>
      <xdr:colOff>243840</xdr:colOff>
      <xdr:row>6</xdr:row>
      <xdr:rowOff>99060</xdr:rowOff>
    </xdr:from>
    <xdr:to>
      <xdr:col>57</xdr:col>
      <xdr:colOff>419100</xdr:colOff>
      <xdr:row>7</xdr:row>
      <xdr:rowOff>129540</xdr:rowOff>
    </xdr:to>
    <xdr:sp macro="" textlink="">
      <xdr:nvSpPr>
        <xdr:cNvPr id="88144" name="Text Box 80">
          <a:extLst>
            <a:ext uri="{FF2B5EF4-FFF2-40B4-BE49-F238E27FC236}">
              <a16:creationId xmlns:a16="http://schemas.microsoft.com/office/drawing/2014/main" id="{29439D52-5AA2-4777-97BC-B71A770F93D4}"/>
            </a:ext>
          </a:extLst>
        </xdr:cNvPr>
        <xdr:cNvSpPr txBox="1">
          <a:spLocks noChangeArrowheads="1"/>
        </xdr:cNvSpPr>
      </xdr:nvSpPr>
      <xdr:spPr bwMode="auto">
        <a:xfrm>
          <a:off x="17967960" y="113538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4</a:t>
          </a:r>
        </a:p>
      </xdr:txBody>
    </xdr:sp>
    <xdr:clientData/>
  </xdr:twoCellAnchor>
  <xdr:twoCellAnchor>
    <xdr:from>
      <xdr:col>55</xdr:col>
      <xdr:colOff>472440</xdr:colOff>
      <xdr:row>10</xdr:row>
      <xdr:rowOff>30480</xdr:rowOff>
    </xdr:from>
    <xdr:to>
      <xdr:col>56</xdr:col>
      <xdr:colOff>106680</xdr:colOff>
      <xdr:row>11</xdr:row>
      <xdr:rowOff>76200</xdr:rowOff>
    </xdr:to>
    <xdr:sp macro="" textlink="">
      <xdr:nvSpPr>
        <xdr:cNvPr id="88145" name="Text Box 81">
          <a:extLst>
            <a:ext uri="{FF2B5EF4-FFF2-40B4-BE49-F238E27FC236}">
              <a16:creationId xmlns:a16="http://schemas.microsoft.com/office/drawing/2014/main" id="{11D906DB-C2DE-4DBE-ACBC-A43CD66F9803}"/>
            </a:ext>
          </a:extLst>
        </xdr:cNvPr>
        <xdr:cNvSpPr txBox="1">
          <a:spLocks noChangeArrowheads="1"/>
        </xdr:cNvSpPr>
      </xdr:nvSpPr>
      <xdr:spPr bwMode="auto">
        <a:xfrm>
          <a:off x="16946880" y="173736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r>
            <a:rPr lang="en-US" sz="800" b="0" i="0" u="none" strike="noStrike" baseline="0%">
              <a:solidFill>
                <a:srgbClr val="0000FF"/>
              </a:solidFill>
              <a:latin typeface="Arial"/>
              <a:cs typeface="Arial"/>
            </a:rPr>
            <a:t>o</a:t>
          </a:r>
        </a:p>
      </xdr:txBody>
    </xdr:sp>
    <xdr:clientData/>
  </xdr:twoCellAnchor>
  <xdr:twoCellAnchor>
    <xdr:from>
      <xdr:col>56</xdr:col>
      <xdr:colOff>167640</xdr:colOff>
      <xdr:row>12</xdr:row>
      <xdr:rowOff>30480</xdr:rowOff>
    </xdr:from>
    <xdr:to>
      <xdr:col>56</xdr:col>
      <xdr:colOff>426720</xdr:colOff>
      <xdr:row>13</xdr:row>
      <xdr:rowOff>76200</xdr:rowOff>
    </xdr:to>
    <xdr:sp macro="" textlink="">
      <xdr:nvSpPr>
        <xdr:cNvPr id="88146" name="Text Box 82">
          <a:extLst>
            <a:ext uri="{FF2B5EF4-FFF2-40B4-BE49-F238E27FC236}">
              <a16:creationId xmlns:a16="http://schemas.microsoft.com/office/drawing/2014/main" id="{E08353F8-507D-44AA-97EE-65C6D108F1BD}"/>
            </a:ext>
          </a:extLst>
        </xdr:cNvPr>
        <xdr:cNvSpPr txBox="1">
          <a:spLocks noChangeArrowheads="1"/>
        </xdr:cNvSpPr>
      </xdr:nvSpPr>
      <xdr:spPr bwMode="auto">
        <a:xfrm>
          <a:off x="17266920" y="207264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yo</a:t>
          </a:r>
        </a:p>
      </xdr:txBody>
    </xdr:sp>
    <xdr:clientData/>
  </xdr:twoCellAnchor>
  <xdr:twoCellAnchor>
    <xdr:from>
      <xdr:col>56</xdr:col>
      <xdr:colOff>106680</xdr:colOff>
      <xdr:row>7</xdr:row>
      <xdr:rowOff>76200</xdr:rowOff>
    </xdr:from>
    <xdr:to>
      <xdr:col>56</xdr:col>
      <xdr:colOff>373380</xdr:colOff>
      <xdr:row>8</xdr:row>
      <xdr:rowOff>129540</xdr:rowOff>
    </xdr:to>
    <xdr:sp macro="" textlink="">
      <xdr:nvSpPr>
        <xdr:cNvPr id="88147" name="Text Box 83">
          <a:extLst>
            <a:ext uri="{FF2B5EF4-FFF2-40B4-BE49-F238E27FC236}">
              <a16:creationId xmlns:a16="http://schemas.microsoft.com/office/drawing/2014/main" id="{0206C7F7-8E66-4166-8264-CFDFF013841A}"/>
            </a:ext>
          </a:extLst>
        </xdr:cNvPr>
        <xdr:cNvSpPr txBox="1">
          <a:spLocks noChangeArrowheads="1"/>
        </xdr:cNvSpPr>
      </xdr:nvSpPr>
      <xdr:spPr bwMode="auto">
        <a:xfrm>
          <a:off x="17205960" y="128016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X</a:t>
          </a:r>
        </a:p>
      </xdr:txBody>
    </xdr:sp>
    <xdr:clientData/>
  </xdr:twoCellAnchor>
  <xdr:twoCellAnchor>
    <xdr:from>
      <xdr:col>57</xdr:col>
      <xdr:colOff>45720</xdr:colOff>
      <xdr:row>10</xdr:row>
      <xdr:rowOff>137160</xdr:rowOff>
    </xdr:from>
    <xdr:to>
      <xdr:col>57</xdr:col>
      <xdr:colOff>312420</xdr:colOff>
      <xdr:row>12</xdr:row>
      <xdr:rowOff>22860</xdr:rowOff>
    </xdr:to>
    <xdr:sp macro="" textlink="">
      <xdr:nvSpPr>
        <xdr:cNvPr id="88148" name="Text Box 84">
          <a:extLst>
            <a:ext uri="{FF2B5EF4-FFF2-40B4-BE49-F238E27FC236}">
              <a16:creationId xmlns:a16="http://schemas.microsoft.com/office/drawing/2014/main" id="{0F4DEB01-07E0-46B9-9A26-A138E6B4F77A}"/>
            </a:ext>
          </a:extLst>
        </xdr:cNvPr>
        <xdr:cNvSpPr txBox="1">
          <a:spLocks noChangeArrowheads="1"/>
        </xdr:cNvSpPr>
      </xdr:nvSpPr>
      <xdr:spPr bwMode="auto">
        <a:xfrm>
          <a:off x="17769840" y="1844040"/>
          <a:ext cx="2667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Y</a:t>
          </a:r>
        </a:p>
      </xdr:txBody>
    </xdr:sp>
    <xdr:clientData/>
  </xdr:twoCellAnchor>
  <xdr:twoCellAnchor>
    <xdr:from>
      <xdr:col>57</xdr:col>
      <xdr:colOff>548640</xdr:colOff>
      <xdr:row>12</xdr:row>
      <xdr:rowOff>144780</xdr:rowOff>
    </xdr:from>
    <xdr:to>
      <xdr:col>58</xdr:col>
      <xdr:colOff>182880</xdr:colOff>
      <xdr:row>14</xdr:row>
      <xdr:rowOff>30480</xdr:rowOff>
    </xdr:to>
    <xdr:sp macro="" textlink="">
      <xdr:nvSpPr>
        <xdr:cNvPr id="88149" name="Text Box 85">
          <a:extLst>
            <a:ext uri="{FF2B5EF4-FFF2-40B4-BE49-F238E27FC236}">
              <a16:creationId xmlns:a16="http://schemas.microsoft.com/office/drawing/2014/main" id="{7A6FF4B7-DB5C-4225-ABD3-3A8BB3D29832}"/>
            </a:ext>
          </a:extLst>
        </xdr:cNvPr>
        <xdr:cNvSpPr txBox="1">
          <a:spLocks noChangeArrowheads="1"/>
        </xdr:cNvSpPr>
      </xdr:nvSpPr>
      <xdr:spPr bwMode="auto">
        <a:xfrm>
          <a:off x="18272760" y="2186940"/>
          <a:ext cx="25908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+X</a:t>
          </a:r>
        </a:p>
      </xdr:txBody>
    </xdr:sp>
    <xdr:clientData/>
  </xdr:twoCellAnchor>
  <xdr:twoCellAnchor>
    <xdr:from>
      <xdr:col>55</xdr:col>
      <xdr:colOff>312420</xdr:colOff>
      <xdr:row>4</xdr:row>
      <xdr:rowOff>99060</xdr:rowOff>
    </xdr:from>
    <xdr:to>
      <xdr:col>55</xdr:col>
      <xdr:colOff>579120</xdr:colOff>
      <xdr:row>5</xdr:row>
      <xdr:rowOff>144780</xdr:rowOff>
    </xdr:to>
    <xdr:sp macro="" textlink="">
      <xdr:nvSpPr>
        <xdr:cNvPr id="88150" name="Text Box 86">
          <a:extLst>
            <a:ext uri="{FF2B5EF4-FFF2-40B4-BE49-F238E27FC236}">
              <a16:creationId xmlns:a16="http://schemas.microsoft.com/office/drawing/2014/main" id="{1146E06A-0981-4F26-9528-1B911C853396}"/>
            </a:ext>
          </a:extLst>
        </xdr:cNvPr>
        <xdr:cNvSpPr txBox="1">
          <a:spLocks noChangeArrowheads="1"/>
        </xdr:cNvSpPr>
      </xdr:nvSpPr>
      <xdr:spPr bwMode="auto">
        <a:xfrm>
          <a:off x="16786860" y="800100"/>
          <a:ext cx="26670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+Y</a:t>
          </a:r>
        </a:p>
      </xdr:txBody>
    </xdr:sp>
    <xdr:clientData/>
  </xdr:twoCellAnchor>
  <xdr:twoCellAnchor>
    <xdr:from>
      <xdr:col>55</xdr:col>
      <xdr:colOff>129540</xdr:colOff>
      <xdr:row>13</xdr:row>
      <xdr:rowOff>99060</xdr:rowOff>
    </xdr:from>
    <xdr:to>
      <xdr:col>55</xdr:col>
      <xdr:colOff>388620</xdr:colOff>
      <xdr:row>14</xdr:row>
      <xdr:rowOff>144780</xdr:rowOff>
    </xdr:to>
    <xdr:sp macro="" textlink="">
      <xdr:nvSpPr>
        <xdr:cNvPr id="88151" name="Text Box 87">
          <a:extLst>
            <a:ext uri="{FF2B5EF4-FFF2-40B4-BE49-F238E27FC236}">
              <a16:creationId xmlns:a16="http://schemas.microsoft.com/office/drawing/2014/main" id="{84830EAE-228E-4D07-8882-F6139AD49C26}"/>
            </a:ext>
          </a:extLst>
        </xdr:cNvPr>
        <xdr:cNvSpPr txBox="1">
          <a:spLocks noChangeArrowheads="1"/>
        </xdr:cNvSpPr>
      </xdr:nvSpPr>
      <xdr:spPr bwMode="auto">
        <a:xfrm>
          <a:off x="16603980" y="2308860"/>
          <a:ext cx="25908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+Z</a:t>
          </a:r>
        </a:p>
      </xdr:txBody>
    </xdr:sp>
    <xdr:clientData/>
  </xdr:twoCellAnchor>
  <xdr:twoCellAnchor>
    <xdr:from>
      <xdr:col>56</xdr:col>
      <xdr:colOff>419100</xdr:colOff>
      <xdr:row>15</xdr:row>
      <xdr:rowOff>144780</xdr:rowOff>
    </xdr:from>
    <xdr:to>
      <xdr:col>57</xdr:col>
      <xdr:colOff>160020</xdr:colOff>
      <xdr:row>17</xdr:row>
      <xdr:rowOff>30480</xdr:rowOff>
    </xdr:to>
    <xdr:sp macro="" textlink="">
      <xdr:nvSpPr>
        <xdr:cNvPr id="88152" name="Text Box 88">
          <a:extLst>
            <a:ext uri="{FF2B5EF4-FFF2-40B4-BE49-F238E27FC236}">
              <a16:creationId xmlns:a16="http://schemas.microsoft.com/office/drawing/2014/main" id="{B6DF35F5-6F76-49A4-B760-4DF3A9E58501}"/>
            </a:ext>
          </a:extLst>
        </xdr:cNvPr>
        <xdr:cNvSpPr txBox="1">
          <a:spLocks noChangeArrowheads="1"/>
        </xdr:cNvSpPr>
      </xdr:nvSpPr>
      <xdr:spPr bwMode="auto">
        <a:xfrm>
          <a:off x="17518380" y="2689860"/>
          <a:ext cx="36576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-P</a:t>
          </a:r>
          <a:r>
            <a:rPr lang="en-US" sz="800" b="1" i="0" u="none" strike="noStrike" baseline="0%">
              <a:solidFill>
                <a:srgbClr val="0000FF"/>
              </a:solidFill>
              <a:latin typeface="Arial"/>
              <a:cs typeface="Arial"/>
            </a:rPr>
            <a:t>z</a:t>
          </a:r>
        </a:p>
      </xdr:txBody>
    </xdr:sp>
    <xdr:clientData/>
  </xdr:twoCellAnchor>
  <xdr:twoCellAnchor>
    <xdr:from>
      <xdr:col>56</xdr:col>
      <xdr:colOff>548640</xdr:colOff>
      <xdr:row>18</xdr:row>
      <xdr:rowOff>0</xdr:rowOff>
    </xdr:from>
    <xdr:to>
      <xdr:col>57</xdr:col>
      <xdr:colOff>289560</xdr:colOff>
      <xdr:row>19</xdr:row>
      <xdr:rowOff>76200</xdr:rowOff>
    </xdr:to>
    <xdr:sp macro="" textlink="">
      <xdr:nvSpPr>
        <xdr:cNvPr id="88153" name="Text Box 89">
          <a:extLst>
            <a:ext uri="{FF2B5EF4-FFF2-40B4-BE49-F238E27FC236}">
              <a16:creationId xmlns:a16="http://schemas.microsoft.com/office/drawing/2014/main" id="{B5BC0A1C-39F0-422F-99D5-072A03A19DDD}"/>
            </a:ext>
          </a:extLst>
        </xdr:cNvPr>
        <xdr:cNvSpPr txBox="1">
          <a:spLocks noChangeArrowheads="1"/>
        </xdr:cNvSpPr>
      </xdr:nvSpPr>
      <xdr:spPr bwMode="auto">
        <a:xfrm>
          <a:off x="17647920" y="3048000"/>
          <a:ext cx="36576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+M</a:t>
          </a:r>
          <a:r>
            <a:rPr lang="en-US" sz="800" b="1" i="0" u="none" strike="noStrike" baseline="0%">
              <a:solidFill>
                <a:srgbClr val="0000FF"/>
              </a:solidFill>
              <a:latin typeface="Arial"/>
              <a:cs typeface="Arial"/>
            </a:rPr>
            <a:t>y</a:t>
          </a:r>
        </a:p>
      </xdr:txBody>
    </xdr:sp>
    <xdr:clientData/>
  </xdr:twoCellAnchor>
  <xdr:twoCellAnchor>
    <xdr:from>
      <xdr:col>55</xdr:col>
      <xdr:colOff>563880</xdr:colOff>
      <xdr:row>17</xdr:row>
      <xdr:rowOff>144780</xdr:rowOff>
    </xdr:from>
    <xdr:to>
      <xdr:col>56</xdr:col>
      <xdr:colOff>312420</xdr:colOff>
      <xdr:row>19</xdr:row>
      <xdr:rowOff>60960</xdr:rowOff>
    </xdr:to>
    <xdr:sp macro="" textlink="">
      <xdr:nvSpPr>
        <xdr:cNvPr id="88154" name="Text Box 90">
          <a:extLst>
            <a:ext uri="{FF2B5EF4-FFF2-40B4-BE49-F238E27FC236}">
              <a16:creationId xmlns:a16="http://schemas.microsoft.com/office/drawing/2014/main" id="{D3E06960-CFD0-471C-B88D-1616A1C8F10F}"/>
            </a:ext>
          </a:extLst>
        </xdr:cNvPr>
        <xdr:cNvSpPr txBox="1">
          <a:spLocks noChangeArrowheads="1"/>
        </xdr:cNvSpPr>
      </xdr:nvSpPr>
      <xdr:spPr bwMode="auto">
        <a:xfrm>
          <a:off x="17038320" y="3025140"/>
          <a:ext cx="37338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7432" rIns="0" bIns="0" anchor="t" upright="1"/>
        <a:lstStyle/>
        <a:p>
          <a:pPr algn="l" rtl="0">
            <a:defRPr sz="1000"/>
          </a:pPr>
          <a:r>
            <a:rPr lang="en-US" sz="900" b="1" i="0" u="none" strike="noStrike" baseline="0%">
              <a:solidFill>
                <a:srgbClr val="0000FF"/>
              </a:solidFill>
              <a:latin typeface="Arial"/>
              <a:cs typeface="Arial"/>
            </a:rPr>
            <a:t>+H</a:t>
          </a:r>
          <a:r>
            <a:rPr lang="en-US" sz="800" b="1" i="0" u="none" strike="noStrike" baseline="0%">
              <a:solidFill>
                <a:srgbClr val="0000FF"/>
              </a:solidFill>
              <a:latin typeface="Arial"/>
              <a:cs typeface="Arial"/>
            </a:rPr>
            <a:t>x</a:t>
          </a:r>
        </a:p>
      </xdr:txBody>
    </xdr:sp>
    <xdr:clientData/>
  </xdr:twoCellAnchor>
  <xdr:twoCellAnchor>
    <xdr:from>
      <xdr:col>55</xdr:col>
      <xdr:colOff>205740</xdr:colOff>
      <xdr:row>19</xdr:row>
      <xdr:rowOff>76200</xdr:rowOff>
    </xdr:from>
    <xdr:to>
      <xdr:col>55</xdr:col>
      <xdr:colOff>381000</xdr:colOff>
      <xdr:row>20</xdr:row>
      <xdr:rowOff>106680</xdr:rowOff>
    </xdr:to>
    <xdr:sp macro="" textlink="">
      <xdr:nvSpPr>
        <xdr:cNvPr id="88155" name="Text Box 91">
          <a:extLst>
            <a:ext uri="{FF2B5EF4-FFF2-40B4-BE49-F238E27FC236}">
              <a16:creationId xmlns:a16="http://schemas.microsoft.com/office/drawing/2014/main" id="{D561EE6D-7DE0-4BF2-B734-79A52E631C06}"/>
            </a:ext>
          </a:extLst>
        </xdr:cNvPr>
        <xdr:cNvSpPr txBox="1">
          <a:spLocks noChangeArrowheads="1"/>
        </xdr:cNvSpPr>
      </xdr:nvSpPr>
      <xdr:spPr bwMode="auto">
        <a:xfrm>
          <a:off x="16680180" y="329184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h</a:t>
          </a:r>
        </a:p>
      </xdr:txBody>
    </xdr:sp>
    <xdr:clientData/>
  </xdr:twoCellAnchor>
  <xdr:twoCellAnchor>
    <xdr:from>
      <xdr:col>56</xdr:col>
      <xdr:colOff>251460</xdr:colOff>
      <xdr:row>17</xdr:row>
      <xdr:rowOff>22860</xdr:rowOff>
    </xdr:from>
    <xdr:to>
      <xdr:col>56</xdr:col>
      <xdr:colOff>563880</xdr:colOff>
      <xdr:row>19</xdr:row>
      <xdr:rowOff>0</xdr:rowOff>
    </xdr:to>
    <xdr:sp macro="" textlink="">
      <xdr:nvSpPr>
        <xdr:cNvPr id="88156" name="Arc 92">
          <a:extLst>
            <a:ext uri="{FF2B5EF4-FFF2-40B4-BE49-F238E27FC236}">
              <a16:creationId xmlns:a16="http://schemas.microsoft.com/office/drawing/2014/main" id="{6DA3A0CE-4E70-45F4-AE21-ECE5B4541661}"/>
            </a:ext>
          </a:extLst>
        </xdr:cNvPr>
        <xdr:cNvSpPr>
          <a:spLocks/>
        </xdr:cNvSpPr>
      </xdr:nvSpPr>
      <xdr:spPr bwMode="auto">
        <a:xfrm rot="18900000">
          <a:off x="17350740" y="2903220"/>
          <a:ext cx="312420" cy="312420"/>
        </a:xfrm>
        <a:custGeom>
          <a:avLst/>
          <a:gdLst>
            <a:gd name="G0" fmla="+- 10424 0 0"/>
            <a:gd name="G1" fmla="+- 21600 0 0"/>
            <a:gd name="G2" fmla="+- 21600 0 0"/>
            <a:gd name="T0" fmla="*/ 0 w 32024"/>
            <a:gd name="T1" fmla="*/ 2682 h 33135"/>
            <a:gd name="T2" fmla="*/ 28686 w 32024"/>
            <a:gd name="T3" fmla="*/ 33135 h 33135"/>
            <a:gd name="T4" fmla="*/ 10424 w 32024"/>
            <a:gd name="T5" fmla="*/ 21600 h 33135"/>
          </a:gdLst>
          <a:ahLst/>
          <a:cxnLst>
            <a:cxn ang="0">
              <a:pos x="T0" y="T1"/>
            </a:cxn>
            <a:cxn ang="0">
              <a:pos x="T2" y="T3"/>
            </a:cxn>
            <a:cxn ang="0">
              <a:pos x="T4" y="T5"/>
            </a:cxn>
          </a:cxnLst>
          <a:rect l="0" t="0" r="r" b="b"/>
          <a:pathLst>
            <a:path w="32024" h="33135" fill="none" extrusionOk="0">
              <a:moveTo>
                <a:pt x="-1" y="2681"/>
              </a:moveTo>
              <a:cubicBezTo>
                <a:pt x="3192" y="922"/>
                <a:pt x="6778" y="0"/>
                <a:pt x="10424" y="0"/>
              </a:cubicBezTo>
              <a:cubicBezTo>
                <a:pt x="22353" y="0"/>
                <a:pt x="32024" y="9670"/>
                <a:pt x="32024" y="21600"/>
              </a:cubicBezTo>
              <a:cubicBezTo>
                <a:pt x="32024" y="25683"/>
                <a:pt x="30866" y="29682"/>
                <a:pt x="28686" y="33135"/>
              </a:cubicBezTo>
            </a:path>
            <a:path w="32024" h="33135" stroke="0" extrusionOk="0">
              <a:moveTo>
                <a:pt x="-1" y="2681"/>
              </a:moveTo>
              <a:cubicBezTo>
                <a:pt x="3192" y="922"/>
                <a:pt x="6778" y="0"/>
                <a:pt x="10424" y="0"/>
              </a:cubicBezTo>
              <a:cubicBezTo>
                <a:pt x="22353" y="0"/>
                <a:pt x="32024" y="9670"/>
                <a:pt x="32024" y="21600"/>
              </a:cubicBezTo>
              <a:cubicBezTo>
                <a:pt x="32024" y="25683"/>
                <a:pt x="30866" y="29682"/>
                <a:pt x="28686" y="33135"/>
              </a:cubicBezTo>
              <a:lnTo>
                <a:pt x="10424" y="2160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type="stealth" w="sm"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55</xdr:col>
      <xdr:colOff>320040</xdr:colOff>
      <xdr:row>12</xdr:row>
      <xdr:rowOff>99060</xdr:rowOff>
    </xdr:from>
    <xdr:to>
      <xdr:col>55</xdr:col>
      <xdr:colOff>495300</xdr:colOff>
      <xdr:row>13</xdr:row>
      <xdr:rowOff>129540</xdr:rowOff>
    </xdr:to>
    <xdr:sp macro="" textlink="">
      <xdr:nvSpPr>
        <xdr:cNvPr id="88157" name="Text Box 93">
          <a:extLst>
            <a:ext uri="{FF2B5EF4-FFF2-40B4-BE49-F238E27FC236}">
              <a16:creationId xmlns:a16="http://schemas.microsoft.com/office/drawing/2014/main" id="{38B405C6-145C-403C-9694-0715A1AA43B3}"/>
            </a:ext>
          </a:extLst>
        </xdr:cNvPr>
        <xdr:cNvSpPr txBox="1">
          <a:spLocks noChangeArrowheads="1"/>
        </xdr:cNvSpPr>
      </xdr:nvSpPr>
      <xdr:spPr bwMode="auto">
        <a:xfrm>
          <a:off x="16794480" y="2141220"/>
          <a:ext cx="17526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0</a:t>
          </a:r>
        </a:p>
      </xdr:txBody>
    </xdr:sp>
    <xdr:clientData/>
  </xdr:twoCellAnchor>
  <xdr:twoCellAnchor>
    <xdr:from>
      <xdr:col>56</xdr:col>
      <xdr:colOff>7620</xdr:colOff>
      <xdr:row>10</xdr:row>
      <xdr:rowOff>160020</xdr:rowOff>
    </xdr:from>
    <xdr:to>
      <xdr:col>56</xdr:col>
      <xdr:colOff>7620</xdr:colOff>
      <xdr:row>12</xdr:row>
      <xdr:rowOff>7620</xdr:rowOff>
    </xdr:to>
    <xdr:sp macro="" textlink="">
      <xdr:nvSpPr>
        <xdr:cNvPr id="88158" name="Line 94">
          <a:extLst>
            <a:ext uri="{FF2B5EF4-FFF2-40B4-BE49-F238E27FC236}">
              <a16:creationId xmlns:a16="http://schemas.microsoft.com/office/drawing/2014/main" id="{93B0DE30-98A6-4652-8EBF-8E68CDF1C16E}"/>
            </a:ext>
          </a:extLst>
        </xdr:cNvPr>
        <xdr:cNvSpPr>
          <a:spLocks noChangeShapeType="1"/>
        </xdr:cNvSpPr>
      </xdr:nvSpPr>
      <xdr:spPr bwMode="auto">
        <a:xfrm flipV="1">
          <a:off x="17106900" y="1866900"/>
          <a:ext cx="0" cy="182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30480</xdr:colOff>
      <xdr:row>12</xdr:row>
      <xdr:rowOff>30480</xdr:rowOff>
    </xdr:from>
    <xdr:to>
      <xdr:col>56</xdr:col>
      <xdr:colOff>198120</xdr:colOff>
      <xdr:row>12</xdr:row>
      <xdr:rowOff>30480</xdr:rowOff>
    </xdr:to>
    <xdr:sp macro="" textlink="">
      <xdr:nvSpPr>
        <xdr:cNvPr id="88159" name="Line 95">
          <a:extLst>
            <a:ext uri="{FF2B5EF4-FFF2-40B4-BE49-F238E27FC236}">
              <a16:creationId xmlns:a16="http://schemas.microsoft.com/office/drawing/2014/main" id="{191A2CD3-C6C6-40BC-A80F-7A80BDA0DA76}"/>
            </a:ext>
          </a:extLst>
        </xdr:cNvPr>
        <xdr:cNvSpPr>
          <a:spLocks noChangeShapeType="1"/>
        </xdr:cNvSpPr>
      </xdr:nvSpPr>
      <xdr:spPr bwMode="auto">
        <a:xfrm>
          <a:off x="17129760" y="2072640"/>
          <a:ext cx="167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441960</xdr:colOff>
      <xdr:row>11</xdr:row>
      <xdr:rowOff>38100</xdr:rowOff>
    </xdr:from>
    <xdr:to>
      <xdr:col>56</xdr:col>
      <xdr:colOff>7620</xdr:colOff>
      <xdr:row>11</xdr:row>
      <xdr:rowOff>38100</xdr:rowOff>
    </xdr:to>
    <xdr:sp macro="" textlink="">
      <xdr:nvSpPr>
        <xdr:cNvPr id="88160" name="Line 96">
          <a:extLst>
            <a:ext uri="{FF2B5EF4-FFF2-40B4-BE49-F238E27FC236}">
              <a16:creationId xmlns:a16="http://schemas.microsoft.com/office/drawing/2014/main" id="{C303014A-7CC2-4174-B814-185C6FBF6648}"/>
            </a:ext>
          </a:extLst>
        </xdr:cNvPr>
        <xdr:cNvSpPr>
          <a:spLocks noChangeShapeType="1"/>
        </xdr:cNvSpPr>
      </xdr:nvSpPr>
      <xdr:spPr bwMode="auto">
        <a:xfrm>
          <a:off x="16916400" y="191262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56</xdr:col>
      <xdr:colOff>144780</xdr:colOff>
      <xdr:row>12</xdr:row>
      <xdr:rowOff>30480</xdr:rowOff>
    </xdr:from>
    <xdr:to>
      <xdr:col>56</xdr:col>
      <xdr:colOff>144780</xdr:colOff>
      <xdr:row>13</xdr:row>
      <xdr:rowOff>60960</xdr:rowOff>
    </xdr:to>
    <xdr:sp macro="" textlink="">
      <xdr:nvSpPr>
        <xdr:cNvPr id="88161" name="Line 97">
          <a:extLst>
            <a:ext uri="{FF2B5EF4-FFF2-40B4-BE49-F238E27FC236}">
              <a16:creationId xmlns:a16="http://schemas.microsoft.com/office/drawing/2014/main" id="{FB0EE8C2-9747-4BB9-B0C8-0D2F9060DFD9}"/>
            </a:ext>
          </a:extLst>
        </xdr:cNvPr>
        <xdr:cNvSpPr>
          <a:spLocks noChangeShapeType="1"/>
        </xdr:cNvSpPr>
      </xdr:nvSpPr>
      <xdr:spPr bwMode="auto">
        <a:xfrm>
          <a:off x="17244060" y="2072640"/>
          <a:ext cx="0" cy="198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56</xdr:col>
      <xdr:colOff>251460</xdr:colOff>
      <xdr:row>21</xdr:row>
      <xdr:rowOff>121920</xdr:rowOff>
    </xdr:from>
    <xdr:to>
      <xdr:col>56</xdr:col>
      <xdr:colOff>601980</xdr:colOff>
      <xdr:row>22</xdr:row>
      <xdr:rowOff>160020</xdr:rowOff>
    </xdr:to>
    <xdr:sp macro="" textlink="">
      <xdr:nvSpPr>
        <xdr:cNvPr id="88162" name="Text Box 98">
          <a:extLst>
            <a:ext uri="{FF2B5EF4-FFF2-40B4-BE49-F238E27FC236}">
              <a16:creationId xmlns:a16="http://schemas.microsoft.com/office/drawing/2014/main" id="{DE1E27DF-D391-4E68-A653-E3DE12BF8535}"/>
            </a:ext>
          </a:extLst>
        </xdr:cNvPr>
        <xdr:cNvSpPr txBox="1">
          <a:spLocks noChangeArrowheads="1"/>
        </xdr:cNvSpPr>
      </xdr:nvSpPr>
      <xdr:spPr bwMode="auto">
        <a:xfrm>
          <a:off x="17350740" y="3672840"/>
          <a:ext cx="35052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FF"/>
              </a:solidFill>
              <a:latin typeface="Arial"/>
              <a:cs typeface="Arial"/>
            </a:rPr>
            <a:t>Piles</a:t>
          </a:r>
        </a:p>
      </xdr:txBody>
    </xdr:sp>
    <xdr:clientData/>
  </xdr:twoCellAnchor>
  <xdr:twoCellAnchor>
    <xdr:from>
      <xdr:col>56</xdr:col>
      <xdr:colOff>76200</xdr:colOff>
      <xdr:row>22</xdr:row>
      <xdr:rowOff>30480</xdr:rowOff>
    </xdr:from>
    <xdr:to>
      <xdr:col>56</xdr:col>
      <xdr:colOff>213360</xdr:colOff>
      <xdr:row>22</xdr:row>
      <xdr:rowOff>30480</xdr:rowOff>
    </xdr:to>
    <xdr:sp macro="" textlink="">
      <xdr:nvSpPr>
        <xdr:cNvPr id="88163" name="Line 99">
          <a:extLst>
            <a:ext uri="{FF2B5EF4-FFF2-40B4-BE49-F238E27FC236}">
              <a16:creationId xmlns:a16="http://schemas.microsoft.com/office/drawing/2014/main" id="{3C8B8A7C-849D-4387-B6DE-4B692C21D209}"/>
            </a:ext>
          </a:extLst>
        </xdr:cNvPr>
        <xdr:cNvSpPr>
          <a:spLocks noChangeShapeType="1"/>
        </xdr:cNvSpPr>
      </xdr:nvSpPr>
      <xdr:spPr bwMode="auto">
        <a:xfrm flipH="1">
          <a:off x="1717548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sm"/>
        </a:ln>
        <a:extLst>
          <a:ext uri="{909E8E84-426E-40DD-AFC4-6F175D3DCCD1}">
            <a14:hiddenFill xmlns:a14="http://schemas.microsoft.com/office/drawing/2010/main">
              <a:noFill/>
            </a14:hiddenFill>
          </a:ext>
        </a:extLst>
      </xdr:spPr>
    </xdr:sp>
    <xdr:clientData/>
  </xdr:twoCellAnchor>
  <xdr:twoCellAnchor>
    <xdr:from>
      <xdr:col>56</xdr:col>
      <xdr:colOff>601980</xdr:colOff>
      <xdr:row>22</xdr:row>
      <xdr:rowOff>30480</xdr:rowOff>
    </xdr:from>
    <xdr:to>
      <xdr:col>57</xdr:col>
      <xdr:colOff>114300</xdr:colOff>
      <xdr:row>22</xdr:row>
      <xdr:rowOff>30480</xdr:rowOff>
    </xdr:to>
    <xdr:sp macro="" textlink="">
      <xdr:nvSpPr>
        <xdr:cNvPr id="88164" name="Line 100">
          <a:extLst>
            <a:ext uri="{FF2B5EF4-FFF2-40B4-BE49-F238E27FC236}">
              <a16:creationId xmlns:a16="http://schemas.microsoft.com/office/drawing/2014/main" id="{F6DBDBED-C8AA-461E-BD03-38F724D2860E}"/>
            </a:ext>
          </a:extLst>
        </xdr:cNvPr>
        <xdr:cNvSpPr>
          <a:spLocks noChangeShapeType="1"/>
        </xdr:cNvSpPr>
      </xdr:nvSpPr>
      <xdr:spPr bwMode="auto">
        <a:xfrm>
          <a:off x="17701260" y="3749040"/>
          <a:ext cx="1371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med" len="sm"/>
        </a:ln>
        <a:extLst>
          <a:ext uri="{909E8E84-426E-40DD-AFC4-6F175D3DCCD1}">
            <a14:hiddenFill xmlns:a14="http://schemas.microsoft.com/office/drawing/2010/main">
              <a:noFill/>
            </a14:hiddenFill>
          </a:ext>
        </a:extLst>
      </xdr:spPr>
    </xdr:sp>
    <xdr:clientData/>
  </xdr:twoCellAnchor>
  <xdr:twoCellAnchor>
    <xdr:from>
      <xdr:col>1</xdr:col>
      <xdr:colOff>518160</xdr:colOff>
      <xdr:row>105</xdr:row>
      <xdr:rowOff>91440</xdr:rowOff>
    </xdr:from>
    <xdr:to>
      <xdr:col>1</xdr:col>
      <xdr:colOff>518160</xdr:colOff>
      <xdr:row>108</xdr:row>
      <xdr:rowOff>60960</xdr:rowOff>
    </xdr:to>
    <xdr:sp macro="" textlink="">
      <xdr:nvSpPr>
        <xdr:cNvPr id="88169" name="Line 105">
          <a:extLst>
            <a:ext uri="{FF2B5EF4-FFF2-40B4-BE49-F238E27FC236}">
              <a16:creationId xmlns:a16="http://schemas.microsoft.com/office/drawing/2014/main" id="{DE0ACA9F-D73E-4738-B681-46C2B6E4AAB2}"/>
            </a:ext>
          </a:extLst>
        </xdr:cNvPr>
        <xdr:cNvSpPr>
          <a:spLocks noChangeShapeType="1"/>
        </xdr:cNvSpPr>
      </xdr:nvSpPr>
      <xdr:spPr bwMode="auto">
        <a:xfrm flipV="1">
          <a:off x="1333500" y="17724120"/>
          <a:ext cx="0" cy="4724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13</xdr:col>
      <xdr:colOff>335280</xdr:colOff>
      <xdr:row>151</xdr:row>
      <xdr:rowOff>45720</xdr:rowOff>
    </xdr:from>
    <xdr:to>
      <xdr:col>14</xdr:col>
      <xdr:colOff>175260</xdr:colOff>
      <xdr:row>151</xdr:row>
      <xdr:rowOff>45720</xdr:rowOff>
    </xdr:to>
    <xdr:sp macro="" textlink="">
      <xdr:nvSpPr>
        <xdr:cNvPr id="88170" name="Line 106">
          <a:extLst>
            <a:ext uri="{FF2B5EF4-FFF2-40B4-BE49-F238E27FC236}">
              <a16:creationId xmlns:a16="http://schemas.microsoft.com/office/drawing/2014/main" id="{588C3994-9CF2-45F9-8EDD-1BA732491674}"/>
            </a:ext>
          </a:extLst>
        </xdr:cNvPr>
        <xdr:cNvSpPr>
          <a:spLocks noChangeShapeType="1"/>
        </xdr:cNvSpPr>
      </xdr:nvSpPr>
      <xdr:spPr bwMode="auto">
        <a:xfrm>
          <a:off x="9311640" y="25389840"/>
          <a:ext cx="4648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lg" len="lg"/>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v="urn:schemas-microsoft-com:vml" Requires="v"/>
    <mc:Fallback>
      <xdr:twoCellAnchor editAs="absolute">
        <xdr:from>
          <xdr:col>61</xdr:col>
          <xdr:colOff>175260</xdr:colOff>
          <xdr:row>0</xdr:row>
          <xdr:rowOff>38100</xdr:rowOff>
        </xdr:from>
        <xdr:to>
          <xdr:col>64</xdr:col>
          <xdr:colOff>373380</xdr:colOff>
          <xdr:row>2</xdr:row>
          <xdr:rowOff>30480</xdr:rowOff>
        </xdr:to>
        <xdr:sp macro="" textlink="">
          <xdr:nvSpPr>
            <xdr:cNvPr id="88065" name="Comment 1" hidden="1">
              <a:extLst>
                <a:ext uri="{FF2B5EF4-FFF2-40B4-BE49-F238E27FC236}">
                  <a16:creationId xmlns:a16="http://schemas.microsoft.com/office/drawing/2014/main" id="{1ED0E5B9-B50B-4C3D-A437-DDD11609EB28}"/>
                </a:ext>
              </a:extLst>
            </xdr:cNvPr>
            <xdr:cNvSpPr txBox="1">
              <a:spLocks noChangeArrowheads="1"/>
            </xdr:cNvSpPr>
          </xdr:nvSpPr>
          <xdr:spPr bwMode="auto">
            <a:xfrm>
              <a:off x="20589240" y="38100"/>
              <a:ext cx="2072640" cy="3581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              "</a:t>
              </a:r>
              <a:r>
                <a:rPr lang="en-US" sz="800" b="1" i="0" u="none" strike="noStrike" baseline="0%">
                  <a:solidFill>
                    <a:srgbClr val="000000"/>
                  </a:solidFill>
                  <a:latin typeface="Tahoma"/>
                  <a:ea typeface="Tahoma"/>
                  <a:cs typeface="Tahoma"/>
                </a:rPr>
                <a:t>PILEGRP.xls</a:t>
              </a:r>
              <a:r>
                <a:rPr lang="en-US" sz="800" b="0" i="0" u="none" strike="noStrike" baseline="0%">
                  <a:solidFill>
                    <a:srgbClr val="000000"/>
                  </a:solidFill>
                  <a:latin typeface="Tahoma"/>
                  <a:ea typeface="Tahoma"/>
                  <a:cs typeface="Tahoma"/>
                </a:rPr>
                <a:t>"</a:t>
              </a:r>
            </a:p>
            <a:p>
              <a:pPr algn="l" rtl="0">
                <a:defRPr sz="1000"/>
              </a:pPr>
              <a:r>
                <a:rPr lang="en-US" sz="800" b="0" i="0" u="none" strike="noStrike" baseline="0%">
                  <a:solidFill>
                    <a:srgbClr val="000000"/>
                  </a:solidFill>
                  <a:latin typeface="Tahoma"/>
                  <a:ea typeface="Tahoma"/>
                  <a:cs typeface="Tahoma"/>
                </a:rPr>
                <a:t>written by:  Alex Tomanovich, P.E.</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177</xdr:row>
          <xdr:rowOff>76200</xdr:rowOff>
        </xdr:from>
        <xdr:to>
          <xdr:col>8</xdr:col>
          <xdr:colOff>579120</xdr:colOff>
          <xdr:row>184</xdr:row>
          <xdr:rowOff>76200</xdr:rowOff>
        </xdr:to>
        <xdr:sp macro="" textlink="">
          <xdr:nvSpPr>
            <xdr:cNvPr id="88066" name="Comment 2" hidden="1">
              <a:extLst>
                <a:ext uri="{FF2B5EF4-FFF2-40B4-BE49-F238E27FC236}">
                  <a16:creationId xmlns:a16="http://schemas.microsoft.com/office/drawing/2014/main" id="{90C8591B-9F45-4B7B-B113-C7D53EC43EBD}"/>
                </a:ext>
              </a:extLst>
            </xdr:cNvPr>
            <xdr:cNvSpPr txBox="1">
              <a:spLocks noChangeArrowheads="1"/>
            </xdr:cNvSpPr>
          </xdr:nvSpPr>
          <xdr:spPr bwMode="auto">
            <a:xfrm>
              <a:off x="1653540" y="29778960"/>
              <a:ext cx="4777740" cy="11734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Pile Reaction, 'Rz', at each pile is calculated as follows:</a:t>
              </a:r>
            </a:p>
            <a:p>
              <a:pPr algn="l" rtl="0">
                <a:defRPr sz="1000"/>
              </a:pPr>
              <a:r>
                <a:rPr lang="en-US" sz="800" b="0" i="0" u="none" strike="noStrike" baseline="0%">
                  <a:solidFill>
                    <a:srgbClr val="000000"/>
                  </a:solidFill>
                  <a:latin typeface="Tahoma"/>
                  <a:ea typeface="Tahoma"/>
                  <a:cs typeface="Tahoma"/>
                </a:rPr>
                <a:t>   Rz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Pz)/Np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My)*Ix-(-</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Mx)*Ixy)/(Ix*Iy-Ixy^2)*Xp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Mx)*Iy-(</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My)*Ixy)/(Ix*Iy-Ixy^2)*Yp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Sign convention for 'Rz'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594360</xdr:colOff>
          <xdr:row>177</xdr:row>
          <xdr:rowOff>76200</xdr:rowOff>
        </xdr:from>
        <xdr:to>
          <xdr:col>8</xdr:col>
          <xdr:colOff>304800</xdr:colOff>
          <xdr:row>183</xdr:row>
          <xdr:rowOff>76200</xdr:rowOff>
        </xdr:to>
        <xdr:sp macro="" textlink="">
          <xdr:nvSpPr>
            <xdr:cNvPr id="88067" name="Comment 3" hidden="1">
              <a:extLst>
                <a:ext uri="{FF2B5EF4-FFF2-40B4-BE49-F238E27FC236}">
                  <a16:creationId xmlns:a16="http://schemas.microsoft.com/office/drawing/2014/main" id="{60FC75F2-EA61-4C60-89E0-FE0F28681CA6}"/>
                </a:ext>
              </a:extLst>
            </xdr:cNvPr>
            <xdr:cNvSpPr txBox="1">
              <a:spLocks noChangeArrowheads="1"/>
            </xdr:cNvSpPr>
          </xdr:nvSpPr>
          <xdr:spPr bwMode="auto">
            <a:xfrm>
              <a:off x="2278380" y="29778960"/>
              <a:ext cx="387858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Horizontal Pile Reaction, 'Rh', at each pile is calculated as follows:</a:t>
              </a:r>
            </a:p>
            <a:p>
              <a:pPr algn="l" rtl="0">
                <a:defRPr sz="1000"/>
              </a:pPr>
              <a:r>
                <a:rPr lang="en-US" sz="800" b="0" i="0" u="none" strike="noStrike" baseline="0%">
                  <a:solidFill>
                    <a:srgbClr val="000000"/>
                  </a:solidFill>
                  <a:latin typeface="Tahoma"/>
                  <a:ea typeface="Tahoma"/>
                  <a:cs typeface="Tahoma"/>
                </a:rPr>
                <a:t>   Rh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Hx)/Np +</a:t>
              </a:r>
              <a:r>
                <a:rPr lang="en-US" sz="800" b="0" i="0" u="none" strike="noStrike" baseline="0%">
                  <a:solidFill>
                    <a:srgbClr val="000000"/>
                  </a:solidFill>
                  <a:latin typeface="Symbol"/>
                  <a:ea typeface="Tahoma"/>
                  <a:cs typeface="Tahoma"/>
                </a:rPr>
                <a:t> (S</a:t>
              </a:r>
              <a:r>
                <a:rPr lang="en-US" sz="800" b="0" i="0" u="none" strike="noStrike" baseline="0%">
                  <a:solidFill>
                    <a:srgbClr val="000000"/>
                  </a:solidFill>
                  <a:latin typeface="Tahoma"/>
                  <a:ea typeface="Tahoma"/>
                  <a:cs typeface="Tahoma"/>
                </a:rPr>
                <a:t> Mz)*Yp/J)^2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Hy)/Np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Mz)*Xp/J)^2)^(1/2)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Xp = x-distance of pile from centroidal Y-axis</a:t>
              </a:r>
            </a:p>
            <a:p>
              <a:pPr algn="l" rtl="0">
                <a:defRPr sz="1000"/>
              </a:pPr>
              <a:r>
                <a:rPr lang="en-US" sz="800" b="0" i="0" u="none" strike="noStrike" baseline="0%">
                  <a:solidFill>
                    <a:srgbClr val="000000"/>
                  </a:solidFill>
                  <a:latin typeface="Tahoma"/>
                  <a:ea typeface="Tahoma"/>
                  <a:cs typeface="Tahoma"/>
                </a:rPr>
                <a:t>   Yp = y-distance of pile from centroidal X-axis</a:t>
              </a:r>
            </a:p>
            <a:p>
              <a:pPr algn="l" rtl="0">
                <a:defRPr sz="1000"/>
              </a:pPr>
              <a:r>
                <a:rPr lang="en-US" sz="800" b="0" i="0" u="none" strike="noStrike" baseline="0%">
                  <a:solidFill>
                    <a:srgbClr val="000000"/>
                  </a:solidFill>
                  <a:latin typeface="Tahoma"/>
                  <a:ea typeface="Tahoma"/>
                  <a:cs typeface="Tahoma"/>
                </a:rPr>
                <a:t>Note: 'Rh' is an "absolute" value with no particular sign convention, thus no</a:t>
              </a:r>
            </a:p>
            <a:p>
              <a:pPr algn="l" rtl="0">
                <a:defRPr sz="1000"/>
              </a:pPr>
              <a:r>
                <a:rPr lang="en-US" sz="800" b="0" i="0" u="none" strike="noStrike" baseline="0%">
                  <a:solidFill>
                    <a:srgbClr val="000000"/>
                  </a:solidFill>
                  <a:latin typeface="Tahoma"/>
                  <a:ea typeface="Tahoma"/>
                  <a:cs typeface="Tahoma"/>
                </a:rPr>
                <a:t>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487680</xdr:colOff>
          <xdr:row>158</xdr:row>
          <xdr:rowOff>76200</xdr:rowOff>
        </xdr:from>
        <xdr:to>
          <xdr:col>8</xdr:col>
          <xdr:colOff>45720</xdr:colOff>
          <xdr:row>161</xdr:row>
          <xdr:rowOff>76200</xdr:rowOff>
        </xdr:to>
        <xdr:sp macro="" textlink="">
          <xdr:nvSpPr>
            <xdr:cNvPr id="88068" name="Comment 4" hidden="1">
              <a:extLst>
                <a:ext uri="{FF2B5EF4-FFF2-40B4-BE49-F238E27FC236}">
                  <a16:creationId xmlns:a16="http://schemas.microsoft.com/office/drawing/2014/main" id="{D294D0D1-9532-4924-8C86-5D9E2645130A}"/>
                </a:ext>
              </a:extLst>
            </xdr:cNvPr>
            <xdr:cNvSpPr txBox="1">
              <a:spLocks noChangeArrowheads="1"/>
            </xdr:cNvSpPr>
          </xdr:nvSpPr>
          <xdr:spPr bwMode="auto">
            <a:xfrm>
              <a:off x="3421380" y="26593800"/>
              <a:ext cx="2476500" cy="5029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Pz = sum of all applied vertical (Z-axis)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+Z-axis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487680</xdr:colOff>
          <xdr:row>159</xdr:row>
          <xdr:rowOff>76200</xdr:rowOff>
        </xdr:from>
        <xdr:to>
          <xdr:col>8</xdr:col>
          <xdr:colOff>144780</xdr:colOff>
          <xdr:row>162</xdr:row>
          <xdr:rowOff>30480</xdr:rowOff>
        </xdr:to>
        <xdr:sp macro="" textlink="">
          <xdr:nvSpPr>
            <xdr:cNvPr id="88069" name="Comment 5" hidden="1">
              <a:extLst>
                <a:ext uri="{FF2B5EF4-FFF2-40B4-BE49-F238E27FC236}">
                  <a16:creationId xmlns:a16="http://schemas.microsoft.com/office/drawing/2014/main" id="{DD9BA064-AAC7-4221-9B35-C2FA3BFFC265}"/>
                </a:ext>
              </a:extLst>
            </xdr:cNvPr>
            <xdr:cNvSpPr txBox="1">
              <a:spLocks noChangeArrowheads="1"/>
            </xdr:cNvSpPr>
          </xdr:nvSpPr>
          <xdr:spPr bwMode="auto">
            <a:xfrm>
              <a:off x="3421380" y="26761440"/>
              <a:ext cx="257556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Hx = sum of all applied horizontal (X-axis)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+X-axis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487680</xdr:colOff>
          <xdr:row>160</xdr:row>
          <xdr:rowOff>76200</xdr:rowOff>
        </xdr:from>
        <xdr:to>
          <xdr:col>8</xdr:col>
          <xdr:colOff>144780</xdr:colOff>
          <xdr:row>163</xdr:row>
          <xdr:rowOff>76200</xdr:rowOff>
        </xdr:to>
        <xdr:sp macro="" textlink="">
          <xdr:nvSpPr>
            <xdr:cNvPr id="88070" name="Comment 6" hidden="1">
              <a:extLst>
                <a:ext uri="{FF2B5EF4-FFF2-40B4-BE49-F238E27FC236}">
                  <a16:creationId xmlns:a16="http://schemas.microsoft.com/office/drawing/2014/main" id="{1D6CA706-E77D-49DD-8F02-63DFDD372150}"/>
                </a:ext>
              </a:extLst>
            </xdr:cNvPr>
            <xdr:cNvSpPr txBox="1">
              <a:spLocks noChangeArrowheads="1"/>
            </xdr:cNvSpPr>
          </xdr:nvSpPr>
          <xdr:spPr bwMode="auto">
            <a:xfrm>
              <a:off x="3421380" y="26929080"/>
              <a:ext cx="2575560" cy="5029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Hy = sum of all applied horizontal (Y-axis) loads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in +Y-axis direction</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158</xdr:row>
          <xdr:rowOff>76200</xdr:rowOff>
        </xdr:from>
        <xdr:to>
          <xdr:col>5</xdr:col>
          <xdr:colOff>60960</xdr:colOff>
          <xdr:row>163</xdr:row>
          <xdr:rowOff>0</xdr:rowOff>
        </xdr:to>
        <xdr:sp macro="" textlink="">
          <xdr:nvSpPr>
            <xdr:cNvPr id="88071" name="Comment 7" hidden="1">
              <a:extLst>
                <a:ext uri="{FF2B5EF4-FFF2-40B4-BE49-F238E27FC236}">
                  <a16:creationId xmlns:a16="http://schemas.microsoft.com/office/drawing/2014/main" id="{D3A36179-1C25-4313-95B8-E54C1C309C4F}"/>
                </a:ext>
              </a:extLst>
            </xdr:cNvPr>
            <xdr:cNvSpPr txBox="1">
              <a:spLocks noChangeArrowheads="1"/>
            </xdr:cNvSpPr>
          </xdr:nvSpPr>
          <xdr:spPr bwMode="auto">
            <a:xfrm>
              <a:off x="1653540" y="26593800"/>
              <a:ext cx="2209800" cy="7620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Y-axis from the origin Y-axis is calculated as follows:</a:t>
              </a:r>
            </a:p>
            <a:p>
              <a:pPr algn="l" rtl="0">
                <a:defRPr sz="1000"/>
              </a:pPr>
              <a:r>
                <a:rPr lang="en-US" sz="800" b="0" i="0" u="none" strike="noStrike" baseline="0%">
                  <a:solidFill>
                    <a:srgbClr val="000000"/>
                  </a:solidFill>
                  <a:latin typeface="Tahoma"/>
                  <a:ea typeface="Tahoma"/>
                  <a:cs typeface="Tahoma"/>
                </a:rPr>
                <a:t>   Xc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(Xo)/Np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159</xdr:row>
          <xdr:rowOff>76200</xdr:rowOff>
        </xdr:from>
        <xdr:to>
          <xdr:col>5</xdr:col>
          <xdr:colOff>60960</xdr:colOff>
          <xdr:row>164</xdr:row>
          <xdr:rowOff>30480</xdr:rowOff>
        </xdr:to>
        <xdr:sp macro="" textlink="">
          <xdr:nvSpPr>
            <xdr:cNvPr id="88072" name="Comment 8" hidden="1">
              <a:extLst>
                <a:ext uri="{FF2B5EF4-FFF2-40B4-BE49-F238E27FC236}">
                  <a16:creationId xmlns:a16="http://schemas.microsoft.com/office/drawing/2014/main" id="{9CAF4107-A644-4483-AAAF-68E2737B4FCC}"/>
                </a:ext>
              </a:extLst>
            </xdr:cNvPr>
            <xdr:cNvSpPr txBox="1">
              <a:spLocks noChangeArrowheads="1"/>
            </xdr:cNvSpPr>
          </xdr:nvSpPr>
          <xdr:spPr bwMode="auto">
            <a:xfrm>
              <a:off x="1653540" y="26761440"/>
              <a:ext cx="2209800" cy="7924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location of the centroidal X-axis from the origin X-axis is calculated as follows:</a:t>
              </a:r>
            </a:p>
            <a:p>
              <a:pPr algn="l" rtl="0">
                <a:defRPr sz="1000"/>
              </a:pPr>
              <a:r>
                <a:rPr lang="en-US" sz="800" b="0" i="0" u="none" strike="noStrike" baseline="0%">
                  <a:solidFill>
                    <a:srgbClr val="000000"/>
                  </a:solidFill>
                  <a:latin typeface="Tahoma"/>
                  <a:ea typeface="Tahoma"/>
                  <a:cs typeface="Tahoma"/>
                </a:rPr>
                <a:t>   Yc = </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(Yo)/Np</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Np = total number of piles in group</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164</xdr:row>
          <xdr:rowOff>76200</xdr:rowOff>
        </xdr:from>
        <xdr:to>
          <xdr:col>5</xdr:col>
          <xdr:colOff>274320</xdr:colOff>
          <xdr:row>170</xdr:row>
          <xdr:rowOff>76200</xdr:rowOff>
        </xdr:to>
        <xdr:sp macro="" textlink="">
          <xdr:nvSpPr>
            <xdr:cNvPr id="88073" name="Comment 9" hidden="1">
              <a:extLst>
                <a:ext uri="{FF2B5EF4-FFF2-40B4-BE49-F238E27FC236}">
                  <a16:creationId xmlns:a16="http://schemas.microsoft.com/office/drawing/2014/main" id="{FEA31505-D9A0-4B5E-808F-4DCBFCC19A43}"/>
                </a:ext>
              </a:extLst>
            </xdr:cNvPr>
            <xdr:cNvSpPr txBox="1">
              <a:spLocks noChangeArrowheads="1"/>
            </xdr:cNvSpPr>
          </xdr:nvSpPr>
          <xdr:spPr bwMode="auto">
            <a:xfrm>
              <a:off x="1653540" y="27599640"/>
              <a:ext cx="242316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orientation of the principal axes, is defined by the rotation angle,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from the centroidal axes and is calculated as follows:</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a:t>
              </a:r>
              <a:r>
                <a:rPr lang="en-US" sz="800" b="0" i="0" u="none" strike="noStrike" baseline="0%">
                  <a:solidFill>
                    <a:srgbClr val="000000"/>
                  </a:solidFill>
                  <a:latin typeface="Tahoma"/>
                  <a:ea typeface="Tahoma"/>
                  <a:cs typeface="Tahoma"/>
                </a:rPr>
                <a:t> = (ATAN(-2*Ixy/(Ix-Iy)))/2</a:t>
              </a:r>
            </a:p>
            <a:p>
              <a:pPr algn="l" rtl="0">
                <a:defRPr sz="1000"/>
              </a:pPr>
              <a:r>
                <a:rPr lang="en-US" sz="800" b="0" i="0" u="none" strike="noStrike" baseline="0%">
                  <a:solidFill>
                    <a:srgbClr val="000000"/>
                  </a:solidFill>
                  <a:latin typeface="Tahoma"/>
                  <a:ea typeface="Tahoma"/>
                  <a:cs typeface="Tahoma"/>
                </a:rPr>
                <a:t>Note: sign convention is positive (+) ccw.</a:t>
              </a:r>
            </a:p>
            <a:p>
              <a:pPr algn="l" rtl="0">
                <a:defRPr sz="1000"/>
              </a:pPr>
              <a:r>
                <a:rPr lang="en-US" sz="800" b="0" i="0" u="none" strike="noStrike" baseline="0%">
                  <a:solidFill>
                    <a:srgbClr val="000000"/>
                  </a:solidFill>
                  <a:latin typeface="Tahoma"/>
                  <a:ea typeface="Tahoma"/>
                  <a:cs typeface="Tahoma"/>
                </a:rPr>
                <a:t>           '</a:t>
              </a:r>
              <a:r>
                <a:rPr lang="en-US" sz="800" b="0" i="0" u="none" strike="noStrike" baseline="0%">
                  <a:solidFill>
                    <a:srgbClr val="000000"/>
                  </a:solidFill>
                  <a:latin typeface="Symbol"/>
                  <a:ea typeface="Tahoma"/>
                  <a:cs typeface="Tahoma"/>
                </a:rPr>
                <a:t>q </a:t>
              </a:r>
              <a:r>
                <a:rPr lang="en-US" sz="800" b="0" i="0" u="none" strike="noStrike" baseline="0%">
                  <a:solidFill>
                    <a:srgbClr val="000000"/>
                  </a:solidFill>
                  <a:latin typeface="Tahoma"/>
                  <a:ea typeface="Tahoma"/>
                  <a:cs typeface="Tahoma"/>
                </a:rPr>
                <a:t>' = 0  for a pile group with at least one</a:t>
              </a:r>
            </a:p>
            <a:p>
              <a:pPr algn="l" rtl="0">
                <a:defRPr sz="1000"/>
              </a:pPr>
              <a:r>
                <a:rPr lang="en-US" sz="800" b="0" i="0" u="none" strike="noStrike" baseline="0%">
                  <a:solidFill>
                    <a:srgbClr val="000000"/>
                  </a:solidFill>
                  <a:latin typeface="Tahoma"/>
                  <a:ea typeface="Tahoma"/>
                  <a:cs typeface="Tahoma"/>
                </a:rPr>
                <a:t>          axis of symmetry.</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594360</xdr:colOff>
          <xdr:row>9</xdr:row>
          <xdr:rowOff>76200</xdr:rowOff>
        </xdr:from>
        <xdr:to>
          <xdr:col>6</xdr:col>
          <xdr:colOff>525780</xdr:colOff>
          <xdr:row>14</xdr:row>
          <xdr:rowOff>99060</xdr:rowOff>
        </xdr:to>
        <xdr:sp macro="" textlink="">
          <xdr:nvSpPr>
            <xdr:cNvPr id="88074" name="Comment 10" hidden="1">
              <a:extLst>
                <a:ext uri="{FF2B5EF4-FFF2-40B4-BE49-F238E27FC236}">
                  <a16:creationId xmlns:a16="http://schemas.microsoft.com/office/drawing/2014/main" id="{7E1CA7E6-3AD2-43E0-919D-D04D223D5CAC}"/>
                </a:ext>
              </a:extLst>
            </xdr:cNvPr>
            <xdr:cNvSpPr txBox="1">
              <a:spLocks noChangeArrowheads="1"/>
            </xdr:cNvSpPr>
          </xdr:nvSpPr>
          <xdr:spPr bwMode="auto">
            <a:xfrm>
              <a:off x="2278380" y="1615440"/>
              <a:ext cx="2811780" cy="8610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piles must be located in the positive 1st quadrant.  That is, all pile Xo, Yo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pile coordinates, or those cell values should be input = 0.</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10</xdr:row>
          <xdr:rowOff>76200</xdr:rowOff>
        </xdr:from>
        <xdr:to>
          <xdr:col>4</xdr:col>
          <xdr:colOff>716280</xdr:colOff>
          <xdr:row>12</xdr:row>
          <xdr:rowOff>45720</xdr:rowOff>
        </xdr:to>
        <xdr:sp macro="" textlink="">
          <xdr:nvSpPr>
            <xdr:cNvPr id="88075" name="Comment 11" hidden="1">
              <a:extLst>
                <a:ext uri="{FF2B5EF4-FFF2-40B4-BE49-F238E27FC236}">
                  <a16:creationId xmlns:a16="http://schemas.microsoft.com/office/drawing/2014/main" id="{BB6E4378-5F92-4960-B1BD-1EFDBB259062}"/>
                </a:ext>
              </a:extLst>
            </xdr:cNvPr>
            <xdr:cNvSpPr txBox="1">
              <a:spLocks noChangeArrowheads="1"/>
            </xdr:cNvSpPr>
          </xdr:nvSpPr>
          <xdr:spPr bwMode="auto">
            <a:xfrm>
              <a:off x="1653540" y="1783080"/>
              <a:ext cx="1996440" cy="304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'Xo' coordinate is the x-distance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594360</xdr:colOff>
          <xdr:row>10</xdr:row>
          <xdr:rowOff>76200</xdr:rowOff>
        </xdr:from>
        <xdr:to>
          <xdr:col>5</xdr:col>
          <xdr:colOff>457200</xdr:colOff>
          <xdr:row>12</xdr:row>
          <xdr:rowOff>45720</xdr:rowOff>
        </xdr:to>
        <xdr:sp macro="" textlink="">
          <xdr:nvSpPr>
            <xdr:cNvPr id="88076" name="Comment 12" hidden="1">
              <a:extLst>
                <a:ext uri="{FF2B5EF4-FFF2-40B4-BE49-F238E27FC236}">
                  <a16:creationId xmlns:a16="http://schemas.microsoft.com/office/drawing/2014/main" id="{D864A05F-9454-44A8-B81D-420E71F4C700}"/>
                </a:ext>
              </a:extLst>
            </xdr:cNvPr>
            <xdr:cNvSpPr txBox="1">
              <a:spLocks noChangeArrowheads="1"/>
            </xdr:cNvSpPr>
          </xdr:nvSpPr>
          <xdr:spPr bwMode="auto">
            <a:xfrm>
              <a:off x="2278380" y="1783080"/>
              <a:ext cx="1981200" cy="3048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'Yo' coordinate is the y-distance from the origin axis to a particular pile.</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65</xdr:row>
          <xdr:rowOff>76200</xdr:rowOff>
        </xdr:from>
        <xdr:to>
          <xdr:col>4</xdr:col>
          <xdr:colOff>152400</xdr:colOff>
          <xdr:row>67</xdr:row>
          <xdr:rowOff>91440</xdr:rowOff>
        </xdr:to>
        <xdr:sp macro="" textlink="">
          <xdr:nvSpPr>
            <xdr:cNvPr id="88078" name="Comment 14" hidden="1">
              <a:extLst>
                <a:ext uri="{FF2B5EF4-FFF2-40B4-BE49-F238E27FC236}">
                  <a16:creationId xmlns:a16="http://schemas.microsoft.com/office/drawing/2014/main" id="{A2230577-A95F-4F2B-A5D0-4D238676A78F}"/>
                </a:ext>
              </a:extLst>
            </xdr:cNvPr>
            <xdr:cNvSpPr txBox="1">
              <a:spLocks noChangeArrowheads="1"/>
            </xdr:cNvSpPr>
          </xdr:nvSpPr>
          <xdr:spPr bwMode="auto">
            <a:xfrm>
              <a:off x="922020" y="11003280"/>
              <a:ext cx="216408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 coordinate is the x-distance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66</xdr:row>
          <xdr:rowOff>76200</xdr:rowOff>
        </xdr:from>
        <xdr:to>
          <xdr:col>4</xdr:col>
          <xdr:colOff>137160</xdr:colOff>
          <xdr:row>68</xdr:row>
          <xdr:rowOff>91440</xdr:rowOff>
        </xdr:to>
        <xdr:sp macro="" textlink="">
          <xdr:nvSpPr>
            <xdr:cNvPr id="88079" name="Comment 15" hidden="1">
              <a:extLst>
                <a:ext uri="{FF2B5EF4-FFF2-40B4-BE49-F238E27FC236}">
                  <a16:creationId xmlns:a16="http://schemas.microsoft.com/office/drawing/2014/main" id="{940E197F-1B8C-4141-967B-1000FA5101F9}"/>
                </a:ext>
              </a:extLst>
            </xdr:cNvPr>
            <xdr:cNvSpPr txBox="1">
              <a:spLocks noChangeArrowheads="1"/>
            </xdr:cNvSpPr>
          </xdr:nvSpPr>
          <xdr:spPr bwMode="auto">
            <a:xfrm>
              <a:off x="922020" y="11170920"/>
              <a:ext cx="214884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 coordinate is the y-distance from the origin axis to a particular pier/loading.</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67</xdr:row>
          <xdr:rowOff>76200</xdr:rowOff>
        </xdr:from>
        <xdr:to>
          <xdr:col>5</xdr:col>
          <xdr:colOff>91440</xdr:colOff>
          <xdr:row>73</xdr:row>
          <xdr:rowOff>76200</xdr:rowOff>
        </xdr:to>
        <xdr:sp macro="" textlink="">
          <xdr:nvSpPr>
            <xdr:cNvPr id="88080" name="Comment 16" hidden="1">
              <a:extLst>
                <a:ext uri="{FF2B5EF4-FFF2-40B4-BE49-F238E27FC236}">
                  <a16:creationId xmlns:a16="http://schemas.microsoft.com/office/drawing/2014/main" id="{636067A1-3D44-4ECC-AE56-7D682D14F9FD}"/>
                </a:ext>
              </a:extLst>
            </xdr:cNvPr>
            <xdr:cNvSpPr txBox="1">
              <a:spLocks noChangeArrowheads="1"/>
            </xdr:cNvSpPr>
          </xdr:nvSpPr>
          <xdr:spPr bwMode="auto">
            <a:xfrm>
              <a:off x="922020" y="11338560"/>
              <a:ext cx="297180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vertical distance, 'h',  from the point of application of any horizontal loads (Hx, Hy) to the top of the piles. This 'h' distance should always be a positive number, but it may be input = 0 if there are no horizontal loads at that pier.  The 'h' distance is used in conjunction with the horizontal loads to obtain any additional moments (Mx, My) that are to be eventually summed with the applied moments.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69</xdr:row>
          <xdr:rowOff>76200</xdr:rowOff>
        </xdr:from>
        <xdr:to>
          <xdr:col>5</xdr:col>
          <xdr:colOff>541020</xdr:colOff>
          <xdr:row>71</xdr:row>
          <xdr:rowOff>76200</xdr:rowOff>
        </xdr:to>
        <xdr:sp macro="" textlink="">
          <xdr:nvSpPr>
            <xdr:cNvPr id="88081" name="Comment 17" hidden="1">
              <a:extLst>
                <a:ext uri="{FF2B5EF4-FFF2-40B4-BE49-F238E27FC236}">
                  <a16:creationId xmlns:a16="http://schemas.microsoft.com/office/drawing/2014/main" id="{483F36B5-661D-43D9-A5AF-16B47A6B183D}"/>
                </a:ext>
              </a:extLst>
            </xdr:cNvPr>
            <xdr:cNvSpPr txBox="1">
              <a:spLocks noChangeArrowheads="1"/>
            </xdr:cNvSpPr>
          </xdr:nvSpPr>
          <xdr:spPr bwMode="auto">
            <a:xfrm>
              <a:off x="922020" y="11673840"/>
              <a:ext cx="3421380" cy="3352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'Hx' is the horizontal (X-axis) load to be applied at the pier location.</a:t>
              </a:r>
            </a:p>
            <a:p>
              <a:pPr algn="l" rtl="0">
                <a:defRPr sz="1000"/>
              </a:pPr>
              <a:r>
                <a:rPr lang="en-US" sz="800" b="0" i="0" u="none" strike="noStrike" baseline="0%">
                  <a:solidFill>
                    <a:srgbClr val="000000"/>
                  </a:solidFill>
                  <a:latin typeface="Tahoma"/>
                  <a:ea typeface="Tahoma"/>
                  <a:cs typeface="Tahoma"/>
                </a:rPr>
                <a:t>Sign convention: + = to right</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70</xdr:row>
          <xdr:rowOff>76200</xdr:rowOff>
        </xdr:from>
        <xdr:to>
          <xdr:col>5</xdr:col>
          <xdr:colOff>556260</xdr:colOff>
          <xdr:row>72</xdr:row>
          <xdr:rowOff>91440</xdr:rowOff>
        </xdr:to>
        <xdr:sp macro="" textlink="">
          <xdr:nvSpPr>
            <xdr:cNvPr id="88082" name="Comment 18" hidden="1">
              <a:extLst>
                <a:ext uri="{FF2B5EF4-FFF2-40B4-BE49-F238E27FC236}">
                  <a16:creationId xmlns:a16="http://schemas.microsoft.com/office/drawing/2014/main" id="{29A0F294-E21F-4BD3-A462-6C48C763D468}"/>
                </a:ext>
              </a:extLst>
            </xdr:cNvPr>
            <xdr:cNvSpPr txBox="1">
              <a:spLocks noChangeArrowheads="1"/>
            </xdr:cNvSpPr>
          </xdr:nvSpPr>
          <xdr:spPr bwMode="auto">
            <a:xfrm>
              <a:off x="922020" y="11841480"/>
              <a:ext cx="343662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'Hy' is the horizontal (Y-axis)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 the page</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68</xdr:row>
          <xdr:rowOff>76200</xdr:rowOff>
        </xdr:from>
        <xdr:to>
          <xdr:col>5</xdr:col>
          <xdr:colOff>419100</xdr:colOff>
          <xdr:row>71</xdr:row>
          <xdr:rowOff>38100</xdr:rowOff>
        </xdr:to>
        <xdr:sp macro="" textlink="">
          <xdr:nvSpPr>
            <xdr:cNvPr id="88083" name="Comment 19" hidden="1">
              <a:extLst>
                <a:ext uri="{FF2B5EF4-FFF2-40B4-BE49-F238E27FC236}">
                  <a16:creationId xmlns:a16="http://schemas.microsoft.com/office/drawing/2014/main" id="{7E05B6A9-30D3-4C2F-8069-CAE803B10E1F}"/>
                </a:ext>
              </a:extLst>
            </xdr:cNvPr>
            <xdr:cNvSpPr txBox="1">
              <a:spLocks noChangeArrowheads="1"/>
            </xdr:cNvSpPr>
          </xdr:nvSpPr>
          <xdr:spPr bwMode="auto">
            <a:xfrm>
              <a:off x="922020" y="11506200"/>
              <a:ext cx="3299460" cy="4648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'Pz' is the vertical (Z-axis) load to be applied at the pier location.</a:t>
              </a:r>
            </a:p>
            <a:p>
              <a:pPr algn="l" rtl="0">
                <a:defRPr sz="1000"/>
              </a:pPr>
              <a:r>
                <a:rPr lang="en-US" sz="800" b="0" i="0" u="none" strike="noStrike" baseline="0%">
                  <a:solidFill>
                    <a:srgbClr val="000000"/>
                  </a:solidFill>
                  <a:latin typeface="Tahoma"/>
                  <a:ea typeface="Tahoma"/>
                  <a:cs typeface="Tahoma"/>
                </a:rPr>
                <a:t>Sign convention: + = upward (out of page)</a:t>
              </a:r>
            </a:p>
            <a:p>
              <a:pPr algn="l" rtl="0">
                <a:defRPr sz="1000"/>
              </a:pPr>
              <a:r>
                <a:rPr lang="en-US" sz="800" b="0" i="0" u="none" strike="noStrike" baseline="0%">
                  <a:solidFill>
                    <a:srgbClr val="000000"/>
                  </a:solidFill>
                  <a:latin typeface="Tahoma"/>
                  <a:ea typeface="Tahoma"/>
                  <a:cs typeface="Tahoma"/>
                </a:rPr>
                <a:t>                                   -  = downward (into page) for gravity loads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71</xdr:row>
          <xdr:rowOff>76200</xdr:rowOff>
        </xdr:from>
        <xdr:to>
          <xdr:col>5</xdr:col>
          <xdr:colOff>182880</xdr:colOff>
          <xdr:row>73</xdr:row>
          <xdr:rowOff>91440</xdr:rowOff>
        </xdr:to>
        <xdr:sp macro="" textlink="">
          <xdr:nvSpPr>
            <xdr:cNvPr id="88084" name="Comment 20" hidden="1">
              <a:extLst>
                <a:ext uri="{FF2B5EF4-FFF2-40B4-BE49-F238E27FC236}">
                  <a16:creationId xmlns:a16="http://schemas.microsoft.com/office/drawing/2014/main" id="{E393098D-8588-43DC-B08D-F8CDFF1A439E}"/>
                </a:ext>
              </a:extLst>
            </xdr:cNvPr>
            <xdr:cNvSpPr txBox="1">
              <a:spLocks noChangeArrowheads="1"/>
            </xdr:cNvSpPr>
          </xdr:nvSpPr>
          <xdr:spPr bwMode="auto">
            <a:xfrm>
              <a:off x="922020" y="12009120"/>
              <a:ext cx="306324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'Mx' is the X-axis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72</xdr:row>
          <xdr:rowOff>76200</xdr:rowOff>
        </xdr:from>
        <xdr:to>
          <xdr:col>5</xdr:col>
          <xdr:colOff>160020</xdr:colOff>
          <xdr:row>74</xdr:row>
          <xdr:rowOff>91440</xdr:rowOff>
        </xdr:to>
        <xdr:sp macro="" textlink="">
          <xdr:nvSpPr>
            <xdr:cNvPr id="88085" name="Comment 21" hidden="1">
              <a:extLst>
                <a:ext uri="{FF2B5EF4-FFF2-40B4-BE49-F238E27FC236}">
                  <a16:creationId xmlns:a16="http://schemas.microsoft.com/office/drawing/2014/main" id="{B7CC2267-A1FA-45EF-BF19-4E35C017CBDA}"/>
                </a:ext>
              </a:extLst>
            </xdr:cNvPr>
            <xdr:cNvSpPr txBox="1">
              <a:spLocks noChangeArrowheads="1"/>
            </xdr:cNvSpPr>
          </xdr:nvSpPr>
          <xdr:spPr bwMode="auto">
            <a:xfrm>
              <a:off x="922020" y="12176760"/>
              <a:ext cx="3040380" cy="3505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'My' is the Y-axis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106680</xdr:colOff>
          <xdr:row>73</xdr:row>
          <xdr:rowOff>76200</xdr:rowOff>
        </xdr:from>
        <xdr:to>
          <xdr:col>5</xdr:col>
          <xdr:colOff>175260</xdr:colOff>
          <xdr:row>75</xdr:row>
          <xdr:rowOff>99060</xdr:rowOff>
        </xdr:to>
        <xdr:sp macro="" textlink="">
          <xdr:nvSpPr>
            <xdr:cNvPr id="88086" name="Comment 22" hidden="1">
              <a:extLst>
                <a:ext uri="{FF2B5EF4-FFF2-40B4-BE49-F238E27FC236}">
                  <a16:creationId xmlns:a16="http://schemas.microsoft.com/office/drawing/2014/main" id="{DED8C52D-DF7D-4A83-8977-BB9BB5A56FAD}"/>
                </a:ext>
              </a:extLst>
            </xdr:cNvPr>
            <xdr:cNvSpPr txBox="1">
              <a:spLocks noChangeArrowheads="1"/>
            </xdr:cNvSpPr>
          </xdr:nvSpPr>
          <xdr:spPr bwMode="auto">
            <a:xfrm>
              <a:off x="922020" y="12344400"/>
              <a:ext cx="3055620" cy="3581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'Mz' is the Z-axis moment to be applied at the pier location.</a:t>
              </a:r>
            </a:p>
            <a:p>
              <a:pPr algn="l" rtl="0">
                <a:defRPr sz="1000"/>
              </a:pPr>
              <a:r>
                <a:rPr lang="en-US" sz="800" b="0" i="0" u="none" strike="noStrike" baseline="0%">
                  <a:solidFill>
                    <a:srgbClr val="000000"/>
                  </a:solidFill>
                  <a:latin typeface="Tahoma"/>
                  <a:ea typeface="Tahoma"/>
                  <a:cs typeface="Tahoma"/>
                </a:rPr>
                <a:t>Sign convention: + = by "Right-Hand-Rule"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487680</xdr:colOff>
          <xdr:row>161</xdr:row>
          <xdr:rowOff>76200</xdr:rowOff>
        </xdr:from>
        <xdr:to>
          <xdr:col>9</xdr:col>
          <xdr:colOff>144780</xdr:colOff>
          <xdr:row>164</xdr:row>
          <xdr:rowOff>45720</xdr:rowOff>
        </xdr:to>
        <xdr:sp macro="" textlink="">
          <xdr:nvSpPr>
            <xdr:cNvPr id="88087" name="Comment 23" hidden="1">
              <a:extLst>
                <a:ext uri="{FF2B5EF4-FFF2-40B4-BE49-F238E27FC236}">
                  <a16:creationId xmlns:a16="http://schemas.microsoft.com/office/drawing/2014/main" id="{4D0DEEEE-2948-43CD-B0AE-623ED4E45418}"/>
                </a:ext>
              </a:extLst>
            </xdr:cNvPr>
            <xdr:cNvSpPr txBox="1">
              <a:spLocks noChangeArrowheads="1"/>
            </xdr:cNvSpPr>
          </xdr:nvSpPr>
          <xdr:spPr bwMode="auto">
            <a:xfrm>
              <a:off x="3421380" y="27096720"/>
              <a:ext cx="3200400" cy="4724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Mx = sum of all applied X-axis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about +X-axis</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487680</xdr:colOff>
          <xdr:row>162</xdr:row>
          <xdr:rowOff>76200</xdr:rowOff>
        </xdr:from>
        <xdr:to>
          <xdr:col>9</xdr:col>
          <xdr:colOff>205740</xdr:colOff>
          <xdr:row>165</xdr:row>
          <xdr:rowOff>76200</xdr:rowOff>
        </xdr:to>
        <xdr:sp macro="" textlink="">
          <xdr:nvSpPr>
            <xdr:cNvPr id="88088" name="Comment 24" hidden="1">
              <a:extLst>
                <a:ext uri="{FF2B5EF4-FFF2-40B4-BE49-F238E27FC236}">
                  <a16:creationId xmlns:a16="http://schemas.microsoft.com/office/drawing/2014/main" id="{D55DCFE2-4F05-416D-AC2E-5AAB860BE72D}"/>
                </a:ext>
              </a:extLst>
            </xdr:cNvPr>
            <xdr:cNvSpPr txBox="1">
              <a:spLocks noChangeArrowheads="1"/>
            </xdr:cNvSpPr>
          </xdr:nvSpPr>
          <xdr:spPr bwMode="auto">
            <a:xfrm>
              <a:off x="3421380" y="27264360"/>
              <a:ext cx="3261360" cy="5029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My = sum of all applied Y-axis moments calculated at the top of the piles and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about +Y-axis</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487680</xdr:colOff>
          <xdr:row>163</xdr:row>
          <xdr:rowOff>76200</xdr:rowOff>
        </xdr:from>
        <xdr:to>
          <xdr:col>9</xdr:col>
          <xdr:colOff>129540</xdr:colOff>
          <xdr:row>166</xdr:row>
          <xdr:rowOff>30480</xdr:rowOff>
        </xdr:to>
        <xdr:sp macro="" textlink="">
          <xdr:nvSpPr>
            <xdr:cNvPr id="88089" name="Comment 25" hidden="1">
              <a:extLst>
                <a:ext uri="{FF2B5EF4-FFF2-40B4-BE49-F238E27FC236}">
                  <a16:creationId xmlns:a16="http://schemas.microsoft.com/office/drawing/2014/main" id="{94BFB673-06AC-48EE-91F6-4C7170C8DEBA}"/>
                </a:ext>
              </a:extLst>
            </xdr:cNvPr>
            <xdr:cNvSpPr txBox="1">
              <a:spLocks noChangeArrowheads="1"/>
            </xdr:cNvSpPr>
          </xdr:nvSpPr>
          <xdr:spPr bwMode="auto">
            <a:xfrm>
              <a:off x="3421380" y="27432000"/>
              <a:ext cx="318516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Symbol"/>
                </a:rPr>
                <a:t>S </a:t>
              </a:r>
              <a:r>
                <a:rPr lang="en-US" sz="800" b="0" i="0" u="none" strike="noStrike" baseline="0%">
                  <a:solidFill>
                    <a:srgbClr val="000000"/>
                  </a:solidFill>
                  <a:latin typeface="Tahoma"/>
                  <a:ea typeface="Tahoma"/>
                  <a:cs typeface="Tahoma"/>
                </a:rPr>
                <a:t> Mz = sum of all applied Z-axis moments translated to the centroid of the pile group.</a:t>
              </a:r>
            </a:p>
            <a:p>
              <a:pPr algn="l" rtl="0">
                <a:defRPr sz="1000"/>
              </a:pPr>
              <a:r>
                <a:rPr lang="en-US" sz="800" b="0" i="0" u="none" strike="noStrike" baseline="0%">
                  <a:solidFill>
                    <a:srgbClr val="000000"/>
                  </a:solidFill>
                  <a:latin typeface="Tahoma"/>
                  <a:ea typeface="Tahoma"/>
                  <a:cs typeface="Tahoma"/>
                </a:rPr>
                <a:t>Sign convention: positive by "Right-Hand-Rule" about +Z-axis</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168</xdr:row>
          <xdr:rowOff>76200</xdr:rowOff>
        </xdr:from>
        <xdr:to>
          <xdr:col>5</xdr:col>
          <xdr:colOff>137160</xdr:colOff>
          <xdr:row>171</xdr:row>
          <xdr:rowOff>76200</xdr:rowOff>
        </xdr:to>
        <xdr:sp macro="" textlink="">
          <xdr:nvSpPr>
            <xdr:cNvPr id="88090" name="Comment 26" hidden="1">
              <a:extLst>
                <a:ext uri="{FF2B5EF4-FFF2-40B4-BE49-F238E27FC236}">
                  <a16:creationId xmlns:a16="http://schemas.microsoft.com/office/drawing/2014/main" id="{80887F6D-27B8-4F11-BD06-13A03F9B3BD9}"/>
                </a:ext>
              </a:extLst>
            </xdr:cNvPr>
            <xdr:cNvSpPr txBox="1">
              <a:spLocks noChangeArrowheads="1"/>
            </xdr:cNvSpPr>
          </xdr:nvSpPr>
          <xdr:spPr bwMode="auto">
            <a:xfrm>
              <a:off x="1653540" y="28270200"/>
              <a:ext cx="2286000" cy="50292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'Rz(max)'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169</xdr:row>
          <xdr:rowOff>76200</xdr:rowOff>
        </xdr:from>
        <xdr:to>
          <xdr:col>5</xdr:col>
          <xdr:colOff>137160</xdr:colOff>
          <xdr:row>172</xdr:row>
          <xdr:rowOff>30480</xdr:rowOff>
        </xdr:to>
        <xdr:sp macro="" textlink="">
          <xdr:nvSpPr>
            <xdr:cNvPr id="88091" name="Comment 27" hidden="1">
              <a:extLst>
                <a:ext uri="{FF2B5EF4-FFF2-40B4-BE49-F238E27FC236}">
                  <a16:creationId xmlns:a16="http://schemas.microsoft.com/office/drawing/2014/main" id="{2EBB836F-C018-4A4A-95DB-F5E35C58CBF0}"/>
                </a:ext>
              </a:extLst>
            </xdr:cNvPr>
            <xdr:cNvSpPr txBox="1">
              <a:spLocks noChangeArrowheads="1"/>
            </xdr:cNvSpPr>
          </xdr:nvSpPr>
          <xdr:spPr bwMode="auto">
            <a:xfrm>
              <a:off x="1653540" y="28437840"/>
              <a:ext cx="228600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Sign convention for 'Rz(min)' is as follows:</a:t>
              </a:r>
            </a:p>
            <a:p>
              <a:pPr algn="l" rtl="0">
                <a:defRPr sz="1000"/>
              </a:pPr>
              <a:r>
                <a:rPr lang="en-US" sz="800" b="0" i="0" u="none" strike="noStrike" baseline="0%">
                  <a:solidFill>
                    <a:srgbClr val="000000"/>
                  </a:solidFill>
                  <a:latin typeface="Tahoma"/>
                  <a:ea typeface="Tahoma"/>
                  <a:cs typeface="Tahoma"/>
                </a:rPr>
                <a:t>   positive (+) = compression pile reaction</a:t>
              </a:r>
            </a:p>
            <a:p>
              <a:pPr algn="l" rtl="0">
                <a:defRPr sz="1000"/>
              </a:pPr>
              <a:r>
                <a:rPr lang="en-US" sz="800" b="0" i="0" u="none" strike="noStrike" baseline="0%">
                  <a:solidFill>
                    <a:srgbClr val="000000"/>
                  </a:solidFill>
                  <a:latin typeface="Tahoma"/>
                  <a:ea typeface="Tahoma"/>
                  <a:cs typeface="Tahoma"/>
                </a:rPr>
                <a:t>   negative (-) = tension (uplift) pile reaction</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838200</xdr:colOff>
          <xdr:row>170</xdr:row>
          <xdr:rowOff>76200</xdr:rowOff>
        </xdr:from>
        <xdr:to>
          <xdr:col>4</xdr:col>
          <xdr:colOff>807720</xdr:colOff>
          <xdr:row>173</xdr:row>
          <xdr:rowOff>45720</xdr:rowOff>
        </xdr:to>
        <xdr:sp macro="" textlink="">
          <xdr:nvSpPr>
            <xdr:cNvPr id="88092" name="Comment 28" hidden="1">
              <a:extLst>
                <a:ext uri="{FF2B5EF4-FFF2-40B4-BE49-F238E27FC236}">
                  <a16:creationId xmlns:a16="http://schemas.microsoft.com/office/drawing/2014/main" id="{E158CBE3-28D7-4041-8A36-2CD6AED038CC}"/>
                </a:ext>
              </a:extLst>
            </xdr:cNvPr>
            <xdr:cNvSpPr txBox="1">
              <a:spLocks noChangeArrowheads="1"/>
            </xdr:cNvSpPr>
          </xdr:nvSpPr>
          <xdr:spPr bwMode="auto">
            <a:xfrm>
              <a:off x="1653540" y="28605480"/>
              <a:ext cx="2087880" cy="4724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Note: 'Rh(max)' is an "absolute" value</a:t>
              </a:r>
            </a:p>
            <a:p>
              <a:pPr algn="l" rtl="0">
                <a:defRPr sz="1000"/>
              </a:pPr>
              <a:r>
                <a:rPr lang="en-US" sz="800" b="0" i="0" u="none" strike="noStrike" baseline="0%">
                  <a:solidFill>
                    <a:srgbClr val="000000"/>
                  </a:solidFill>
                  <a:latin typeface="Tahoma"/>
                  <a:ea typeface="Tahoma"/>
                  <a:cs typeface="Tahoma"/>
                </a:rPr>
                <a:t>          with no particular sign convention,</a:t>
              </a:r>
            </a:p>
            <a:p>
              <a:pPr algn="l" rtl="0">
                <a:defRPr sz="1000"/>
              </a:pPr>
              <a:r>
                <a:rPr lang="en-US" sz="800" b="0" i="0" u="none" strike="noStrike" baseline="0%">
                  <a:solidFill>
                    <a:srgbClr val="000000"/>
                  </a:solidFill>
                  <a:latin typeface="Tahoma"/>
                  <a:ea typeface="Tahoma"/>
                  <a:cs typeface="Tahoma"/>
                </a:rPr>
                <a:t>          thus no directional sense.</a:t>
              </a:r>
            </a:p>
          </xdr:txBody>
        </xdr:sp>
        <xdr:clientData/>
      </xdr:twoCellAnchor>
    </mc:Fallback>
  </mc:AlternateContent>
  <mc:AlternateContent xmlns:mc="http://schemas.openxmlformats.org/markup-compatibility/2006">
    <mc:Choice xmlns:v="urn:schemas-microsoft-com:vml" Requires="v"/>
    <mc:Fallback>
      <xdr:twoCellAnchor editAs="absolute">
        <xdr:from>
          <xdr:col>61</xdr:col>
          <xdr:colOff>220980</xdr:colOff>
          <xdr:row>0</xdr:row>
          <xdr:rowOff>167640</xdr:rowOff>
        </xdr:from>
        <xdr:to>
          <xdr:col>64</xdr:col>
          <xdr:colOff>426720</xdr:colOff>
          <xdr:row>6</xdr:row>
          <xdr:rowOff>7620</xdr:rowOff>
        </xdr:to>
        <xdr:sp macro="" textlink="">
          <xdr:nvSpPr>
            <xdr:cNvPr id="88094" name="Comment 30" hidden="1">
              <a:extLst>
                <a:ext uri="{FF2B5EF4-FFF2-40B4-BE49-F238E27FC236}">
                  <a16:creationId xmlns:a16="http://schemas.microsoft.com/office/drawing/2014/main" id="{25267754-D2ED-46AA-8F8D-AF5798B4C118}"/>
                </a:ext>
              </a:extLst>
            </xdr:cNvPr>
            <xdr:cNvSpPr txBox="1">
              <a:spLocks noChangeArrowheads="1"/>
            </xdr:cNvSpPr>
          </xdr:nvSpPr>
          <xdr:spPr bwMode="auto">
            <a:xfrm>
              <a:off x="20634960" y="167640"/>
              <a:ext cx="2080260" cy="8763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user may manually adjust the scaling of the plotted pile group by adjusting the "X" and "Y" plot scale factors below.  The object is to try to equalize the maximum X-axis and Y-axis values which are shown.</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7620</xdr:colOff>
          <xdr:row>7</xdr:row>
          <xdr:rowOff>68580</xdr:rowOff>
        </xdr:from>
        <xdr:to>
          <xdr:col>6</xdr:col>
          <xdr:colOff>129540</xdr:colOff>
          <xdr:row>9</xdr:row>
          <xdr:rowOff>76200</xdr:rowOff>
        </xdr:to>
        <xdr:sp macro="" textlink="">
          <xdr:nvSpPr>
            <xdr:cNvPr id="88096" name="Comment 32" hidden="1">
              <a:extLst>
                <a:ext uri="{FF2B5EF4-FFF2-40B4-BE49-F238E27FC236}">
                  <a16:creationId xmlns:a16="http://schemas.microsoft.com/office/drawing/2014/main" id="{954DE204-3090-4439-AAA4-70C687E9B42D}"/>
                </a:ext>
              </a:extLst>
            </xdr:cNvPr>
            <xdr:cNvSpPr txBox="1">
              <a:spLocks noChangeArrowheads="1"/>
            </xdr:cNvSpPr>
          </xdr:nvSpPr>
          <xdr:spPr bwMode="auto">
            <a:xfrm>
              <a:off x="2316480" y="1272540"/>
              <a:ext cx="2377440" cy="3429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2.</a:t>
              </a:r>
            </a:p>
            <a:p>
              <a:pPr algn="l" rtl="0">
                <a:defRPr sz="1000"/>
              </a:pPr>
              <a:r>
                <a:rPr lang="en-US" sz="800" b="1" i="0" u="none" strike="noStrike" baseline="0%">
                  <a:solidFill>
                    <a:srgbClr val="000000"/>
                  </a:solidFill>
                  <a:latin typeface="Tahoma"/>
                  <a:ea typeface="Tahoma"/>
                  <a:cs typeface="Tahoma"/>
                </a:rPr>
                <a:t>The maximum number of piles = 400.</a:t>
              </a:r>
            </a:p>
          </xdr:txBody>
        </xdr:sp>
        <xdr:clientData/>
      </xdr:twoCellAnchor>
    </mc:Fallback>
  </mc:AlternateContent>
  <mc:AlternateContent xmlns:mc="http://schemas.openxmlformats.org/markup-compatibility/2006">
    <mc:Choice xmlns:v="urn:schemas-microsoft-com:vml" Requires="v"/>
    <mc:Fallback>
      <xdr:twoCellAnchor editAs="absolute">
        <xdr:from>
          <xdr:col>64</xdr:col>
          <xdr:colOff>342900</xdr:colOff>
          <xdr:row>82</xdr:row>
          <xdr:rowOff>76200</xdr:rowOff>
        </xdr:from>
        <xdr:to>
          <xdr:col>68</xdr:col>
          <xdr:colOff>236220</xdr:colOff>
          <xdr:row>84</xdr:row>
          <xdr:rowOff>76200</xdr:rowOff>
        </xdr:to>
        <xdr:sp macro="" textlink="">
          <xdr:nvSpPr>
            <xdr:cNvPr id="88097" name="Comment 33" hidden="1">
              <a:extLst>
                <a:ext uri="{FF2B5EF4-FFF2-40B4-BE49-F238E27FC236}">
                  <a16:creationId xmlns:a16="http://schemas.microsoft.com/office/drawing/2014/main" id="{91D87236-4745-409C-B8A8-2293426E1210}"/>
                </a:ext>
              </a:extLst>
            </xdr:cNvPr>
            <xdr:cNvSpPr txBox="1">
              <a:spLocks noChangeArrowheads="1"/>
            </xdr:cNvSpPr>
          </xdr:nvSpPr>
          <xdr:spPr bwMode="auto">
            <a:xfrm>
              <a:off x="22631400" y="13853160"/>
              <a:ext cx="2392680" cy="3352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1" i="0" u="none" strike="noStrike" baseline="0%">
                  <a:solidFill>
                    <a:srgbClr val="000000"/>
                  </a:solidFill>
                  <a:latin typeface="Tahoma"/>
                  <a:ea typeface="Tahoma"/>
                  <a:cs typeface="Tahoma"/>
                </a:rPr>
                <a:t>The minimum number of piles = 3.</a:t>
              </a:r>
            </a:p>
            <a:p>
              <a:pPr algn="l" rtl="0">
                <a:defRPr sz="1000"/>
              </a:pPr>
              <a:r>
                <a:rPr lang="en-US" sz="800" b="1" i="0" u="none" strike="noStrike" baseline="0%">
                  <a:solidFill>
                    <a:srgbClr val="000000"/>
                  </a:solidFill>
                  <a:latin typeface="Tahoma"/>
                  <a:ea typeface="Tahoma"/>
                  <a:cs typeface="Tahoma"/>
                </a:rPr>
                <a:t>The maximum number of piles = 300.</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xdr:colOff>
          <xdr:row>160</xdr:row>
          <xdr:rowOff>76200</xdr:rowOff>
        </xdr:from>
        <xdr:to>
          <xdr:col>4</xdr:col>
          <xdr:colOff>716280</xdr:colOff>
          <xdr:row>166</xdr:row>
          <xdr:rowOff>99060</xdr:rowOff>
        </xdr:to>
        <xdr:sp macro="" textlink="">
          <xdr:nvSpPr>
            <xdr:cNvPr id="88165" name="Comment 101" hidden="1">
              <a:extLst>
                <a:ext uri="{FF2B5EF4-FFF2-40B4-BE49-F238E27FC236}">
                  <a16:creationId xmlns:a16="http://schemas.microsoft.com/office/drawing/2014/main" id="{8CD90A03-6768-4C72-99C0-F8232650841B}"/>
                </a:ext>
              </a:extLst>
            </xdr:cNvPr>
            <xdr:cNvSpPr txBox="1">
              <a:spLocks noChangeArrowheads="1"/>
            </xdr:cNvSpPr>
          </xdr:nvSpPr>
          <xdr:spPr bwMode="auto">
            <a:xfrm>
              <a:off x="1691640" y="26929080"/>
              <a:ext cx="1958340" cy="10287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X-axis Moment of Inertia, 'Ix',  for the pile group is calculated as follows:</a:t>
              </a:r>
            </a:p>
            <a:p>
              <a:pPr algn="l" rtl="0">
                <a:defRPr sz="1000"/>
              </a:pPr>
              <a:r>
                <a:rPr lang="en-US" sz="800" b="0" i="0" u="none" strike="noStrike" baseline="0%">
                  <a:solidFill>
                    <a:srgbClr val="000000"/>
                  </a:solidFill>
                  <a:latin typeface="Tahoma"/>
                  <a:ea typeface="Tahoma"/>
                  <a:cs typeface="Tahoma"/>
                </a:rPr>
                <a:t>   Ix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(dy)^2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 </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xdr:colOff>
          <xdr:row>161</xdr:row>
          <xdr:rowOff>76200</xdr:rowOff>
        </xdr:from>
        <xdr:to>
          <xdr:col>4</xdr:col>
          <xdr:colOff>716280</xdr:colOff>
          <xdr:row>167</xdr:row>
          <xdr:rowOff>76200</xdr:rowOff>
        </xdr:to>
        <xdr:sp macro="" textlink="">
          <xdr:nvSpPr>
            <xdr:cNvPr id="88166" name="Comment 102" hidden="1">
              <a:extLst>
                <a:ext uri="{FF2B5EF4-FFF2-40B4-BE49-F238E27FC236}">
                  <a16:creationId xmlns:a16="http://schemas.microsoft.com/office/drawing/2014/main" id="{8407160E-FA05-4E94-83C0-D7912C03D33B}"/>
                </a:ext>
              </a:extLst>
            </xdr:cNvPr>
            <xdr:cNvSpPr txBox="1">
              <a:spLocks noChangeArrowheads="1"/>
            </xdr:cNvSpPr>
          </xdr:nvSpPr>
          <xdr:spPr bwMode="auto">
            <a:xfrm>
              <a:off x="1691640" y="27096720"/>
              <a:ext cx="1958340" cy="1005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Y-axis Moment of Inertia, 'Iy',  for the pile group is calculated as follows:</a:t>
              </a:r>
            </a:p>
            <a:p>
              <a:pPr algn="l" rtl="0">
                <a:defRPr sz="1000"/>
              </a:pPr>
              <a:r>
                <a:rPr lang="en-US" sz="800" b="0" i="0" u="none" strike="noStrike" baseline="0%">
                  <a:solidFill>
                    <a:srgbClr val="000000"/>
                  </a:solidFill>
                  <a:latin typeface="Tahoma"/>
                  <a:ea typeface="Tahoma"/>
                  <a:cs typeface="Tahoma"/>
                </a:rPr>
                <a:t>   Iy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(dx)^2</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 </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xdr:colOff>
          <xdr:row>162</xdr:row>
          <xdr:rowOff>76200</xdr:rowOff>
        </xdr:from>
        <xdr:to>
          <xdr:col>4</xdr:col>
          <xdr:colOff>716280</xdr:colOff>
          <xdr:row>165</xdr:row>
          <xdr:rowOff>30480</xdr:rowOff>
        </xdr:to>
        <xdr:sp macro="" textlink="">
          <xdr:nvSpPr>
            <xdr:cNvPr id="88167" name="Comment 103" hidden="1">
              <a:extLst>
                <a:ext uri="{FF2B5EF4-FFF2-40B4-BE49-F238E27FC236}">
                  <a16:creationId xmlns:a16="http://schemas.microsoft.com/office/drawing/2014/main" id="{0052EEDD-2CE5-4F35-9380-947E580B6AE6}"/>
                </a:ext>
              </a:extLst>
            </xdr:cNvPr>
            <xdr:cNvSpPr txBox="1">
              <a:spLocks noChangeArrowheads="1"/>
            </xdr:cNvSpPr>
          </xdr:nvSpPr>
          <xdr:spPr bwMode="auto">
            <a:xfrm>
              <a:off x="1691640" y="27264360"/>
              <a:ext cx="1958340" cy="4572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Polar Moment of Inertia for the pile group is calculated as follows:</a:t>
              </a:r>
            </a:p>
            <a:p>
              <a:pPr algn="l" rtl="0">
                <a:defRPr sz="1000"/>
              </a:pPr>
              <a:r>
                <a:rPr lang="en-US" sz="800" b="0" i="0" u="none" strike="noStrike" baseline="0%">
                  <a:solidFill>
                    <a:srgbClr val="000000"/>
                  </a:solidFill>
                  <a:latin typeface="Tahoma"/>
                  <a:ea typeface="Tahoma"/>
                  <a:cs typeface="Tahoma"/>
                </a:rPr>
                <a:t>   J = Ix+Iy</a:t>
              </a:r>
            </a:p>
          </xdr:txBody>
        </xdr:sp>
        <xdr:clientData/>
      </xdr:twoCellAnchor>
    </mc:Fallback>
  </mc:AlternateContent>
  <mc:AlternateContent xmlns:mc="http://schemas.openxmlformats.org/markup-compatibility/2006">
    <mc:Choice xmlns:v="urn:schemas-microsoft-com:vml" Requires="v"/>
    <mc:Fallback>
      <xdr:twoCellAnchor editAs="absolute">
        <xdr:from>
          <xdr:col>2</xdr:col>
          <xdr:colOff>7620</xdr:colOff>
          <xdr:row>163</xdr:row>
          <xdr:rowOff>76200</xdr:rowOff>
        </xdr:from>
        <xdr:to>
          <xdr:col>4</xdr:col>
          <xdr:colOff>762000</xdr:colOff>
          <xdr:row>173</xdr:row>
          <xdr:rowOff>76200</xdr:rowOff>
        </xdr:to>
        <xdr:sp macro="" textlink="">
          <xdr:nvSpPr>
            <xdr:cNvPr id="88168" name="Comment 104" hidden="1">
              <a:extLst>
                <a:ext uri="{FF2B5EF4-FFF2-40B4-BE49-F238E27FC236}">
                  <a16:creationId xmlns:a16="http://schemas.microsoft.com/office/drawing/2014/main" id="{86EB497A-1ABC-4F09-A1E4-76DBDA8200D3}"/>
                </a:ext>
              </a:extLst>
            </xdr:cNvPr>
            <xdr:cNvSpPr txBox="1">
              <a:spLocks noChangeArrowheads="1"/>
            </xdr:cNvSpPr>
          </xdr:nvSpPr>
          <xdr:spPr bwMode="auto">
            <a:xfrm>
              <a:off x="1691640" y="27432000"/>
              <a:ext cx="2004060" cy="16764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Product Moment of Inertia, 'Ixy', for the pile group is calculated as follows:</a:t>
              </a:r>
            </a:p>
            <a:p>
              <a:pPr algn="l" rtl="0">
                <a:defRPr sz="1000"/>
              </a:pPr>
              <a:r>
                <a:rPr lang="en-US" sz="800" b="0" i="0" u="none" strike="noStrike" baseline="0%">
                  <a:solidFill>
                    <a:srgbClr val="000000"/>
                  </a:solidFill>
                  <a:latin typeface="Tahoma"/>
                  <a:ea typeface="Tahoma"/>
                  <a:cs typeface="Tahoma"/>
                </a:rPr>
                <a:t>   Ixy = Ap*</a:t>
              </a:r>
              <a:r>
                <a:rPr lang="en-US" sz="800" b="0" i="0" u="none" strike="noStrike" baseline="0%">
                  <a:solidFill>
                    <a:srgbClr val="000000"/>
                  </a:solidFill>
                  <a:latin typeface="Symbol"/>
                  <a:ea typeface="Tahoma"/>
                  <a:cs typeface="Tahoma"/>
                </a:rPr>
                <a:t>S</a:t>
              </a:r>
              <a:r>
                <a:rPr lang="en-US" sz="800" b="0" i="0" u="none" strike="noStrike" baseline="0%">
                  <a:solidFill>
                    <a:srgbClr val="000000"/>
                  </a:solidFill>
                  <a:latin typeface="Tahoma"/>
                  <a:ea typeface="Tahoma"/>
                  <a:cs typeface="Tahoma"/>
                </a:rPr>
                <a:t> (dx*dy)</a:t>
              </a:r>
            </a:p>
            <a:p>
              <a:pPr algn="l" rtl="0">
                <a:defRPr sz="1000"/>
              </a:pPr>
              <a:r>
                <a:rPr lang="en-US" sz="800" b="0" i="0" u="none" strike="noStrike" baseline="0%">
                  <a:solidFill>
                    <a:srgbClr val="000000"/>
                  </a:solidFill>
                  <a:latin typeface="Tahoma"/>
                  <a:ea typeface="Tahoma"/>
                  <a:cs typeface="Tahoma"/>
                </a:rPr>
                <a:t>where:</a:t>
              </a:r>
            </a:p>
            <a:p>
              <a:pPr algn="l" rtl="0">
                <a:defRPr sz="1000"/>
              </a:pPr>
              <a:r>
                <a:rPr lang="en-US" sz="800" b="0" i="0" u="none" strike="noStrike" baseline="0%">
                  <a:solidFill>
                    <a:srgbClr val="000000"/>
                  </a:solidFill>
                  <a:latin typeface="Tahoma"/>
                  <a:ea typeface="Tahoma"/>
                  <a:cs typeface="Tahoma"/>
                </a:rPr>
                <a:t>   Ap = Area of pile assumed = unity (1) </a:t>
              </a:r>
            </a:p>
            <a:p>
              <a:pPr algn="l" rtl="0">
                <a:defRPr sz="1000"/>
              </a:pPr>
              <a:r>
                <a:rPr lang="en-US" sz="800" b="0" i="0" u="none" strike="noStrike" baseline="0%">
                  <a:solidFill>
                    <a:srgbClr val="000000"/>
                  </a:solidFill>
                  <a:latin typeface="Tahoma"/>
                  <a:ea typeface="Tahoma"/>
                  <a:cs typeface="Tahoma"/>
                </a:rPr>
                <a:t>   dx = x-distance of each pile from</a:t>
              </a:r>
            </a:p>
            <a:p>
              <a:pPr algn="l" rtl="0">
                <a:defRPr sz="1000"/>
              </a:pPr>
              <a:r>
                <a:rPr lang="en-US" sz="800" b="0" i="0" u="none" strike="noStrike" baseline="0%">
                  <a:solidFill>
                    <a:srgbClr val="000000"/>
                  </a:solidFill>
                  <a:latin typeface="Tahoma"/>
                  <a:ea typeface="Tahoma"/>
                  <a:cs typeface="Tahoma"/>
                </a:rPr>
                <a:t>               centroidal Y-axis</a:t>
              </a:r>
            </a:p>
            <a:p>
              <a:pPr algn="l" rtl="0">
                <a:defRPr sz="1000"/>
              </a:pPr>
              <a:r>
                <a:rPr lang="en-US" sz="800" b="0" i="0" u="none" strike="noStrike" baseline="0%">
                  <a:solidFill>
                    <a:srgbClr val="000000"/>
                  </a:solidFill>
                  <a:latin typeface="Tahoma"/>
                  <a:ea typeface="Tahoma"/>
                  <a:cs typeface="Tahoma"/>
                </a:rPr>
                <a:t>   dy = y-distance of each pile from</a:t>
              </a:r>
            </a:p>
            <a:p>
              <a:pPr algn="l" rtl="0">
                <a:defRPr sz="1000"/>
              </a:pPr>
              <a:r>
                <a:rPr lang="en-US" sz="800" b="0" i="0" u="none" strike="noStrike" baseline="0%">
                  <a:solidFill>
                    <a:srgbClr val="000000"/>
                  </a:solidFill>
                  <a:latin typeface="Tahoma"/>
                  <a:ea typeface="Tahoma"/>
                  <a:cs typeface="Tahoma"/>
                </a:rPr>
                <a:t>               centroidal X-axis</a:t>
              </a:r>
            </a:p>
            <a:p>
              <a:pPr algn="l" rtl="0">
                <a:defRPr sz="1000"/>
              </a:pPr>
              <a:r>
                <a:rPr lang="en-US" sz="800" b="0" i="0" u="none" strike="noStrike" baseline="0%">
                  <a:solidFill>
                    <a:srgbClr val="000000"/>
                  </a:solidFill>
                  <a:latin typeface="Tahoma"/>
                  <a:ea typeface="Tahoma"/>
                  <a:cs typeface="Tahoma"/>
                </a:rPr>
                <a:t>Note:  'Ixy' = 0  for a pile group with at</a:t>
              </a:r>
            </a:p>
            <a:p>
              <a:pPr algn="l" rtl="0">
                <a:defRPr sz="1000"/>
              </a:pPr>
              <a:r>
                <a:rPr lang="en-US" sz="800" b="0" i="0" u="none" strike="noStrike" baseline="0%">
                  <a:solidFill>
                    <a:srgbClr val="000000"/>
                  </a:solidFill>
                  <a:latin typeface="Tahoma"/>
                  <a:ea typeface="Tahoma"/>
                  <a:cs typeface="Tahoma"/>
                </a:rPr>
                <a:t>           least one axis of symmetry.</a:t>
              </a: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144780</xdr:colOff>
          <xdr:row>63</xdr:row>
          <xdr:rowOff>76200</xdr:rowOff>
        </xdr:from>
        <xdr:to>
          <xdr:col>18</xdr:col>
          <xdr:colOff>449580</xdr:colOff>
          <xdr:row>67</xdr:row>
          <xdr:rowOff>160020</xdr:rowOff>
        </xdr:to>
        <xdr:sp macro="" textlink="">
          <xdr:nvSpPr>
            <xdr:cNvPr id="88177" name="Comment 113" hidden="1">
              <a:extLst>
                <a:ext uri="{FF2B5EF4-FFF2-40B4-BE49-F238E27FC236}">
                  <a16:creationId xmlns:a16="http://schemas.microsoft.com/office/drawing/2014/main" id="{F069F2AF-31DD-496C-A3FE-473D0EE7E993}"/>
                </a:ext>
              </a:extLst>
            </xdr:cNvPr>
            <xdr:cNvSpPr txBox="1">
              <a:spLocks noChangeArrowheads="1"/>
            </xdr:cNvSpPr>
          </xdr:nvSpPr>
          <xdr:spPr bwMode="auto">
            <a:xfrm>
              <a:off x="9121140" y="10668000"/>
              <a:ext cx="3429000" cy="75438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All piers must be located in the positive 1st quadrant.  That is, all pier X, Y coordinate values must be &gt;= 0.</a:t>
              </a:r>
            </a:p>
            <a:p>
              <a:pPr algn="l" rtl="0">
                <a:defRPr sz="1000"/>
              </a:pPr>
              <a:r>
                <a:rPr lang="en-US" sz="800" b="1" i="0" u="none" strike="noStrike" baseline="0%">
                  <a:solidFill>
                    <a:srgbClr val="000000"/>
                  </a:solidFill>
                  <a:latin typeface="Tahoma"/>
                  <a:ea typeface="Tahoma"/>
                  <a:cs typeface="Tahoma"/>
                </a:rPr>
                <a:t>Note: The user should make sure to either clear the contents of all cells that are not used for input of pier coordinates, or those cell values should be input = 0.</a:t>
              </a:r>
            </a:p>
          </xdr:txBody>
        </xdr:sp>
        <xdr:clientData/>
      </xdr:twoCellAnchor>
    </mc:Fallback>
  </mc:AlternateContent>
</xdr:wsDr>
</file>

<file path=xl/drawings/drawing9.xml><?xml version="1.0" encoding="utf-8"?>
<xdr:wsDr xmlns:xdr="http://purl.oclc.org/ooxml/drawingml/spreadsheetDrawing" xmlns:a="http://purl.oclc.org/ooxml/drawingml/main">
  <xdr:twoCellAnchor>
    <xdr:from>
      <xdr:col>3</xdr:col>
      <xdr:colOff>304800</xdr:colOff>
      <xdr:row>9</xdr:row>
      <xdr:rowOff>121920</xdr:rowOff>
    </xdr:from>
    <xdr:to>
      <xdr:col>7</xdr:col>
      <xdr:colOff>510540</xdr:colOff>
      <xdr:row>9</xdr:row>
      <xdr:rowOff>121920</xdr:rowOff>
    </xdr:to>
    <xdr:sp macro="" textlink="">
      <xdr:nvSpPr>
        <xdr:cNvPr id="98305" name="Line 1">
          <a:extLst>
            <a:ext uri="{FF2B5EF4-FFF2-40B4-BE49-F238E27FC236}">
              <a16:creationId xmlns:a16="http://schemas.microsoft.com/office/drawing/2014/main" id="{48D780D8-2709-40AE-A3B3-DFE7516559C8}"/>
            </a:ext>
          </a:extLst>
        </xdr:cNvPr>
        <xdr:cNvSpPr>
          <a:spLocks noChangeShapeType="1"/>
        </xdr:cNvSpPr>
      </xdr:nvSpPr>
      <xdr:spPr bwMode="auto">
        <a:xfrm>
          <a:off x="2369820" y="1661160"/>
          <a:ext cx="28422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9</xdr:row>
      <xdr:rowOff>121920</xdr:rowOff>
    </xdr:from>
    <xdr:to>
      <xdr:col>7</xdr:col>
      <xdr:colOff>510540</xdr:colOff>
      <xdr:row>26</xdr:row>
      <xdr:rowOff>137160</xdr:rowOff>
    </xdr:to>
    <xdr:sp macro="" textlink="">
      <xdr:nvSpPr>
        <xdr:cNvPr id="98306" name="Line 2">
          <a:extLst>
            <a:ext uri="{FF2B5EF4-FFF2-40B4-BE49-F238E27FC236}">
              <a16:creationId xmlns:a16="http://schemas.microsoft.com/office/drawing/2014/main" id="{47E2C8E7-6EFC-4C65-92C4-C965D45671FF}"/>
            </a:ext>
          </a:extLst>
        </xdr:cNvPr>
        <xdr:cNvSpPr>
          <a:spLocks noChangeShapeType="1"/>
        </xdr:cNvSpPr>
      </xdr:nvSpPr>
      <xdr:spPr bwMode="auto">
        <a:xfrm>
          <a:off x="5212080" y="1661160"/>
          <a:ext cx="0" cy="2865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106680</xdr:colOff>
      <xdr:row>13</xdr:row>
      <xdr:rowOff>106680</xdr:rowOff>
    </xdr:from>
    <xdr:to>
      <xdr:col>6</xdr:col>
      <xdr:colOff>480060</xdr:colOff>
      <xdr:row>15</xdr:row>
      <xdr:rowOff>144780</xdr:rowOff>
    </xdr:to>
    <xdr:sp macro="" textlink="">
      <xdr:nvSpPr>
        <xdr:cNvPr id="98307" name="Oval 3">
          <a:extLst>
            <a:ext uri="{FF2B5EF4-FFF2-40B4-BE49-F238E27FC236}">
              <a16:creationId xmlns:a16="http://schemas.microsoft.com/office/drawing/2014/main" id="{052B0387-CA39-4D57-98F9-611154DD1F2E}"/>
            </a:ext>
          </a:extLst>
        </xdr:cNvPr>
        <xdr:cNvSpPr>
          <a:spLocks noChangeArrowheads="1"/>
        </xdr:cNvSpPr>
      </xdr:nvSpPr>
      <xdr:spPr bwMode="auto">
        <a:xfrm>
          <a:off x="4183380" y="2316480"/>
          <a:ext cx="373380" cy="37338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198120</xdr:colOff>
      <xdr:row>14</xdr:row>
      <xdr:rowOff>129540</xdr:rowOff>
    </xdr:from>
    <xdr:to>
      <xdr:col>7</xdr:col>
      <xdr:colOff>510540</xdr:colOff>
      <xdr:row>14</xdr:row>
      <xdr:rowOff>129540</xdr:rowOff>
    </xdr:to>
    <xdr:sp macro="" textlink="">
      <xdr:nvSpPr>
        <xdr:cNvPr id="98308" name="Line 4">
          <a:extLst>
            <a:ext uri="{FF2B5EF4-FFF2-40B4-BE49-F238E27FC236}">
              <a16:creationId xmlns:a16="http://schemas.microsoft.com/office/drawing/2014/main" id="{49C51A22-F52E-4518-98CE-C9CAEB2A0E98}"/>
            </a:ext>
          </a:extLst>
        </xdr:cNvPr>
        <xdr:cNvSpPr>
          <a:spLocks noChangeShapeType="1"/>
        </xdr:cNvSpPr>
      </xdr:nvSpPr>
      <xdr:spPr bwMode="auto">
        <a:xfrm flipH="1">
          <a:off x="4274820" y="2506980"/>
          <a:ext cx="93726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6</xdr:col>
      <xdr:colOff>289560</xdr:colOff>
      <xdr:row>9</xdr:row>
      <xdr:rowOff>121920</xdr:rowOff>
    </xdr:from>
    <xdr:to>
      <xdr:col>6</xdr:col>
      <xdr:colOff>289560</xdr:colOff>
      <xdr:row>15</xdr:row>
      <xdr:rowOff>60960</xdr:rowOff>
    </xdr:to>
    <xdr:sp macro="" textlink="">
      <xdr:nvSpPr>
        <xdr:cNvPr id="98309" name="Line 5">
          <a:extLst>
            <a:ext uri="{FF2B5EF4-FFF2-40B4-BE49-F238E27FC236}">
              <a16:creationId xmlns:a16="http://schemas.microsoft.com/office/drawing/2014/main" id="{4D51DF58-0B06-49A3-ACC6-E2D1265FDFE6}"/>
            </a:ext>
          </a:extLst>
        </xdr:cNvPr>
        <xdr:cNvSpPr>
          <a:spLocks noChangeShapeType="1"/>
        </xdr:cNvSpPr>
      </xdr:nvSpPr>
      <xdr:spPr bwMode="auto">
        <a:xfrm>
          <a:off x="4366260" y="1661160"/>
          <a:ext cx="0" cy="94488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5</xdr:col>
      <xdr:colOff>449580</xdr:colOff>
      <xdr:row>14</xdr:row>
      <xdr:rowOff>129540</xdr:rowOff>
    </xdr:from>
    <xdr:to>
      <xdr:col>6</xdr:col>
      <xdr:colOff>289560</xdr:colOff>
      <xdr:row>17</xdr:row>
      <xdr:rowOff>99060</xdr:rowOff>
    </xdr:to>
    <xdr:sp macro="" textlink="">
      <xdr:nvSpPr>
        <xdr:cNvPr id="98310" name="Arc 6">
          <a:extLst>
            <a:ext uri="{FF2B5EF4-FFF2-40B4-BE49-F238E27FC236}">
              <a16:creationId xmlns:a16="http://schemas.microsoft.com/office/drawing/2014/main" id="{A68A1484-4517-4C7C-823F-2AF5710C59C8}"/>
            </a:ext>
          </a:extLst>
        </xdr:cNvPr>
        <xdr:cNvSpPr>
          <a:spLocks/>
        </xdr:cNvSpPr>
      </xdr:nvSpPr>
      <xdr:spPr bwMode="auto">
        <a:xfrm rot="10800000">
          <a:off x="3901440" y="2506980"/>
          <a:ext cx="464820" cy="472440"/>
        </a:xfrm>
        <a:custGeom>
          <a:avLst/>
          <a:gdLst>
            <a:gd name="G0" fmla="+- 0 0 0"/>
            <a:gd name="G1" fmla="+- 21600 0 0"/>
            <a:gd name="G2" fmla="+- 21600 0 0"/>
            <a:gd name="T0" fmla="*/ 0 w 21585"/>
            <a:gd name="T1" fmla="*/ 0 h 21600"/>
            <a:gd name="T2" fmla="*/ 21585 w 21585"/>
            <a:gd name="T3" fmla="*/ 20796 h 21600"/>
            <a:gd name="T4" fmla="*/ 0 w 21585"/>
            <a:gd name="T5" fmla="*/ 21600 h 21600"/>
          </a:gdLst>
          <a:ahLst/>
          <a:cxnLst>
            <a:cxn ang="0">
              <a:pos x="T0" y="T1"/>
            </a:cxn>
            <a:cxn ang="0">
              <a:pos x="T2" y="T3"/>
            </a:cxn>
            <a:cxn ang="0">
              <a:pos x="T4" y="T5"/>
            </a:cxn>
          </a:cxnLst>
          <a:rect l="0" t="0" r="r" b="b"/>
          <a:pathLst>
            <a:path w="21585" h="21600" fill="none" extrusionOk="0">
              <a:moveTo>
                <a:pt x="0" y="0"/>
              </a:moveTo>
              <a:cubicBezTo>
                <a:pt x="11616" y="0"/>
                <a:pt x="21152" y="9187"/>
                <a:pt x="21585" y="20795"/>
              </a:cubicBezTo>
            </a:path>
            <a:path w="21585" h="21600" stroke="0" extrusionOk="0">
              <a:moveTo>
                <a:pt x="0" y="0"/>
              </a:moveTo>
              <a:cubicBezTo>
                <a:pt x="11616" y="0"/>
                <a:pt x="21152" y="9187"/>
                <a:pt x="21585" y="20795"/>
              </a:cubicBezTo>
              <a:lnTo>
                <a:pt x="0" y="21600"/>
              </a:lnTo>
              <a:close/>
            </a:path>
          </a:pathLst>
        </a:cu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144780</xdr:colOff>
      <xdr:row>15</xdr:row>
      <xdr:rowOff>144780</xdr:rowOff>
    </xdr:from>
    <xdr:to>
      <xdr:col>8</xdr:col>
      <xdr:colOff>144780</xdr:colOff>
      <xdr:row>17</xdr:row>
      <xdr:rowOff>99060</xdr:rowOff>
    </xdr:to>
    <xdr:sp macro="" textlink="">
      <xdr:nvSpPr>
        <xdr:cNvPr id="98311" name="Line 7">
          <a:extLst>
            <a:ext uri="{FF2B5EF4-FFF2-40B4-BE49-F238E27FC236}">
              <a16:creationId xmlns:a16="http://schemas.microsoft.com/office/drawing/2014/main" id="{4A29CBEB-1DC5-45A1-BFAD-3AC0C3C41632}"/>
            </a:ext>
          </a:extLst>
        </xdr:cNvPr>
        <xdr:cNvSpPr>
          <a:spLocks noChangeShapeType="1"/>
        </xdr:cNvSpPr>
      </xdr:nvSpPr>
      <xdr:spPr bwMode="auto">
        <a:xfrm>
          <a:off x="5471160" y="2689860"/>
          <a:ext cx="0" cy="2895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6</xdr:col>
      <xdr:colOff>289560</xdr:colOff>
      <xdr:row>17</xdr:row>
      <xdr:rowOff>99060</xdr:rowOff>
    </xdr:from>
    <xdr:to>
      <xdr:col>7</xdr:col>
      <xdr:colOff>510540</xdr:colOff>
      <xdr:row>17</xdr:row>
      <xdr:rowOff>99060</xdr:rowOff>
    </xdr:to>
    <xdr:sp macro="" textlink="">
      <xdr:nvSpPr>
        <xdr:cNvPr id="98312" name="Line 8">
          <a:extLst>
            <a:ext uri="{FF2B5EF4-FFF2-40B4-BE49-F238E27FC236}">
              <a16:creationId xmlns:a16="http://schemas.microsoft.com/office/drawing/2014/main" id="{6D30997E-B290-4CB2-AD41-B39045BBEBCE}"/>
            </a:ext>
          </a:extLst>
        </xdr:cNvPr>
        <xdr:cNvSpPr>
          <a:spLocks noChangeShapeType="1"/>
        </xdr:cNvSpPr>
      </xdr:nvSpPr>
      <xdr:spPr bwMode="auto">
        <a:xfrm>
          <a:off x="4366260" y="2979420"/>
          <a:ext cx="84582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441960</xdr:colOff>
      <xdr:row>8</xdr:row>
      <xdr:rowOff>22860</xdr:rowOff>
    </xdr:from>
    <xdr:to>
      <xdr:col>6</xdr:col>
      <xdr:colOff>99060</xdr:colOff>
      <xdr:row>8</xdr:row>
      <xdr:rowOff>22860</xdr:rowOff>
    </xdr:to>
    <xdr:sp macro="" textlink="">
      <xdr:nvSpPr>
        <xdr:cNvPr id="98313" name="Line 9">
          <a:extLst>
            <a:ext uri="{FF2B5EF4-FFF2-40B4-BE49-F238E27FC236}">
              <a16:creationId xmlns:a16="http://schemas.microsoft.com/office/drawing/2014/main" id="{17F7262A-8802-458C-B1F0-91D3164C4F39}"/>
            </a:ext>
          </a:extLst>
        </xdr:cNvPr>
        <xdr:cNvSpPr>
          <a:spLocks noChangeShapeType="1"/>
        </xdr:cNvSpPr>
      </xdr:nvSpPr>
      <xdr:spPr bwMode="auto">
        <a:xfrm flipH="1">
          <a:off x="3893820" y="139446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5</xdr:col>
      <xdr:colOff>441960</xdr:colOff>
      <xdr:row>9</xdr:row>
      <xdr:rowOff>121920</xdr:rowOff>
    </xdr:from>
    <xdr:to>
      <xdr:col>5</xdr:col>
      <xdr:colOff>441960</xdr:colOff>
      <xdr:row>14</xdr:row>
      <xdr:rowOff>129540</xdr:rowOff>
    </xdr:to>
    <xdr:sp macro="" textlink="">
      <xdr:nvSpPr>
        <xdr:cNvPr id="98314" name="Line 10">
          <a:extLst>
            <a:ext uri="{FF2B5EF4-FFF2-40B4-BE49-F238E27FC236}">
              <a16:creationId xmlns:a16="http://schemas.microsoft.com/office/drawing/2014/main" id="{80ED7952-6B6F-42E2-91FE-0382A9749459}"/>
            </a:ext>
          </a:extLst>
        </xdr:cNvPr>
        <xdr:cNvSpPr>
          <a:spLocks noChangeShapeType="1"/>
        </xdr:cNvSpPr>
      </xdr:nvSpPr>
      <xdr:spPr bwMode="auto">
        <a:xfrm>
          <a:off x="3893820" y="1661160"/>
          <a:ext cx="0" cy="84582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510540</xdr:colOff>
      <xdr:row>7</xdr:row>
      <xdr:rowOff>68580</xdr:rowOff>
    </xdr:from>
    <xdr:to>
      <xdr:col>7</xdr:col>
      <xdr:colOff>510540</xdr:colOff>
      <xdr:row>9</xdr:row>
      <xdr:rowOff>76200</xdr:rowOff>
    </xdr:to>
    <xdr:sp macro="" textlink="">
      <xdr:nvSpPr>
        <xdr:cNvPr id="98315" name="Line 11">
          <a:extLst>
            <a:ext uri="{FF2B5EF4-FFF2-40B4-BE49-F238E27FC236}">
              <a16:creationId xmlns:a16="http://schemas.microsoft.com/office/drawing/2014/main" id="{241C3A26-CC51-4829-9C9A-1C468CF34153}"/>
            </a:ext>
          </a:extLst>
        </xdr:cNvPr>
        <xdr:cNvSpPr>
          <a:spLocks noChangeShapeType="1"/>
        </xdr:cNvSpPr>
      </xdr:nvSpPr>
      <xdr:spPr bwMode="auto">
        <a:xfrm>
          <a:off x="5212080" y="127254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289560</xdr:colOff>
      <xdr:row>8</xdr:row>
      <xdr:rowOff>22860</xdr:rowOff>
    </xdr:from>
    <xdr:to>
      <xdr:col>7</xdr:col>
      <xdr:colOff>510540</xdr:colOff>
      <xdr:row>8</xdr:row>
      <xdr:rowOff>22860</xdr:rowOff>
    </xdr:to>
    <xdr:sp macro="" textlink="">
      <xdr:nvSpPr>
        <xdr:cNvPr id="98316" name="Line 12">
          <a:extLst>
            <a:ext uri="{FF2B5EF4-FFF2-40B4-BE49-F238E27FC236}">
              <a16:creationId xmlns:a16="http://schemas.microsoft.com/office/drawing/2014/main" id="{92B2C82A-0EE1-4ED8-86A2-74A267561274}"/>
            </a:ext>
          </a:extLst>
        </xdr:cNvPr>
        <xdr:cNvSpPr>
          <a:spLocks noChangeShapeType="1"/>
        </xdr:cNvSpPr>
      </xdr:nvSpPr>
      <xdr:spPr bwMode="auto">
        <a:xfrm>
          <a:off x="4366260" y="1394460"/>
          <a:ext cx="8458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8</xdr:col>
      <xdr:colOff>144780</xdr:colOff>
      <xdr:row>9</xdr:row>
      <xdr:rowOff>121920</xdr:rowOff>
    </xdr:from>
    <xdr:to>
      <xdr:col>8</xdr:col>
      <xdr:colOff>144780</xdr:colOff>
      <xdr:row>14</xdr:row>
      <xdr:rowOff>129540</xdr:rowOff>
    </xdr:to>
    <xdr:sp macro="" textlink="">
      <xdr:nvSpPr>
        <xdr:cNvPr id="98317" name="Line 13">
          <a:extLst>
            <a:ext uri="{FF2B5EF4-FFF2-40B4-BE49-F238E27FC236}">
              <a16:creationId xmlns:a16="http://schemas.microsoft.com/office/drawing/2014/main" id="{BFCF51EB-452D-4F7D-B2D8-6DEF65005867}"/>
            </a:ext>
          </a:extLst>
        </xdr:cNvPr>
        <xdr:cNvSpPr>
          <a:spLocks noChangeShapeType="1"/>
        </xdr:cNvSpPr>
      </xdr:nvSpPr>
      <xdr:spPr bwMode="auto">
        <a:xfrm>
          <a:off x="5471160" y="1661160"/>
          <a:ext cx="0" cy="845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5</xdr:col>
      <xdr:colOff>441960</xdr:colOff>
      <xdr:row>7</xdr:row>
      <xdr:rowOff>68580</xdr:rowOff>
    </xdr:from>
    <xdr:to>
      <xdr:col>5</xdr:col>
      <xdr:colOff>441960</xdr:colOff>
      <xdr:row>9</xdr:row>
      <xdr:rowOff>76200</xdr:rowOff>
    </xdr:to>
    <xdr:sp macro="" textlink="">
      <xdr:nvSpPr>
        <xdr:cNvPr id="98318" name="Line 14">
          <a:extLst>
            <a:ext uri="{FF2B5EF4-FFF2-40B4-BE49-F238E27FC236}">
              <a16:creationId xmlns:a16="http://schemas.microsoft.com/office/drawing/2014/main" id="{178A5334-F179-4772-AF1C-37FD992E1407}"/>
            </a:ext>
          </a:extLst>
        </xdr:cNvPr>
        <xdr:cNvSpPr>
          <a:spLocks noChangeShapeType="1"/>
        </xdr:cNvSpPr>
      </xdr:nvSpPr>
      <xdr:spPr bwMode="auto">
        <a:xfrm flipV="1">
          <a:off x="3893820" y="127254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289560</xdr:colOff>
      <xdr:row>7</xdr:row>
      <xdr:rowOff>68580</xdr:rowOff>
    </xdr:from>
    <xdr:to>
      <xdr:col>6</xdr:col>
      <xdr:colOff>289560</xdr:colOff>
      <xdr:row>9</xdr:row>
      <xdr:rowOff>76200</xdr:rowOff>
    </xdr:to>
    <xdr:sp macro="" textlink="">
      <xdr:nvSpPr>
        <xdr:cNvPr id="98319" name="Line 15">
          <a:extLst>
            <a:ext uri="{FF2B5EF4-FFF2-40B4-BE49-F238E27FC236}">
              <a16:creationId xmlns:a16="http://schemas.microsoft.com/office/drawing/2014/main" id="{4407F6ED-3BEB-4EE6-B7A6-835719FB8B60}"/>
            </a:ext>
          </a:extLst>
        </xdr:cNvPr>
        <xdr:cNvSpPr>
          <a:spLocks noChangeShapeType="1"/>
        </xdr:cNvSpPr>
      </xdr:nvSpPr>
      <xdr:spPr bwMode="auto">
        <a:xfrm flipV="1">
          <a:off x="4366260" y="127254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548640</xdr:colOff>
      <xdr:row>14</xdr:row>
      <xdr:rowOff>129540</xdr:rowOff>
    </xdr:from>
    <xdr:to>
      <xdr:col>8</xdr:col>
      <xdr:colOff>266700</xdr:colOff>
      <xdr:row>14</xdr:row>
      <xdr:rowOff>129540</xdr:rowOff>
    </xdr:to>
    <xdr:sp macro="" textlink="">
      <xdr:nvSpPr>
        <xdr:cNvPr id="98320" name="Line 16">
          <a:extLst>
            <a:ext uri="{FF2B5EF4-FFF2-40B4-BE49-F238E27FC236}">
              <a16:creationId xmlns:a16="http://schemas.microsoft.com/office/drawing/2014/main" id="{73918800-ABD1-4E27-902A-DDE5E8EBAC6D}"/>
            </a:ext>
          </a:extLst>
        </xdr:cNvPr>
        <xdr:cNvSpPr>
          <a:spLocks noChangeShapeType="1"/>
        </xdr:cNvSpPr>
      </xdr:nvSpPr>
      <xdr:spPr bwMode="auto">
        <a:xfrm>
          <a:off x="5250180" y="250698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548640</xdr:colOff>
      <xdr:row>17</xdr:row>
      <xdr:rowOff>99060</xdr:rowOff>
    </xdr:from>
    <xdr:to>
      <xdr:col>8</xdr:col>
      <xdr:colOff>266700</xdr:colOff>
      <xdr:row>17</xdr:row>
      <xdr:rowOff>99060</xdr:rowOff>
    </xdr:to>
    <xdr:sp macro="" textlink="">
      <xdr:nvSpPr>
        <xdr:cNvPr id="98321" name="Line 17">
          <a:extLst>
            <a:ext uri="{FF2B5EF4-FFF2-40B4-BE49-F238E27FC236}">
              <a16:creationId xmlns:a16="http://schemas.microsoft.com/office/drawing/2014/main" id="{C515A9D6-C8CF-4A4A-A64C-8CDCA16A92B9}"/>
            </a:ext>
          </a:extLst>
        </xdr:cNvPr>
        <xdr:cNvSpPr>
          <a:spLocks noChangeShapeType="1"/>
        </xdr:cNvSpPr>
      </xdr:nvSpPr>
      <xdr:spPr bwMode="auto">
        <a:xfrm>
          <a:off x="5250180" y="297942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548640</xdr:colOff>
      <xdr:row>9</xdr:row>
      <xdr:rowOff>121920</xdr:rowOff>
    </xdr:from>
    <xdr:to>
      <xdr:col>8</xdr:col>
      <xdr:colOff>281940</xdr:colOff>
      <xdr:row>9</xdr:row>
      <xdr:rowOff>121920</xdr:rowOff>
    </xdr:to>
    <xdr:sp macro="" textlink="">
      <xdr:nvSpPr>
        <xdr:cNvPr id="98322" name="Line 18">
          <a:extLst>
            <a:ext uri="{FF2B5EF4-FFF2-40B4-BE49-F238E27FC236}">
              <a16:creationId xmlns:a16="http://schemas.microsoft.com/office/drawing/2014/main" id="{7FDBB6C8-077C-4359-8E58-985A71097D7A}"/>
            </a:ext>
          </a:extLst>
        </xdr:cNvPr>
        <xdr:cNvSpPr>
          <a:spLocks noChangeShapeType="1"/>
        </xdr:cNvSpPr>
      </xdr:nvSpPr>
      <xdr:spPr bwMode="auto">
        <a:xfrm>
          <a:off x="5250180" y="16611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563880</xdr:colOff>
      <xdr:row>12</xdr:row>
      <xdr:rowOff>60960</xdr:rowOff>
    </xdr:from>
    <xdr:to>
      <xdr:col>7</xdr:col>
      <xdr:colOff>251460</xdr:colOff>
      <xdr:row>13</xdr:row>
      <xdr:rowOff>91440</xdr:rowOff>
    </xdr:to>
    <xdr:sp macro="" textlink="">
      <xdr:nvSpPr>
        <xdr:cNvPr id="98323" name="Text Box 19">
          <a:extLst>
            <a:ext uri="{FF2B5EF4-FFF2-40B4-BE49-F238E27FC236}">
              <a16:creationId xmlns:a16="http://schemas.microsoft.com/office/drawing/2014/main" id="{8F479019-A97A-4FA8-9829-4F19535EF9E4}"/>
            </a:ext>
          </a:extLst>
        </xdr:cNvPr>
        <xdr:cNvSpPr txBox="1">
          <a:spLocks noChangeArrowheads="1"/>
        </xdr:cNvSpPr>
      </xdr:nvSpPr>
      <xdr:spPr bwMode="auto">
        <a:xfrm>
          <a:off x="4640580" y="2103120"/>
          <a:ext cx="3124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FF"/>
              </a:solidFill>
              <a:latin typeface="Arial"/>
              <a:cs typeface="Arial"/>
            </a:rPr>
            <a:t>Pile</a:t>
          </a:r>
        </a:p>
      </xdr:txBody>
    </xdr:sp>
    <xdr:clientData/>
  </xdr:twoCellAnchor>
  <xdr:twoCellAnchor>
    <xdr:from>
      <xdr:col>6</xdr:col>
      <xdr:colOff>274320</xdr:colOff>
      <xdr:row>15</xdr:row>
      <xdr:rowOff>137160</xdr:rowOff>
    </xdr:from>
    <xdr:to>
      <xdr:col>7</xdr:col>
      <xdr:colOff>510540</xdr:colOff>
      <xdr:row>17</xdr:row>
      <xdr:rowOff>121920</xdr:rowOff>
    </xdr:to>
    <xdr:sp macro="" textlink="">
      <xdr:nvSpPr>
        <xdr:cNvPr id="98324" name="Text Box 20">
          <a:extLst>
            <a:ext uri="{FF2B5EF4-FFF2-40B4-BE49-F238E27FC236}">
              <a16:creationId xmlns:a16="http://schemas.microsoft.com/office/drawing/2014/main" id="{F9DC7736-1C49-44A3-9AC0-3D1E1EEA64DC}"/>
            </a:ext>
          </a:extLst>
        </xdr:cNvPr>
        <xdr:cNvSpPr txBox="1">
          <a:spLocks noChangeArrowheads="1"/>
        </xdr:cNvSpPr>
      </xdr:nvSpPr>
      <xdr:spPr bwMode="auto">
        <a:xfrm>
          <a:off x="4351020" y="2682240"/>
          <a:ext cx="86106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FF"/>
              </a:solidFill>
              <a:latin typeface="Arial"/>
              <a:cs typeface="Arial"/>
            </a:rPr>
            <a:t>Critical Section</a:t>
          </a:r>
        </a:p>
        <a:p>
          <a:pPr algn="l" rtl="0">
            <a:defRPr sz="1000"/>
          </a:pPr>
          <a:r>
            <a:rPr lang="en-US" sz="800" b="0" i="0" u="none" strike="noStrike" baseline="0%">
              <a:solidFill>
                <a:srgbClr val="0000FF"/>
              </a:solidFill>
              <a:latin typeface="Arial"/>
              <a:cs typeface="Arial"/>
            </a:rPr>
            <a:t>  for Punching</a:t>
          </a:r>
        </a:p>
      </xdr:txBody>
    </xdr:sp>
    <xdr:clientData/>
  </xdr:twoCellAnchor>
  <xdr:twoCellAnchor>
    <xdr:from>
      <xdr:col>6</xdr:col>
      <xdr:colOff>7620</xdr:colOff>
      <xdr:row>16</xdr:row>
      <xdr:rowOff>45720</xdr:rowOff>
    </xdr:from>
    <xdr:to>
      <xdr:col>6</xdr:col>
      <xdr:colOff>274320</xdr:colOff>
      <xdr:row>17</xdr:row>
      <xdr:rowOff>0</xdr:rowOff>
    </xdr:to>
    <xdr:sp macro="" textlink="">
      <xdr:nvSpPr>
        <xdr:cNvPr id="98325" name="Line 21">
          <a:extLst>
            <a:ext uri="{FF2B5EF4-FFF2-40B4-BE49-F238E27FC236}">
              <a16:creationId xmlns:a16="http://schemas.microsoft.com/office/drawing/2014/main" id="{075F9A61-DCF0-4CFD-A65A-E671AA76194E}"/>
            </a:ext>
          </a:extLst>
        </xdr:cNvPr>
        <xdr:cNvSpPr>
          <a:spLocks noChangeShapeType="1"/>
        </xdr:cNvSpPr>
      </xdr:nvSpPr>
      <xdr:spPr bwMode="auto">
        <a:xfrm flipH="1">
          <a:off x="4084320" y="2758440"/>
          <a:ext cx="266700" cy="1219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sm"/>
        </a:ln>
        <a:extLst>
          <a:ext uri="{909E8E84-426E-40DD-AFC4-6F175D3DCCD1}">
            <a14:hiddenFill xmlns:a14="http://schemas.microsoft.com/office/drawing/2010/main">
              <a:noFill/>
            </a14:hiddenFill>
          </a:ext>
        </a:extLst>
      </xdr:spPr>
    </xdr:sp>
    <xdr:clientData/>
  </xdr:twoCellAnchor>
  <xdr:twoCellAnchor>
    <xdr:from>
      <xdr:col>6</xdr:col>
      <xdr:colOff>403860</xdr:colOff>
      <xdr:row>12</xdr:row>
      <xdr:rowOff>160020</xdr:rowOff>
    </xdr:from>
    <xdr:to>
      <xdr:col>6</xdr:col>
      <xdr:colOff>556260</xdr:colOff>
      <xdr:row>13</xdr:row>
      <xdr:rowOff>144780</xdr:rowOff>
    </xdr:to>
    <xdr:sp macro="" textlink="">
      <xdr:nvSpPr>
        <xdr:cNvPr id="98326" name="Line 22">
          <a:extLst>
            <a:ext uri="{FF2B5EF4-FFF2-40B4-BE49-F238E27FC236}">
              <a16:creationId xmlns:a16="http://schemas.microsoft.com/office/drawing/2014/main" id="{CEA002D5-6D58-44C8-862C-8E253591FD3B}"/>
            </a:ext>
          </a:extLst>
        </xdr:cNvPr>
        <xdr:cNvSpPr>
          <a:spLocks noChangeShapeType="1"/>
        </xdr:cNvSpPr>
      </xdr:nvSpPr>
      <xdr:spPr bwMode="auto">
        <a:xfrm flipH="1">
          <a:off x="4480560" y="2202180"/>
          <a:ext cx="1524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sm"/>
        </a:ln>
        <a:extLst>
          <a:ext uri="{909E8E84-426E-40DD-AFC4-6F175D3DCCD1}">
            <a14:hiddenFill xmlns:a14="http://schemas.microsoft.com/office/drawing/2010/main">
              <a:noFill/>
            </a14:hiddenFill>
          </a:ext>
        </a:extLst>
      </xdr:spPr>
    </xdr:sp>
    <xdr:clientData/>
  </xdr:twoCellAnchor>
  <xdr:twoCellAnchor>
    <xdr:from>
      <xdr:col>3</xdr:col>
      <xdr:colOff>403860</xdr:colOff>
      <xdr:row>9</xdr:row>
      <xdr:rowOff>121920</xdr:rowOff>
    </xdr:from>
    <xdr:to>
      <xdr:col>7</xdr:col>
      <xdr:colOff>510540</xdr:colOff>
      <xdr:row>26</xdr:row>
      <xdr:rowOff>38100</xdr:rowOff>
    </xdr:to>
    <xdr:sp macro="" textlink="">
      <xdr:nvSpPr>
        <xdr:cNvPr id="98327" name="Line 23">
          <a:extLst>
            <a:ext uri="{FF2B5EF4-FFF2-40B4-BE49-F238E27FC236}">
              <a16:creationId xmlns:a16="http://schemas.microsoft.com/office/drawing/2014/main" id="{480C1BC3-289D-4DC0-AFC9-10078902767F}"/>
            </a:ext>
          </a:extLst>
        </xdr:cNvPr>
        <xdr:cNvSpPr>
          <a:spLocks noChangeShapeType="1"/>
        </xdr:cNvSpPr>
      </xdr:nvSpPr>
      <xdr:spPr bwMode="auto">
        <a:xfrm>
          <a:off x="2468880" y="1661160"/>
          <a:ext cx="2743200" cy="276606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403860</xdr:colOff>
      <xdr:row>15</xdr:row>
      <xdr:rowOff>144780</xdr:rowOff>
    </xdr:from>
    <xdr:to>
      <xdr:col>8</xdr:col>
      <xdr:colOff>266700</xdr:colOff>
      <xdr:row>15</xdr:row>
      <xdr:rowOff>144780</xdr:rowOff>
    </xdr:to>
    <xdr:sp macro="" textlink="">
      <xdr:nvSpPr>
        <xdr:cNvPr id="98328" name="Line 24">
          <a:extLst>
            <a:ext uri="{FF2B5EF4-FFF2-40B4-BE49-F238E27FC236}">
              <a16:creationId xmlns:a16="http://schemas.microsoft.com/office/drawing/2014/main" id="{341DA76F-8EED-4870-87FA-556AC6CE7BC5}"/>
            </a:ext>
          </a:extLst>
        </xdr:cNvPr>
        <xdr:cNvSpPr>
          <a:spLocks noChangeShapeType="1"/>
        </xdr:cNvSpPr>
      </xdr:nvSpPr>
      <xdr:spPr bwMode="auto">
        <a:xfrm>
          <a:off x="4480560" y="2689860"/>
          <a:ext cx="1112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99060</xdr:colOff>
      <xdr:row>7</xdr:row>
      <xdr:rowOff>60960</xdr:rowOff>
    </xdr:from>
    <xdr:to>
      <xdr:col>6</xdr:col>
      <xdr:colOff>99060</xdr:colOff>
      <xdr:row>14</xdr:row>
      <xdr:rowOff>7620</xdr:rowOff>
    </xdr:to>
    <xdr:sp macro="" textlink="">
      <xdr:nvSpPr>
        <xdr:cNvPr id="98329" name="Line 25">
          <a:extLst>
            <a:ext uri="{FF2B5EF4-FFF2-40B4-BE49-F238E27FC236}">
              <a16:creationId xmlns:a16="http://schemas.microsoft.com/office/drawing/2014/main" id="{463AF313-877A-4660-8263-6FBBF38F4357}"/>
            </a:ext>
          </a:extLst>
        </xdr:cNvPr>
        <xdr:cNvSpPr>
          <a:spLocks noChangeShapeType="1"/>
        </xdr:cNvSpPr>
      </xdr:nvSpPr>
      <xdr:spPr bwMode="auto">
        <a:xfrm flipV="1">
          <a:off x="4175760" y="1264920"/>
          <a:ext cx="0" cy="11201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487680</xdr:colOff>
      <xdr:row>7</xdr:row>
      <xdr:rowOff>7620</xdr:rowOff>
    </xdr:from>
    <xdr:to>
      <xdr:col>6</xdr:col>
      <xdr:colOff>106680</xdr:colOff>
      <xdr:row>8</xdr:row>
      <xdr:rowOff>38100</xdr:rowOff>
    </xdr:to>
    <xdr:sp macro="" textlink="">
      <xdr:nvSpPr>
        <xdr:cNvPr id="98330" name="Text Box 26">
          <a:extLst>
            <a:ext uri="{FF2B5EF4-FFF2-40B4-BE49-F238E27FC236}">
              <a16:creationId xmlns:a16="http://schemas.microsoft.com/office/drawing/2014/main" id="{383D1CDA-5507-4409-8DCD-02C9A219D436}"/>
            </a:ext>
          </a:extLst>
        </xdr:cNvPr>
        <xdr:cNvSpPr txBox="1">
          <a:spLocks noChangeArrowheads="1"/>
        </xdr:cNvSpPr>
      </xdr:nvSpPr>
      <xdr:spPr bwMode="auto">
        <a:xfrm>
          <a:off x="3939540" y="1211580"/>
          <a:ext cx="24384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d/2</a:t>
          </a:r>
        </a:p>
      </xdr:txBody>
    </xdr:sp>
    <xdr:clientData/>
  </xdr:twoCellAnchor>
  <xdr:twoCellAnchor>
    <xdr:from>
      <xdr:col>8</xdr:col>
      <xdr:colOff>144780</xdr:colOff>
      <xdr:row>14</xdr:row>
      <xdr:rowOff>129540</xdr:rowOff>
    </xdr:from>
    <xdr:to>
      <xdr:col>8</xdr:col>
      <xdr:colOff>144780</xdr:colOff>
      <xdr:row>15</xdr:row>
      <xdr:rowOff>144780</xdr:rowOff>
    </xdr:to>
    <xdr:sp macro="" textlink="">
      <xdr:nvSpPr>
        <xdr:cNvPr id="98331" name="Line 27">
          <a:extLst>
            <a:ext uri="{FF2B5EF4-FFF2-40B4-BE49-F238E27FC236}">
              <a16:creationId xmlns:a16="http://schemas.microsoft.com/office/drawing/2014/main" id="{3E124488-75B2-4BF3-824A-45EA4A0CB4DB}"/>
            </a:ext>
          </a:extLst>
        </xdr:cNvPr>
        <xdr:cNvSpPr>
          <a:spLocks noChangeShapeType="1"/>
        </xdr:cNvSpPr>
      </xdr:nvSpPr>
      <xdr:spPr bwMode="auto">
        <a:xfrm>
          <a:off x="5471160" y="2506980"/>
          <a:ext cx="0" cy="182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5</xdr:col>
      <xdr:colOff>137160</xdr:colOff>
      <xdr:row>11</xdr:row>
      <xdr:rowOff>129540</xdr:rowOff>
    </xdr:from>
    <xdr:to>
      <xdr:col>6</xdr:col>
      <xdr:colOff>99060</xdr:colOff>
      <xdr:row>15</xdr:row>
      <xdr:rowOff>45720</xdr:rowOff>
    </xdr:to>
    <xdr:sp macro="" textlink="">
      <xdr:nvSpPr>
        <xdr:cNvPr id="98332" name="Line 28">
          <a:extLst>
            <a:ext uri="{FF2B5EF4-FFF2-40B4-BE49-F238E27FC236}">
              <a16:creationId xmlns:a16="http://schemas.microsoft.com/office/drawing/2014/main" id="{01DA9A2E-1C41-46C3-B15D-541FAE9CF51F}"/>
            </a:ext>
          </a:extLst>
        </xdr:cNvPr>
        <xdr:cNvSpPr>
          <a:spLocks noChangeShapeType="1"/>
        </xdr:cNvSpPr>
      </xdr:nvSpPr>
      <xdr:spPr bwMode="auto">
        <a:xfrm flipH="1" flipV="1">
          <a:off x="3589020" y="2004060"/>
          <a:ext cx="586740" cy="5867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556260</xdr:colOff>
      <xdr:row>12</xdr:row>
      <xdr:rowOff>45720</xdr:rowOff>
    </xdr:from>
    <xdr:to>
      <xdr:col>5</xdr:col>
      <xdr:colOff>213360</xdr:colOff>
      <xdr:row>14</xdr:row>
      <xdr:rowOff>106680</xdr:rowOff>
    </xdr:to>
    <xdr:sp macro="" textlink="">
      <xdr:nvSpPr>
        <xdr:cNvPr id="98333" name="Line 29">
          <a:extLst>
            <a:ext uri="{FF2B5EF4-FFF2-40B4-BE49-F238E27FC236}">
              <a16:creationId xmlns:a16="http://schemas.microsoft.com/office/drawing/2014/main" id="{7251F61D-9F2A-4807-AF68-72778652F569}"/>
            </a:ext>
          </a:extLst>
        </xdr:cNvPr>
        <xdr:cNvSpPr>
          <a:spLocks noChangeShapeType="1"/>
        </xdr:cNvSpPr>
      </xdr:nvSpPr>
      <xdr:spPr bwMode="auto">
        <a:xfrm flipH="1">
          <a:off x="3276600" y="2087880"/>
          <a:ext cx="388620" cy="396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7</xdr:col>
      <xdr:colOff>563880</xdr:colOff>
      <xdr:row>21</xdr:row>
      <xdr:rowOff>129540</xdr:rowOff>
    </xdr:from>
    <xdr:to>
      <xdr:col>8</xdr:col>
      <xdr:colOff>762000</xdr:colOff>
      <xdr:row>23</xdr:row>
      <xdr:rowOff>129540</xdr:rowOff>
    </xdr:to>
    <xdr:sp macro="" textlink="">
      <xdr:nvSpPr>
        <xdr:cNvPr id="98334" name="Text Box 30">
          <a:extLst>
            <a:ext uri="{FF2B5EF4-FFF2-40B4-BE49-F238E27FC236}">
              <a16:creationId xmlns:a16="http://schemas.microsoft.com/office/drawing/2014/main" id="{FC02407D-F002-4612-A7B8-AA4492195058}"/>
            </a:ext>
          </a:extLst>
        </xdr:cNvPr>
        <xdr:cNvSpPr txBox="1">
          <a:spLocks noChangeArrowheads="1"/>
        </xdr:cNvSpPr>
      </xdr:nvSpPr>
      <xdr:spPr bwMode="auto">
        <a:xfrm>
          <a:off x="5265420" y="3680460"/>
          <a:ext cx="82296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Critical Section</a:t>
          </a:r>
        </a:p>
        <a:p>
          <a:pPr algn="l" rtl="0">
            <a:defRPr sz="1000"/>
          </a:pPr>
          <a:r>
            <a:rPr lang="en-US" sz="800" b="0" i="0" u="none" strike="noStrike" baseline="0%">
              <a:solidFill>
                <a:srgbClr val="0000FF"/>
              </a:solidFill>
              <a:latin typeface="Arial"/>
              <a:cs typeface="Arial"/>
            </a:rPr>
            <a:t>for Beam Shear</a:t>
          </a:r>
        </a:p>
      </xdr:txBody>
    </xdr:sp>
    <xdr:clientData/>
  </xdr:twoCellAnchor>
  <xdr:twoCellAnchor>
    <xdr:from>
      <xdr:col>7</xdr:col>
      <xdr:colOff>7620</xdr:colOff>
      <xdr:row>22</xdr:row>
      <xdr:rowOff>38100</xdr:rowOff>
    </xdr:from>
    <xdr:to>
      <xdr:col>7</xdr:col>
      <xdr:colOff>563880</xdr:colOff>
      <xdr:row>23</xdr:row>
      <xdr:rowOff>38100</xdr:rowOff>
    </xdr:to>
    <xdr:sp macro="" textlink="">
      <xdr:nvSpPr>
        <xdr:cNvPr id="98335" name="Line 31">
          <a:extLst>
            <a:ext uri="{FF2B5EF4-FFF2-40B4-BE49-F238E27FC236}">
              <a16:creationId xmlns:a16="http://schemas.microsoft.com/office/drawing/2014/main" id="{B6CE8533-D167-4C0B-B95E-6D17F4B80C00}"/>
            </a:ext>
          </a:extLst>
        </xdr:cNvPr>
        <xdr:cNvSpPr>
          <a:spLocks noChangeShapeType="1"/>
        </xdr:cNvSpPr>
      </xdr:nvSpPr>
      <xdr:spPr bwMode="auto">
        <a:xfrm flipH="1">
          <a:off x="4709160" y="3756660"/>
          <a:ext cx="556260" cy="1676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sm"/>
        </a:ln>
        <a:extLst>
          <a:ext uri="{909E8E84-426E-40DD-AFC4-6F175D3DCCD1}">
            <a14:hiddenFill xmlns:a14="http://schemas.microsoft.com/office/drawing/2010/main">
              <a:noFill/>
            </a14:hiddenFill>
          </a:ext>
        </a:extLst>
      </xdr:spPr>
    </xdr:sp>
    <xdr:clientData/>
  </xdr:twoCellAnchor>
  <xdr:twoCellAnchor>
    <xdr:from>
      <xdr:col>6</xdr:col>
      <xdr:colOff>198120</xdr:colOff>
      <xdr:row>20</xdr:row>
      <xdr:rowOff>99060</xdr:rowOff>
    </xdr:from>
    <xdr:to>
      <xdr:col>6</xdr:col>
      <xdr:colOff>411480</xdr:colOff>
      <xdr:row>20</xdr:row>
      <xdr:rowOff>99060</xdr:rowOff>
    </xdr:to>
    <xdr:sp macro="" textlink="">
      <xdr:nvSpPr>
        <xdr:cNvPr id="98337" name="Line 33">
          <a:extLst>
            <a:ext uri="{FF2B5EF4-FFF2-40B4-BE49-F238E27FC236}">
              <a16:creationId xmlns:a16="http://schemas.microsoft.com/office/drawing/2014/main" id="{12BDD209-EFE3-4804-804D-2E5394EECC15}"/>
            </a:ext>
          </a:extLst>
        </xdr:cNvPr>
        <xdr:cNvSpPr>
          <a:spLocks noChangeShapeType="1"/>
        </xdr:cNvSpPr>
      </xdr:nvSpPr>
      <xdr:spPr bwMode="auto">
        <a:xfrm flipH="1">
          <a:off x="4274820" y="3482340"/>
          <a:ext cx="213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304800</xdr:colOff>
      <xdr:row>9</xdr:row>
      <xdr:rowOff>121920</xdr:rowOff>
    </xdr:from>
    <xdr:to>
      <xdr:col>7</xdr:col>
      <xdr:colOff>510540</xdr:colOff>
      <xdr:row>26</xdr:row>
      <xdr:rowOff>137160</xdr:rowOff>
    </xdr:to>
    <xdr:sp macro="" textlink="">
      <xdr:nvSpPr>
        <xdr:cNvPr id="98338" name="Freeform 34">
          <a:extLst>
            <a:ext uri="{FF2B5EF4-FFF2-40B4-BE49-F238E27FC236}">
              <a16:creationId xmlns:a16="http://schemas.microsoft.com/office/drawing/2014/main" id="{AD2B2233-8D29-4B3E-9EB4-99872352DB3F}"/>
            </a:ext>
          </a:extLst>
        </xdr:cNvPr>
        <xdr:cNvSpPr>
          <a:spLocks/>
        </xdr:cNvSpPr>
      </xdr:nvSpPr>
      <xdr:spPr bwMode="auto">
        <a:xfrm>
          <a:off x="2369820" y="1661160"/>
          <a:ext cx="2842260" cy="2865120"/>
        </a:xfrm>
        <a:custGeom>
          <a:avLst/>
          <a:gdLst>
            <a:gd name="T0" fmla="*/ 0 w 293"/>
            <a:gd name="T1" fmla="*/ 0 h 293"/>
            <a:gd name="T2" fmla="*/ 21 w 293"/>
            <a:gd name="T3" fmla="*/ 33 h 293"/>
            <a:gd name="T4" fmla="*/ 43 w 293"/>
            <a:gd name="T5" fmla="*/ 63 h 293"/>
            <a:gd name="T6" fmla="*/ 65 w 293"/>
            <a:gd name="T7" fmla="*/ 84 h 293"/>
            <a:gd name="T8" fmla="*/ 122 w 293"/>
            <a:gd name="T9" fmla="*/ 135 h 293"/>
            <a:gd name="T10" fmla="*/ 136 w 293"/>
            <a:gd name="T11" fmla="*/ 146 h 293"/>
            <a:gd name="T12" fmla="*/ 145 w 293"/>
            <a:gd name="T13" fmla="*/ 152 h 293"/>
            <a:gd name="T14" fmla="*/ 148 w 293"/>
            <a:gd name="T15" fmla="*/ 154 h 293"/>
            <a:gd name="T16" fmla="*/ 166 w 293"/>
            <a:gd name="T17" fmla="*/ 180 h 293"/>
            <a:gd name="T18" fmla="*/ 181 w 293"/>
            <a:gd name="T19" fmla="*/ 196 h 293"/>
            <a:gd name="T20" fmla="*/ 219 w 293"/>
            <a:gd name="T21" fmla="*/ 227 h 293"/>
            <a:gd name="T22" fmla="*/ 246 w 293"/>
            <a:gd name="T23" fmla="*/ 262 h 293"/>
            <a:gd name="T24" fmla="*/ 261 w 293"/>
            <a:gd name="T25" fmla="*/ 279 h 293"/>
            <a:gd name="T26" fmla="*/ 293 w 293"/>
            <a:gd name="T27" fmla="*/ 293 h 2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293" h="293">
              <a:moveTo>
                <a:pt x="0" y="0"/>
              </a:moveTo>
              <a:cubicBezTo>
                <a:pt x="5" y="15"/>
                <a:pt x="4" y="27"/>
                <a:pt x="21" y="33"/>
              </a:cubicBezTo>
              <a:cubicBezTo>
                <a:pt x="27" y="43"/>
                <a:pt x="33" y="56"/>
                <a:pt x="43" y="63"/>
              </a:cubicBezTo>
              <a:cubicBezTo>
                <a:pt x="48" y="71"/>
                <a:pt x="58" y="77"/>
                <a:pt x="65" y="84"/>
              </a:cubicBezTo>
              <a:cubicBezTo>
                <a:pt x="83" y="100"/>
                <a:pt x="98" y="129"/>
                <a:pt x="122" y="135"/>
              </a:cubicBezTo>
              <a:cubicBezTo>
                <a:pt x="127" y="139"/>
                <a:pt x="131" y="142"/>
                <a:pt x="136" y="146"/>
              </a:cubicBezTo>
              <a:cubicBezTo>
                <a:pt x="139" y="148"/>
                <a:pt x="142" y="150"/>
                <a:pt x="145" y="152"/>
              </a:cubicBezTo>
              <a:cubicBezTo>
                <a:pt x="146" y="153"/>
                <a:pt x="148" y="154"/>
                <a:pt x="148" y="154"/>
              </a:cubicBezTo>
              <a:cubicBezTo>
                <a:pt x="154" y="163"/>
                <a:pt x="160" y="171"/>
                <a:pt x="166" y="180"/>
              </a:cubicBezTo>
              <a:cubicBezTo>
                <a:pt x="168" y="185"/>
                <a:pt x="176" y="193"/>
                <a:pt x="181" y="196"/>
              </a:cubicBezTo>
              <a:cubicBezTo>
                <a:pt x="190" y="210"/>
                <a:pt x="205" y="220"/>
                <a:pt x="219" y="227"/>
              </a:cubicBezTo>
              <a:cubicBezTo>
                <a:pt x="227" y="239"/>
                <a:pt x="237" y="251"/>
                <a:pt x="246" y="262"/>
              </a:cubicBezTo>
              <a:cubicBezTo>
                <a:pt x="249" y="270"/>
                <a:pt x="254" y="275"/>
                <a:pt x="261" y="279"/>
              </a:cubicBezTo>
              <a:cubicBezTo>
                <a:pt x="267" y="287"/>
                <a:pt x="283" y="293"/>
                <a:pt x="293" y="293"/>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266700</xdr:colOff>
      <xdr:row>18</xdr:row>
      <xdr:rowOff>91440</xdr:rowOff>
    </xdr:from>
    <xdr:to>
      <xdr:col>6</xdr:col>
      <xdr:colOff>327660</xdr:colOff>
      <xdr:row>18</xdr:row>
      <xdr:rowOff>91440</xdr:rowOff>
    </xdr:to>
    <xdr:sp macro="" textlink="">
      <xdr:nvSpPr>
        <xdr:cNvPr id="98339" name="Line 35">
          <a:extLst>
            <a:ext uri="{FF2B5EF4-FFF2-40B4-BE49-F238E27FC236}">
              <a16:creationId xmlns:a16="http://schemas.microsoft.com/office/drawing/2014/main" id="{5F1CC90E-C56C-4863-956D-4C44E8895781}"/>
            </a:ext>
          </a:extLst>
        </xdr:cNvPr>
        <xdr:cNvSpPr>
          <a:spLocks noChangeShapeType="1"/>
        </xdr:cNvSpPr>
      </xdr:nvSpPr>
      <xdr:spPr bwMode="auto">
        <a:xfrm flipH="1" flipV="1">
          <a:off x="4343400" y="3139440"/>
          <a:ext cx="609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251460</xdr:colOff>
      <xdr:row>17</xdr:row>
      <xdr:rowOff>99060</xdr:rowOff>
    </xdr:from>
    <xdr:to>
      <xdr:col>6</xdr:col>
      <xdr:colOff>251460</xdr:colOff>
      <xdr:row>18</xdr:row>
      <xdr:rowOff>91440</xdr:rowOff>
    </xdr:to>
    <xdr:sp macro="" textlink="">
      <xdr:nvSpPr>
        <xdr:cNvPr id="98340" name="Line 36">
          <a:extLst>
            <a:ext uri="{FF2B5EF4-FFF2-40B4-BE49-F238E27FC236}">
              <a16:creationId xmlns:a16="http://schemas.microsoft.com/office/drawing/2014/main" id="{6EDB3455-C73E-47AE-B82B-ABD4ED98B76A}"/>
            </a:ext>
          </a:extLst>
        </xdr:cNvPr>
        <xdr:cNvSpPr>
          <a:spLocks noChangeShapeType="1"/>
        </xdr:cNvSpPr>
      </xdr:nvSpPr>
      <xdr:spPr bwMode="auto">
        <a:xfrm flipV="1">
          <a:off x="4328160" y="2979420"/>
          <a:ext cx="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480060</xdr:colOff>
      <xdr:row>10</xdr:row>
      <xdr:rowOff>137160</xdr:rowOff>
    </xdr:from>
    <xdr:to>
      <xdr:col>6</xdr:col>
      <xdr:colOff>480060</xdr:colOff>
      <xdr:row>14</xdr:row>
      <xdr:rowOff>22860</xdr:rowOff>
    </xdr:to>
    <xdr:sp macro="" textlink="">
      <xdr:nvSpPr>
        <xdr:cNvPr id="98343" name="Line 39">
          <a:extLst>
            <a:ext uri="{FF2B5EF4-FFF2-40B4-BE49-F238E27FC236}">
              <a16:creationId xmlns:a16="http://schemas.microsoft.com/office/drawing/2014/main" id="{5F607AAE-70C1-4660-B081-1E1E37DF47CA}"/>
            </a:ext>
          </a:extLst>
        </xdr:cNvPr>
        <xdr:cNvSpPr>
          <a:spLocks noChangeShapeType="1"/>
        </xdr:cNvSpPr>
      </xdr:nvSpPr>
      <xdr:spPr bwMode="auto">
        <a:xfrm flipV="1">
          <a:off x="4556760" y="1844040"/>
          <a:ext cx="0" cy="556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99060</xdr:colOff>
      <xdr:row>11</xdr:row>
      <xdr:rowOff>91440</xdr:rowOff>
    </xdr:from>
    <xdr:to>
      <xdr:col>6</xdr:col>
      <xdr:colOff>480060</xdr:colOff>
      <xdr:row>11</xdr:row>
      <xdr:rowOff>91440</xdr:rowOff>
    </xdr:to>
    <xdr:sp macro="" textlink="">
      <xdr:nvSpPr>
        <xdr:cNvPr id="98344" name="Line 40">
          <a:extLst>
            <a:ext uri="{FF2B5EF4-FFF2-40B4-BE49-F238E27FC236}">
              <a16:creationId xmlns:a16="http://schemas.microsoft.com/office/drawing/2014/main" id="{1A2A2689-ADEC-43DD-9266-8E27A75D8DCB}"/>
            </a:ext>
          </a:extLst>
        </xdr:cNvPr>
        <xdr:cNvSpPr>
          <a:spLocks noChangeShapeType="1"/>
        </xdr:cNvSpPr>
      </xdr:nvSpPr>
      <xdr:spPr bwMode="auto">
        <a:xfrm>
          <a:off x="4175760" y="196596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twoCellAnchor>
    <xdr:from>
      <xdr:col>6</xdr:col>
      <xdr:colOff>480060</xdr:colOff>
      <xdr:row>11</xdr:row>
      <xdr:rowOff>91440</xdr:rowOff>
    </xdr:from>
    <xdr:to>
      <xdr:col>7</xdr:col>
      <xdr:colOff>0</xdr:colOff>
      <xdr:row>11</xdr:row>
      <xdr:rowOff>91440</xdr:rowOff>
    </xdr:to>
    <xdr:sp macro="" textlink="">
      <xdr:nvSpPr>
        <xdr:cNvPr id="98345" name="Line 41">
          <a:extLst>
            <a:ext uri="{FF2B5EF4-FFF2-40B4-BE49-F238E27FC236}">
              <a16:creationId xmlns:a16="http://schemas.microsoft.com/office/drawing/2014/main" id="{DCCA43B3-40D8-4E8D-85F3-E1E1BE3F789E}"/>
            </a:ext>
          </a:extLst>
        </xdr:cNvPr>
        <xdr:cNvSpPr>
          <a:spLocks noChangeShapeType="1"/>
        </xdr:cNvSpPr>
      </xdr:nvSpPr>
      <xdr:spPr bwMode="auto">
        <a:xfrm>
          <a:off x="4556760" y="1965960"/>
          <a:ext cx="1447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281940</xdr:colOff>
      <xdr:row>8</xdr:row>
      <xdr:rowOff>99060</xdr:rowOff>
    </xdr:from>
    <xdr:to>
      <xdr:col>5</xdr:col>
      <xdr:colOff>381000</xdr:colOff>
      <xdr:row>9</xdr:row>
      <xdr:rowOff>106680</xdr:rowOff>
    </xdr:to>
    <xdr:sp macro="" textlink="">
      <xdr:nvSpPr>
        <xdr:cNvPr id="98346" name="Text Box 42">
          <a:extLst>
            <a:ext uri="{FF2B5EF4-FFF2-40B4-BE49-F238E27FC236}">
              <a16:creationId xmlns:a16="http://schemas.microsoft.com/office/drawing/2014/main" id="{152F891B-0BD1-49D4-9630-1EAF500E1DE1}"/>
            </a:ext>
          </a:extLst>
        </xdr:cNvPr>
        <xdr:cNvSpPr txBox="1">
          <a:spLocks noChangeArrowheads="1"/>
        </xdr:cNvSpPr>
      </xdr:nvSpPr>
      <xdr:spPr bwMode="auto">
        <a:xfrm>
          <a:off x="3002280" y="1470660"/>
          <a:ext cx="83058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Edge of Pile Cap</a:t>
          </a:r>
        </a:p>
      </xdr:txBody>
    </xdr:sp>
    <xdr:clientData/>
  </xdr:twoCellAnchor>
  <xdr:twoCellAnchor>
    <xdr:from>
      <xdr:col>8</xdr:col>
      <xdr:colOff>106680</xdr:colOff>
      <xdr:row>18</xdr:row>
      <xdr:rowOff>91440</xdr:rowOff>
    </xdr:from>
    <xdr:to>
      <xdr:col>8</xdr:col>
      <xdr:colOff>548640</xdr:colOff>
      <xdr:row>20</xdr:row>
      <xdr:rowOff>68580</xdr:rowOff>
    </xdr:to>
    <xdr:sp macro="" textlink="">
      <xdr:nvSpPr>
        <xdr:cNvPr id="98347" name="Text Box 43">
          <a:extLst>
            <a:ext uri="{FF2B5EF4-FFF2-40B4-BE49-F238E27FC236}">
              <a16:creationId xmlns:a16="http://schemas.microsoft.com/office/drawing/2014/main" id="{7223DB8F-0480-458E-A3E7-B38558180747}"/>
            </a:ext>
          </a:extLst>
        </xdr:cNvPr>
        <xdr:cNvSpPr txBox="1">
          <a:spLocks noChangeArrowheads="1"/>
        </xdr:cNvSpPr>
      </xdr:nvSpPr>
      <xdr:spPr bwMode="auto">
        <a:xfrm>
          <a:off x="5433060" y="3139440"/>
          <a:ext cx="441960" cy="3124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800" b="0" i="0" u="none" strike="noStrike" baseline="0%">
              <a:solidFill>
                <a:srgbClr val="0000FF"/>
              </a:solidFill>
              <a:latin typeface="Arial"/>
              <a:cs typeface="Arial"/>
            </a:rPr>
            <a:t>Edge of </a:t>
          </a:r>
        </a:p>
        <a:p>
          <a:pPr algn="l" rtl="0">
            <a:defRPr sz="1000"/>
          </a:pPr>
          <a:r>
            <a:rPr lang="en-US" sz="800" b="0" i="0" u="none" strike="noStrike" baseline="0%">
              <a:solidFill>
                <a:srgbClr val="0000FF"/>
              </a:solidFill>
              <a:latin typeface="Arial"/>
              <a:cs typeface="Arial"/>
            </a:rPr>
            <a:t>Pile Cap</a:t>
          </a:r>
        </a:p>
      </xdr:txBody>
    </xdr:sp>
    <xdr:clientData/>
  </xdr:twoCellAnchor>
  <xdr:twoCellAnchor>
    <xdr:from>
      <xdr:col>7</xdr:col>
      <xdr:colOff>510540</xdr:colOff>
      <xdr:row>19</xdr:row>
      <xdr:rowOff>0</xdr:rowOff>
    </xdr:from>
    <xdr:to>
      <xdr:col>8</xdr:col>
      <xdr:colOff>99060</xdr:colOff>
      <xdr:row>19</xdr:row>
      <xdr:rowOff>0</xdr:rowOff>
    </xdr:to>
    <xdr:sp macro="" textlink="">
      <xdr:nvSpPr>
        <xdr:cNvPr id="98348" name="Line 44">
          <a:extLst>
            <a:ext uri="{FF2B5EF4-FFF2-40B4-BE49-F238E27FC236}">
              <a16:creationId xmlns:a16="http://schemas.microsoft.com/office/drawing/2014/main" id="{6B9F18E1-BBEA-4A8F-90F8-9D6ACF864450}"/>
            </a:ext>
          </a:extLst>
        </xdr:cNvPr>
        <xdr:cNvSpPr>
          <a:spLocks noChangeShapeType="1"/>
        </xdr:cNvSpPr>
      </xdr:nvSpPr>
      <xdr:spPr bwMode="auto">
        <a:xfrm flipH="1">
          <a:off x="5212080" y="3215640"/>
          <a:ext cx="2133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sm"/>
        </a:ln>
        <a:extLst>
          <a:ext uri="{909E8E84-426E-40DD-AFC4-6F175D3DCCD1}">
            <a14:hiddenFill xmlns:a14="http://schemas.microsoft.com/office/drawing/2010/main">
              <a:noFill/>
            </a14:hiddenFill>
          </a:ext>
        </a:extLst>
      </xdr:spPr>
    </xdr:sp>
    <xdr:clientData/>
  </xdr:twoCellAnchor>
  <xdr:twoCellAnchor>
    <xdr:from>
      <xdr:col>4</xdr:col>
      <xdr:colOff>198120</xdr:colOff>
      <xdr:row>9</xdr:row>
      <xdr:rowOff>7620</xdr:rowOff>
    </xdr:from>
    <xdr:to>
      <xdr:col>4</xdr:col>
      <xdr:colOff>289560</xdr:colOff>
      <xdr:row>9</xdr:row>
      <xdr:rowOff>7620</xdr:rowOff>
    </xdr:to>
    <xdr:sp macro="" textlink="">
      <xdr:nvSpPr>
        <xdr:cNvPr id="98349" name="Line 45">
          <a:extLst>
            <a:ext uri="{FF2B5EF4-FFF2-40B4-BE49-F238E27FC236}">
              <a16:creationId xmlns:a16="http://schemas.microsoft.com/office/drawing/2014/main" id="{12BD1E38-FEFD-489E-BFB2-0B7468B576A1}"/>
            </a:ext>
          </a:extLst>
        </xdr:cNvPr>
        <xdr:cNvSpPr>
          <a:spLocks noChangeShapeType="1"/>
        </xdr:cNvSpPr>
      </xdr:nvSpPr>
      <xdr:spPr bwMode="auto">
        <a:xfrm flipH="1">
          <a:off x="2918460" y="1546860"/>
          <a:ext cx="914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91440</xdr:colOff>
      <xdr:row>9</xdr:row>
      <xdr:rowOff>7620</xdr:rowOff>
    </xdr:from>
    <xdr:to>
      <xdr:col>4</xdr:col>
      <xdr:colOff>198120</xdr:colOff>
      <xdr:row>9</xdr:row>
      <xdr:rowOff>114300</xdr:rowOff>
    </xdr:to>
    <xdr:sp macro="" textlink="">
      <xdr:nvSpPr>
        <xdr:cNvPr id="98350" name="Line 46">
          <a:extLst>
            <a:ext uri="{FF2B5EF4-FFF2-40B4-BE49-F238E27FC236}">
              <a16:creationId xmlns:a16="http://schemas.microsoft.com/office/drawing/2014/main" id="{6A361192-67ED-4E86-BD57-A99D69D96654}"/>
            </a:ext>
          </a:extLst>
        </xdr:cNvPr>
        <xdr:cNvSpPr>
          <a:spLocks noChangeShapeType="1"/>
        </xdr:cNvSpPr>
      </xdr:nvSpPr>
      <xdr:spPr bwMode="auto">
        <a:xfrm flipH="1">
          <a:off x="2811780" y="1546860"/>
          <a:ext cx="106680" cy="1066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stealth" w="sm" len="sm"/>
        </a:ln>
        <a:extLst>
          <a:ext uri="{909E8E84-426E-40DD-AFC4-6F175D3DCCD1}">
            <a14:hiddenFill xmlns:a14="http://schemas.microsoft.com/office/drawing/2010/main">
              <a:noFill/>
            </a14:hiddenFill>
          </a:ext>
        </a:extLst>
      </xdr:spPr>
    </xdr:sp>
    <xdr:clientData/>
  </xdr:twoCellAnchor>
  <xdr:twoCellAnchor>
    <xdr:from>
      <xdr:col>0</xdr:col>
      <xdr:colOff>403860</xdr:colOff>
      <xdr:row>19</xdr:row>
      <xdr:rowOff>30480</xdr:rowOff>
    </xdr:from>
    <xdr:to>
      <xdr:col>3</xdr:col>
      <xdr:colOff>510540</xdr:colOff>
      <xdr:row>25</xdr:row>
      <xdr:rowOff>68580</xdr:rowOff>
    </xdr:to>
    <xdr:sp macro="" textlink="">
      <xdr:nvSpPr>
        <xdr:cNvPr id="98352" name="Text Box 48">
          <a:extLst>
            <a:ext uri="{FF2B5EF4-FFF2-40B4-BE49-F238E27FC236}">
              <a16:creationId xmlns:a16="http://schemas.microsoft.com/office/drawing/2014/main" id="{09D57248-A736-46A8-9C1C-8932458770C0}"/>
            </a:ext>
          </a:extLst>
        </xdr:cNvPr>
        <xdr:cNvSpPr txBox="1">
          <a:spLocks noChangeArrowheads="1"/>
        </xdr:cNvSpPr>
      </xdr:nvSpPr>
      <xdr:spPr bwMode="auto">
        <a:xfrm>
          <a:off x="403860" y="3246120"/>
          <a:ext cx="2171700" cy="104394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
          <a:headEnd/>
          <a:tailEnd/>
        </a:ln>
      </xdr:spPr>
      <xdr:txBody>
        <a:bodyPr vertOverflow="clip" wrap="square" lIns="36576" tIns="27432" rIns="0" bIns="0" anchor="t" upright="1"/>
        <a:lstStyle/>
        <a:p>
          <a:pPr algn="l" rtl="0">
            <a:defRPr sz="1000"/>
          </a:pPr>
          <a:r>
            <a:rPr lang="en-US" sz="1000" b="0" i="1" u="sng" strike="noStrike" baseline="0%">
              <a:solidFill>
                <a:srgbClr val="0000FF"/>
              </a:solidFill>
              <a:latin typeface="Arial"/>
              <a:cs typeface="Arial"/>
            </a:rPr>
            <a:t>Note:</a:t>
          </a:r>
          <a:r>
            <a:rPr lang="en-US" sz="1000" b="0" i="1" u="none" strike="noStrike" baseline="0%">
              <a:solidFill>
                <a:srgbClr val="0000FF"/>
              </a:solidFill>
              <a:latin typeface="Arial"/>
              <a:cs typeface="Arial"/>
            </a:rPr>
            <a:t> one-way, beam and two-way, punching shear checks for critical sections relative to pier(s) must also be performed.  Checks for one-way deep beam and two-way deep corbel shear should also be considered.</a:t>
          </a:r>
        </a:p>
      </xdr:txBody>
    </xdr:sp>
    <xdr:clientData/>
  </xdr:twoCellAnchor>
  <mc:AlternateContent xmlns:mc="http://schemas.openxmlformats.org/markup-compatibility/2006">
    <mc:Choice xmlns:v="urn:schemas-microsoft-com:vml" Requires="v"/>
    <mc:Fallback>
      <xdr:twoCellAnchor editAs="absolute">
        <xdr:from>
          <xdr:col>44</xdr:col>
          <xdr:colOff>617220</xdr:colOff>
          <xdr:row>0</xdr:row>
          <xdr:rowOff>15240</xdr:rowOff>
        </xdr:from>
        <xdr:to>
          <xdr:col>47</xdr:col>
          <xdr:colOff>419100</xdr:colOff>
          <xdr:row>1</xdr:row>
          <xdr:rowOff>106680</xdr:rowOff>
        </xdr:to>
        <xdr:sp macro="" textlink="">
          <xdr:nvSpPr>
            <xdr:cNvPr id="98336" name="Comment 32" hidden="1">
              <a:extLst>
                <a:ext uri="{FF2B5EF4-FFF2-40B4-BE49-F238E27FC236}">
                  <a16:creationId xmlns:a16="http://schemas.microsoft.com/office/drawing/2014/main" id="{FA680055-2F1D-4EED-94A3-1E479FE106AE}"/>
                </a:ext>
              </a:extLst>
            </xdr:cNvPr>
            <xdr:cNvSpPr txBox="1">
              <a:spLocks noChangeArrowheads="1"/>
            </xdr:cNvSpPr>
          </xdr:nvSpPr>
          <xdr:spPr bwMode="auto">
            <a:xfrm>
              <a:off x="18196560" y="15240"/>
              <a:ext cx="1676400" cy="2895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              "</a:t>
              </a:r>
              <a:r>
                <a:rPr lang="en-US" sz="800" b="1" i="0" u="none" strike="noStrike" baseline="0%">
                  <a:solidFill>
                    <a:srgbClr val="000000"/>
                  </a:solidFill>
                  <a:latin typeface="Tahoma"/>
                  <a:ea typeface="Tahoma"/>
                  <a:cs typeface="Tahoma"/>
                </a:rPr>
                <a:t>PILEGRP.xls</a:t>
              </a:r>
              <a:r>
                <a:rPr lang="en-US" sz="800" b="0" i="0" u="none" strike="noStrike" baseline="0%">
                  <a:solidFill>
                    <a:srgbClr val="000000"/>
                  </a:solidFill>
                  <a:latin typeface="Tahoma"/>
                  <a:ea typeface="Tahoma"/>
                  <a:cs typeface="Tahoma"/>
                </a:rPr>
                <a:t>"</a:t>
              </a:r>
            </a:p>
            <a:p>
              <a:pPr algn="l" rtl="0">
                <a:defRPr sz="1000"/>
              </a:pPr>
              <a:r>
                <a:rPr lang="en-US" sz="800" b="0" i="0" u="none" strike="noStrike" baseline="0%">
                  <a:solidFill>
                    <a:srgbClr val="000000"/>
                  </a:solidFill>
                  <a:latin typeface="Tahoma"/>
                  <a:ea typeface="Tahoma"/>
                  <a:cs typeface="Tahoma"/>
                </a:rPr>
                <a:t>written by:  Alex Tomanovich, P.E.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144780</xdr:colOff>
          <xdr:row>9</xdr:row>
          <xdr:rowOff>68580</xdr:rowOff>
        </xdr:from>
        <xdr:to>
          <xdr:col>6</xdr:col>
          <xdr:colOff>510540</xdr:colOff>
          <xdr:row>14</xdr:row>
          <xdr:rowOff>121920</xdr:rowOff>
        </xdr:to>
        <xdr:sp macro="" textlink="">
          <xdr:nvSpPr>
            <xdr:cNvPr id="98341" name="Comment 37" hidden="1">
              <a:extLst>
                <a:ext uri="{FF2B5EF4-FFF2-40B4-BE49-F238E27FC236}">
                  <a16:creationId xmlns:a16="http://schemas.microsoft.com/office/drawing/2014/main" id="{D1C24650-40AD-4D33-B9A0-9726E1962811}"/>
                </a:ext>
              </a:extLst>
            </xdr:cNvPr>
            <xdr:cNvSpPr txBox="1">
              <a:spLocks noChangeArrowheads="1"/>
            </xdr:cNvSpPr>
          </xdr:nvSpPr>
          <xdr:spPr bwMode="auto">
            <a:xfrm>
              <a:off x="2209800" y="1607820"/>
              <a:ext cx="2377440" cy="8915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Suggested minimum pile edge distance, 'E', based on pile compression capacity is as follows:</a:t>
              </a:r>
            </a:p>
            <a:p>
              <a:pPr algn="l" rtl="0">
                <a:defRPr sz="1000"/>
              </a:pPr>
              <a:r>
                <a:rPr lang="en-US" sz="800" b="0" i="0" u="none" strike="noStrike" baseline="0%">
                  <a:solidFill>
                    <a:srgbClr val="000000"/>
                  </a:solidFill>
                  <a:latin typeface="Tahoma"/>
                  <a:ea typeface="Tahoma"/>
                  <a:cs typeface="Tahoma"/>
                </a:rPr>
                <a:t>    E = 15" for Rp &lt;= 120 kips</a:t>
              </a:r>
            </a:p>
            <a:p>
              <a:pPr algn="l" rtl="0">
                <a:defRPr sz="1000"/>
              </a:pPr>
              <a:r>
                <a:rPr lang="en-US" sz="800" b="0" i="0" u="none" strike="noStrike" baseline="0%">
                  <a:solidFill>
                    <a:srgbClr val="000000"/>
                  </a:solidFill>
                  <a:latin typeface="Tahoma"/>
                  <a:ea typeface="Tahoma"/>
                  <a:cs typeface="Tahoma"/>
                </a:rPr>
                <a:t>    E = 21" for 120 kips &lt; Rp &lt;= 240 kips</a:t>
              </a:r>
            </a:p>
            <a:p>
              <a:pPr algn="l" rtl="0">
                <a:defRPr sz="1000"/>
              </a:pPr>
              <a:r>
                <a:rPr lang="en-US" sz="800" b="0" i="0" u="none" strike="noStrike" baseline="0%">
                  <a:solidFill>
                    <a:srgbClr val="000000"/>
                  </a:solidFill>
                  <a:latin typeface="Tahoma"/>
                  <a:ea typeface="Tahoma"/>
                  <a:cs typeface="Tahoma"/>
                </a:rPr>
                <a:t>    E = 27" for 240 kips &lt; Rp &lt;= 400 kips</a:t>
              </a:r>
            </a:p>
            <a:p>
              <a:pPr algn="l" rtl="0">
                <a:defRPr sz="1000"/>
              </a:pPr>
              <a:r>
                <a:rPr lang="en-US" sz="800" b="0" i="0" u="none" strike="noStrike" baseline="0%">
                  <a:solidFill>
                    <a:srgbClr val="000000"/>
                  </a:solidFill>
                  <a:latin typeface="Tahoma"/>
                  <a:ea typeface="Tahoma"/>
                  <a:cs typeface="Tahoma"/>
                </a:rPr>
                <a:t>    E = 30" for Rp &gt; 400 kips</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144780</xdr:colOff>
          <xdr:row>11</xdr:row>
          <xdr:rowOff>68580</xdr:rowOff>
        </xdr:from>
        <xdr:to>
          <xdr:col>6</xdr:col>
          <xdr:colOff>449580</xdr:colOff>
          <xdr:row>14</xdr:row>
          <xdr:rowOff>45720</xdr:rowOff>
        </xdr:to>
        <xdr:sp macro="" textlink="">
          <xdr:nvSpPr>
            <xdr:cNvPr id="98342" name="Comment 38" hidden="1">
              <a:extLst>
                <a:ext uri="{FF2B5EF4-FFF2-40B4-BE49-F238E27FC236}">
                  <a16:creationId xmlns:a16="http://schemas.microsoft.com/office/drawing/2014/main" id="{96DFB08A-ED8B-40CD-BEA0-1CD23D72F846}"/>
                </a:ext>
              </a:extLst>
            </xdr:cNvPr>
            <xdr:cNvSpPr txBox="1">
              <a:spLocks noChangeArrowheads="1"/>
            </xdr:cNvSpPr>
          </xdr:nvSpPr>
          <xdr:spPr bwMode="auto">
            <a:xfrm>
              <a:off x="2209800" y="1943100"/>
              <a:ext cx="2316480" cy="4800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Typical values of min. pile embedment, 'dp', are:</a:t>
              </a:r>
            </a:p>
            <a:p>
              <a:pPr algn="l" rtl="0">
                <a:defRPr sz="1000"/>
              </a:pPr>
              <a:r>
                <a:rPr lang="en-US" sz="800" b="0" i="0" u="none" strike="noStrike" baseline="0%">
                  <a:solidFill>
                    <a:srgbClr val="000000"/>
                  </a:solidFill>
                  <a:latin typeface="Tahoma"/>
                  <a:ea typeface="Tahoma"/>
                  <a:cs typeface="Tahoma"/>
                </a:rPr>
                <a:t>    dp = 6" for steel piles</a:t>
              </a:r>
            </a:p>
            <a:p>
              <a:pPr algn="l" rtl="0">
                <a:defRPr sz="1000"/>
              </a:pPr>
              <a:r>
                <a:rPr lang="en-US" sz="800" b="0" i="0" u="none" strike="noStrike" baseline="0%">
                  <a:solidFill>
                    <a:srgbClr val="000000"/>
                  </a:solidFill>
                  <a:latin typeface="Tahoma"/>
                  <a:ea typeface="Tahoma"/>
                  <a:cs typeface="Tahoma"/>
                </a:rPr>
                <a:t>    dp = 4" for concrete piles.</a:t>
              </a:r>
            </a:p>
          </xdr:txBody>
        </xdr:sp>
        <xdr:clientData/>
      </xdr:twoCellAnchor>
    </mc:Fallback>
  </mc:AlternateContent>
  <mc:AlternateContent xmlns:mc="http://schemas.openxmlformats.org/markup-compatibility/2006">
    <mc:Choice xmlns:v="urn:schemas-microsoft-com:vml" Requires="v"/>
    <mc:Fallback>
      <xdr:twoCellAnchor editAs="absolute">
        <xdr:from>
          <xdr:col>30</xdr:col>
          <xdr:colOff>144780</xdr:colOff>
          <xdr:row>15</xdr:row>
          <xdr:rowOff>68580</xdr:rowOff>
        </xdr:from>
        <xdr:to>
          <xdr:col>34</xdr:col>
          <xdr:colOff>0</xdr:colOff>
          <xdr:row>19</xdr:row>
          <xdr:rowOff>160020</xdr:rowOff>
        </xdr:to>
        <xdr:sp macro="" textlink="">
          <xdr:nvSpPr>
            <xdr:cNvPr id="98351" name="Comment 47" hidden="1">
              <a:extLst>
                <a:ext uri="{FF2B5EF4-FFF2-40B4-BE49-F238E27FC236}">
                  <a16:creationId xmlns:a16="http://schemas.microsoft.com/office/drawing/2014/main" id="{A5A00552-058E-4241-BB4C-B1EF8415F83B}"/>
                </a:ext>
              </a:extLst>
            </xdr:cNvPr>
            <xdr:cNvSpPr txBox="1">
              <a:spLocks noChangeArrowheads="1"/>
            </xdr:cNvSpPr>
          </xdr:nvSpPr>
          <xdr:spPr bwMode="auto">
            <a:xfrm>
              <a:off x="8801100" y="2613660"/>
              <a:ext cx="2529840" cy="76200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weight per pier for the pile cap should be added to the total applied load at each pier in the English units pile group analysis worksheets.</a:t>
              </a:r>
            </a:p>
            <a:p>
              <a:pPr algn="l" rtl="0">
                <a:defRPr sz="1000"/>
              </a:pPr>
              <a:r>
                <a:rPr lang="en-US" sz="800" b="0" i="0" u="none" strike="noStrike" baseline="0%">
                  <a:solidFill>
                    <a:srgbClr val="000000"/>
                  </a:solidFill>
                  <a:latin typeface="Tahoma"/>
                  <a:ea typeface="Tahoma"/>
                  <a:cs typeface="Tahoma"/>
                </a:rPr>
                <a:t>Remember that the value of 'Wp' should be negative (-), for a downward load.</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144780</xdr:colOff>
          <xdr:row>41</xdr:row>
          <xdr:rowOff>68580</xdr:rowOff>
        </xdr:from>
        <xdr:to>
          <xdr:col>6</xdr:col>
          <xdr:colOff>350520</xdr:colOff>
          <xdr:row>44</xdr:row>
          <xdr:rowOff>38100</xdr:rowOff>
        </xdr:to>
        <xdr:sp macro="" textlink="">
          <xdr:nvSpPr>
            <xdr:cNvPr id="98353" name="Comment 49" hidden="1">
              <a:extLst>
                <a:ext uri="{FF2B5EF4-FFF2-40B4-BE49-F238E27FC236}">
                  <a16:creationId xmlns:a16="http://schemas.microsoft.com/office/drawing/2014/main" id="{837E2C12-E575-4EE4-92C0-D36B66B1BA9A}"/>
                </a:ext>
              </a:extLst>
            </xdr:cNvPr>
            <xdr:cNvSpPr txBox="1">
              <a:spLocks noChangeArrowheads="1"/>
            </xdr:cNvSpPr>
          </xdr:nvSpPr>
          <xdr:spPr bwMode="auto">
            <a:xfrm>
              <a:off x="2209800" y="6964680"/>
              <a:ext cx="2217420" cy="4724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Shear perimeter, 'bo', for defining critical section for two-way, punching shear is limited to a maximum value = 2*</a:t>
              </a:r>
              <a:r>
                <a:rPr lang="en-US" sz="800" b="0" i="0" u="none" strike="noStrike" baseline="0%">
                  <a:solidFill>
                    <a:srgbClr val="000000"/>
                  </a:solidFill>
                  <a:latin typeface="Symbol"/>
                  <a:ea typeface="Tahoma"/>
                  <a:cs typeface="Tahoma"/>
                </a:rPr>
                <a:t>p</a:t>
              </a:r>
              <a:r>
                <a:rPr lang="en-US" sz="800" b="0" i="0" u="none" strike="noStrike" baseline="0%">
                  <a:solidFill>
                    <a:srgbClr val="000000"/>
                  </a:solidFill>
                  <a:latin typeface="Tahoma"/>
                  <a:ea typeface="Tahoma"/>
                  <a:cs typeface="Tahoma"/>
                </a:rPr>
                <a:t>*(Dp/2+CS).</a:t>
              </a:r>
            </a:p>
          </xdr:txBody>
        </xdr:sp>
        <xdr:clientData/>
      </xdr:twoCellAnchor>
    </mc:Fallback>
  </mc:AlternateContent>
  <mc:AlternateContent xmlns:mc="http://schemas.openxmlformats.org/markup-compatibility/2006">
    <mc:Choice xmlns:v="urn:schemas-microsoft-com:vml" Requires="v"/>
    <mc:Fallback>
      <xdr:twoCellAnchor editAs="absolute">
        <xdr:from>
          <xdr:col>34</xdr:col>
          <xdr:colOff>320040</xdr:colOff>
          <xdr:row>15</xdr:row>
          <xdr:rowOff>68580</xdr:rowOff>
        </xdr:from>
        <xdr:to>
          <xdr:col>38</xdr:col>
          <xdr:colOff>358140</xdr:colOff>
          <xdr:row>19</xdr:row>
          <xdr:rowOff>137160</xdr:rowOff>
        </xdr:to>
        <xdr:sp macro="" textlink="">
          <xdr:nvSpPr>
            <xdr:cNvPr id="98354" name="Comment 50" hidden="1">
              <a:extLst>
                <a:ext uri="{FF2B5EF4-FFF2-40B4-BE49-F238E27FC236}">
                  <a16:creationId xmlns:a16="http://schemas.microsoft.com/office/drawing/2014/main" id="{01504459-10E5-4BC2-A6FB-43D794C2F229}"/>
                </a:ext>
              </a:extLst>
            </xdr:cNvPr>
            <xdr:cNvSpPr txBox="1">
              <a:spLocks noChangeArrowheads="1"/>
            </xdr:cNvSpPr>
          </xdr:nvSpPr>
          <xdr:spPr bwMode="auto">
            <a:xfrm>
              <a:off x="11650980" y="2613660"/>
              <a:ext cx="2537460" cy="7391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The weight per pier for the pile cap should be added to the total applied load at each pier in the metric units pile group analysis worksheets.</a:t>
              </a:r>
            </a:p>
            <a:p>
              <a:pPr algn="l" rtl="0">
                <a:defRPr sz="1000"/>
              </a:pPr>
              <a:r>
                <a:rPr lang="en-US" sz="800" b="0" i="0" u="none" strike="noStrike" baseline="0%">
                  <a:solidFill>
                    <a:srgbClr val="000000"/>
                  </a:solidFill>
                  <a:latin typeface="Tahoma"/>
                  <a:ea typeface="Tahoma"/>
                  <a:cs typeface="Tahoma"/>
                </a:rPr>
                <a:t>Remember that the value of 'Wp' should be negative (-), for a downward load.</a:t>
              </a:r>
            </a:p>
          </xdr:txBody>
        </xdr:sp>
        <xdr:clientData/>
      </xdr:twoCellAnchor>
    </mc:Fallback>
  </mc:AlternateContent>
  <mc:AlternateContent xmlns:mc="http://schemas.openxmlformats.org/markup-compatibility/2006">
    <mc:Choice xmlns:v="urn:schemas-microsoft-com:vml" Requires="v"/>
    <mc:Fallback>
      <xdr:twoCellAnchor editAs="absolute">
        <xdr:from>
          <xdr:col>26</xdr:col>
          <xdr:colOff>144780</xdr:colOff>
          <xdr:row>28</xdr:row>
          <xdr:rowOff>68580</xdr:rowOff>
        </xdr:from>
        <xdr:to>
          <xdr:col>30</xdr:col>
          <xdr:colOff>91440</xdr:colOff>
          <xdr:row>31</xdr:row>
          <xdr:rowOff>45720</xdr:rowOff>
        </xdr:to>
        <xdr:sp macro="" textlink="">
          <xdr:nvSpPr>
            <xdr:cNvPr id="98355" name="Comment 51" hidden="1">
              <a:extLst>
                <a:ext uri="{FF2B5EF4-FFF2-40B4-BE49-F238E27FC236}">
                  <a16:creationId xmlns:a16="http://schemas.microsoft.com/office/drawing/2014/main" id="{ED9B6BF0-51F2-4C08-BCA7-E4F44347E377}"/>
                </a:ext>
              </a:extLst>
            </xdr:cNvPr>
            <xdr:cNvSpPr txBox="1">
              <a:spLocks noChangeArrowheads="1"/>
            </xdr:cNvSpPr>
          </xdr:nvSpPr>
          <xdr:spPr bwMode="auto">
            <a:xfrm>
              <a:off x="6301740" y="4792980"/>
              <a:ext cx="2446020" cy="4800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Critical section for one-way, beam shear is limited to minimum of "d" or "(L-Dp)/2" so that there is no overlapping of critical sections from other piles.</a:t>
              </a:r>
            </a:p>
          </xdr:txBody>
        </xdr:sp>
        <xdr:clientData/>
      </xdr:twoCellAnchor>
    </mc:Fallback>
  </mc:AlternateContent>
  <mc:AlternateContent xmlns:mc="http://schemas.openxmlformats.org/markup-compatibility/2006">
    <mc:Choice xmlns:v="urn:schemas-microsoft-com:vml" Requires="v"/>
    <mc:Fallback>
      <xdr:twoCellAnchor editAs="absolute">
        <xdr:from>
          <xdr:col>26</xdr:col>
          <xdr:colOff>144780</xdr:colOff>
          <xdr:row>38</xdr:row>
          <xdr:rowOff>68580</xdr:rowOff>
        </xdr:from>
        <xdr:to>
          <xdr:col>30</xdr:col>
          <xdr:colOff>220980</xdr:colOff>
          <xdr:row>41</xdr:row>
          <xdr:rowOff>45720</xdr:rowOff>
        </xdr:to>
        <xdr:sp macro="" textlink="">
          <xdr:nvSpPr>
            <xdr:cNvPr id="98356" name="Comment 52" hidden="1">
              <a:extLst>
                <a:ext uri="{FF2B5EF4-FFF2-40B4-BE49-F238E27FC236}">
                  <a16:creationId xmlns:a16="http://schemas.microsoft.com/office/drawing/2014/main" id="{AB47DF7A-D7E8-4D0A-B538-AA8CD179AEF9}"/>
                </a:ext>
              </a:extLst>
            </xdr:cNvPr>
            <xdr:cNvSpPr txBox="1">
              <a:spLocks noChangeArrowheads="1"/>
            </xdr:cNvSpPr>
          </xdr:nvSpPr>
          <xdr:spPr bwMode="auto">
            <a:xfrm>
              <a:off x="6301740" y="6461760"/>
              <a:ext cx="2575560" cy="48006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Critical section for two-way, punching shear is limited to minimum of "d/2" or "(L-Dp)/2" so that there is no overlapping of critical sections from other piles.</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144780</xdr:colOff>
          <xdr:row>16</xdr:row>
          <xdr:rowOff>68580</xdr:rowOff>
        </xdr:from>
        <xdr:to>
          <xdr:col>5</xdr:col>
          <xdr:colOff>586740</xdr:colOff>
          <xdr:row>20</xdr:row>
          <xdr:rowOff>22860</xdr:rowOff>
        </xdr:to>
        <xdr:sp macro="" textlink="">
          <xdr:nvSpPr>
            <xdr:cNvPr id="98366" name="Comment 62" hidden="1">
              <a:extLst>
                <a:ext uri="{FF2B5EF4-FFF2-40B4-BE49-F238E27FC236}">
                  <a16:creationId xmlns:a16="http://schemas.microsoft.com/office/drawing/2014/main" id="{979F366C-BB80-449B-BA5C-9A45E0BAB8A4}"/>
                </a:ext>
              </a:extLst>
            </xdr:cNvPr>
            <xdr:cNvSpPr txBox="1">
              <a:spLocks noChangeArrowheads="1"/>
            </xdr:cNvSpPr>
          </xdr:nvSpPr>
          <xdr:spPr bwMode="auto">
            <a:xfrm>
              <a:off x="2209800" y="2781300"/>
              <a:ext cx="1828800" cy="624840"/>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Tahoma"/>
                  <a:ea typeface="Tahoma"/>
                  <a:cs typeface="Tahoma"/>
                </a:rPr>
                <a:t>If the user inputs a factored pile reaction, 'Rp', as opposed to a typical unfactored value, then a Load Factor, LF = 1, should be input here.</a:t>
              </a:r>
            </a:p>
          </xdr:txBody>
        </xdr:sp>
        <xdr:clientData/>
      </xdr:twoCellAnchor>
    </mc:Fallback>
  </mc:AlternateContent>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2.bin"/><Relationship Id="rId4" Type="http://purl.oclc.org/ooxml/officeDocument/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2.xml"/><Relationship Id="rId1" Type="http://purl.oclc.org/ooxml/officeDocument/relationships/printerSettings" Target="../printerSettings/printerSettings3.bin"/><Relationship Id="rId4" Type="http://purl.oclc.org/ooxml/officeDocument/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3.xml"/><Relationship Id="rId1" Type="http://purl.oclc.org/ooxml/officeDocument/relationships/printerSettings" Target="../printerSettings/printerSettings4.bin"/><Relationship Id="rId4" Type="http://purl.oclc.org/ooxml/officeDocument/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purl.oclc.org/ooxml/officeDocument/relationships/drawing" Target="../drawings/drawing4.xml"/><Relationship Id="rId1" Type="http://purl.oclc.org/ooxml/officeDocument/relationships/printerSettings" Target="../printerSettings/printerSettings5.bin"/><Relationship Id="rId4" Type="http://purl.oclc.org/ooxml/officeDocument/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5.xml"/><Relationship Id="rId1" Type="http://purl.oclc.org/ooxml/officeDocument/relationships/printerSettings" Target="../printerSettings/printerSettings6.bin"/><Relationship Id="rId4" Type="http://purl.oclc.org/ooxml/officeDocument/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purl.oclc.org/ooxml/officeDocument/relationships/drawing" Target="../drawings/drawing6.xml"/><Relationship Id="rId1" Type="http://purl.oclc.org/ooxml/officeDocument/relationships/printerSettings" Target="../printerSettings/printerSettings7.bin"/><Relationship Id="rId4" Type="http://purl.oclc.org/ooxml/officeDocument/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purl.oclc.org/ooxml/officeDocument/relationships/drawing" Target="../drawings/drawing7.xml"/><Relationship Id="rId1" Type="http://purl.oclc.org/ooxml/officeDocument/relationships/printerSettings" Target="../printerSettings/printerSettings8.bin"/><Relationship Id="rId4" Type="http://purl.oclc.org/ooxml/officeDocument/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purl.oclc.org/ooxml/officeDocument/relationships/drawing" Target="../drawings/drawing8.xml"/><Relationship Id="rId1" Type="http://purl.oclc.org/ooxml/officeDocument/relationships/printerSettings" Target="../printerSettings/printerSettings9.bin"/><Relationship Id="rId4" Type="http://purl.oclc.org/ooxml/officeDocument/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purl.oclc.org/ooxml/officeDocument/relationships/drawing" Target="../drawings/drawing9.xml"/><Relationship Id="rId1" Type="http://purl.oclc.org/ooxml/officeDocument/relationships/printerSettings" Target="../printerSettings/printerSettings10.bin"/><Relationship Id="rId4" Type="http://purl.oclc.org/ooxml/officeDocument/relationships/comments" Target="../comments9.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J56"/>
  <sheetViews>
    <sheetView tabSelected="1" zoomScaleNormal="100" workbookViewId="0">
      <selection activeCell="A57" sqref="A57"/>
    </sheetView>
  </sheetViews>
  <sheetFormatPr defaultColWidth="9.109375" defaultRowHeight="13.2" x14ac:dyDescent="0.25"/>
  <cols>
    <col min="1" max="9" width="9.109375" style="92"/>
    <col min="10" max="10" width="7.6640625" style="92" customWidth="1"/>
    <col min="11" max="16384" width="9.109375" style="92"/>
  </cols>
  <sheetData>
    <row r="1" spans="1:10" ht="15.6" x14ac:dyDescent="0.3">
      <c r="A1" s="107" t="s">
        <v>173</v>
      </c>
      <c r="B1" s="108"/>
      <c r="C1" s="108"/>
      <c r="D1" s="108"/>
      <c r="E1" s="108"/>
      <c r="F1" s="108"/>
      <c r="G1" s="108"/>
      <c r="H1" s="108"/>
      <c r="I1" s="108"/>
      <c r="J1" s="108"/>
    </row>
    <row r="2" spans="1:10" x14ac:dyDescent="0.25">
      <c r="A2" s="109"/>
      <c r="B2" s="108"/>
      <c r="C2" s="108"/>
      <c r="D2" s="108"/>
      <c r="E2" s="108"/>
      <c r="F2" s="108"/>
      <c r="G2" s="108"/>
      <c r="H2" s="108"/>
      <c r="I2" s="108"/>
      <c r="J2" s="108"/>
    </row>
    <row r="3" spans="1:10" x14ac:dyDescent="0.25">
      <c r="A3" s="110" t="s">
        <v>58</v>
      </c>
    </row>
    <row r="4" spans="1:10" x14ac:dyDescent="0.25">
      <c r="A4" s="111"/>
      <c r="B4" s="111"/>
      <c r="C4" s="111"/>
      <c r="D4" s="111"/>
      <c r="E4" s="111"/>
      <c r="F4" s="111"/>
      <c r="G4" s="111"/>
      <c r="H4" s="111"/>
      <c r="I4" s="111"/>
      <c r="J4" s="111"/>
    </row>
    <row r="5" spans="1:10" x14ac:dyDescent="0.25">
      <c r="A5" s="111" t="s">
        <v>174</v>
      </c>
      <c r="B5" s="111"/>
      <c r="C5" s="111"/>
      <c r="D5" s="111"/>
      <c r="E5" s="111"/>
      <c r="F5" s="111"/>
      <c r="G5" s="111"/>
      <c r="H5" s="111"/>
      <c r="I5" s="111"/>
      <c r="J5" s="111"/>
    </row>
    <row r="6" spans="1:10" x14ac:dyDescent="0.25">
      <c r="A6" s="111" t="s">
        <v>60</v>
      </c>
      <c r="B6" s="111"/>
      <c r="C6" s="111"/>
      <c r="D6" s="111"/>
      <c r="E6" s="111"/>
      <c r="F6" s="111"/>
      <c r="G6" s="111"/>
      <c r="H6" s="111"/>
      <c r="I6" s="111"/>
      <c r="J6" s="111"/>
    </row>
    <row r="7" spans="1:10" x14ac:dyDescent="0.25">
      <c r="A7" s="111" t="s">
        <v>91</v>
      </c>
      <c r="B7" s="111"/>
      <c r="C7" s="111"/>
      <c r="D7" s="111"/>
      <c r="E7" s="111"/>
      <c r="F7" s="111"/>
      <c r="G7" s="111"/>
      <c r="H7" s="111"/>
      <c r="I7" s="111"/>
      <c r="J7" s="111"/>
    </row>
    <row r="8" spans="1:10" x14ac:dyDescent="0.25">
      <c r="A8" s="111" t="s">
        <v>319</v>
      </c>
      <c r="B8" s="111"/>
      <c r="C8" s="111"/>
      <c r="D8" s="111"/>
      <c r="E8" s="111"/>
      <c r="F8" s="111"/>
      <c r="G8" s="111"/>
      <c r="H8" s="111"/>
      <c r="I8" s="111"/>
      <c r="J8" s="111"/>
    </row>
    <row r="9" spans="1:10" x14ac:dyDescent="0.25">
      <c r="A9" s="111" t="s">
        <v>320</v>
      </c>
      <c r="B9" s="111"/>
      <c r="C9" s="111"/>
      <c r="D9" s="111"/>
      <c r="E9" s="111"/>
      <c r="F9" s="111"/>
      <c r="G9" s="111"/>
      <c r="H9" s="111"/>
      <c r="I9" s="111"/>
      <c r="J9" s="111"/>
    </row>
    <row r="11" spans="1:10" x14ac:dyDescent="0.25">
      <c r="A11" s="111" t="s">
        <v>330</v>
      </c>
      <c r="B11" s="111"/>
      <c r="C11" s="111"/>
      <c r="D11" s="111"/>
      <c r="E11" s="111"/>
      <c r="F11" s="111"/>
      <c r="G11" s="111"/>
      <c r="H11" s="111"/>
      <c r="I11" s="111"/>
      <c r="J11" s="111"/>
    </row>
    <row r="12" spans="1:10" x14ac:dyDescent="0.25">
      <c r="A12" s="111"/>
      <c r="B12" s="111"/>
      <c r="C12" s="111"/>
      <c r="D12" s="111"/>
      <c r="E12" s="111"/>
      <c r="F12" s="111"/>
      <c r="G12" s="111"/>
      <c r="H12" s="111"/>
      <c r="I12" s="111"/>
      <c r="J12" s="111"/>
    </row>
    <row r="13" spans="1:10" x14ac:dyDescent="0.25">
      <c r="A13" s="112" t="s">
        <v>80</v>
      </c>
      <c r="B13" s="113"/>
      <c r="C13" s="114"/>
      <c r="D13" s="115" t="s">
        <v>81</v>
      </c>
      <c r="E13" s="113"/>
      <c r="F13" s="113"/>
      <c r="G13" s="113"/>
      <c r="H13" s="113"/>
      <c r="I13" s="113"/>
      <c r="J13" s="114"/>
    </row>
    <row r="14" spans="1:10" x14ac:dyDescent="0.25">
      <c r="A14" s="165" t="s">
        <v>82</v>
      </c>
      <c r="B14" s="166"/>
      <c r="C14" s="167"/>
      <c r="D14" s="166" t="s">
        <v>77</v>
      </c>
      <c r="E14" s="166"/>
      <c r="F14" s="166"/>
      <c r="G14" s="166"/>
      <c r="H14" s="166"/>
      <c r="I14" s="166"/>
      <c r="J14" s="167"/>
    </row>
    <row r="15" spans="1:10" x14ac:dyDescent="0.25">
      <c r="A15" s="168" t="s">
        <v>333</v>
      </c>
      <c r="B15" s="169"/>
      <c r="C15" s="170"/>
      <c r="D15" s="169" t="s">
        <v>78</v>
      </c>
      <c r="E15" s="169"/>
      <c r="F15" s="169"/>
      <c r="G15" s="169"/>
      <c r="H15" s="169"/>
      <c r="I15" s="169"/>
      <c r="J15" s="170"/>
    </row>
    <row r="16" spans="1:10" x14ac:dyDescent="0.25">
      <c r="A16" s="168" t="s">
        <v>334</v>
      </c>
      <c r="B16" s="169"/>
      <c r="C16" s="170"/>
      <c r="D16" s="169" t="s">
        <v>138</v>
      </c>
      <c r="E16" s="169"/>
      <c r="F16" s="169"/>
      <c r="G16" s="169"/>
      <c r="H16" s="169"/>
      <c r="I16" s="169"/>
      <c r="J16" s="170"/>
    </row>
    <row r="17" spans="1:10" x14ac:dyDescent="0.25">
      <c r="A17" s="168" t="s">
        <v>335</v>
      </c>
      <c r="B17" s="169"/>
      <c r="C17" s="170"/>
      <c r="D17" s="169" t="s">
        <v>79</v>
      </c>
      <c r="E17" s="169"/>
      <c r="F17" s="169"/>
      <c r="G17" s="169"/>
      <c r="H17" s="169"/>
      <c r="I17" s="169"/>
      <c r="J17" s="170"/>
    </row>
    <row r="18" spans="1:10" x14ac:dyDescent="0.25">
      <c r="A18" s="168" t="s">
        <v>336</v>
      </c>
      <c r="B18" s="169"/>
      <c r="C18" s="170"/>
      <c r="D18" s="169" t="s">
        <v>139</v>
      </c>
      <c r="E18" s="169"/>
      <c r="F18" s="169"/>
      <c r="G18" s="169"/>
      <c r="H18" s="169"/>
      <c r="I18" s="169"/>
      <c r="J18" s="170"/>
    </row>
    <row r="19" spans="1:10" x14ac:dyDescent="0.25">
      <c r="A19" s="168" t="s">
        <v>337</v>
      </c>
      <c r="B19" s="169"/>
      <c r="C19" s="170"/>
      <c r="D19" s="169" t="s">
        <v>357</v>
      </c>
      <c r="E19" s="169"/>
      <c r="F19" s="169"/>
      <c r="G19" s="169"/>
      <c r="H19" s="169"/>
      <c r="I19" s="169"/>
      <c r="J19" s="170"/>
    </row>
    <row r="20" spans="1:10" x14ac:dyDescent="0.25">
      <c r="A20" s="168" t="s">
        <v>338</v>
      </c>
      <c r="B20" s="169"/>
      <c r="C20" s="170"/>
      <c r="D20" s="169" t="s">
        <v>358</v>
      </c>
      <c r="E20" s="169"/>
      <c r="F20" s="169"/>
      <c r="G20" s="169"/>
      <c r="H20" s="169"/>
      <c r="I20" s="169"/>
      <c r="J20" s="170"/>
    </row>
    <row r="21" spans="1:10" x14ac:dyDescent="0.25">
      <c r="A21" s="168" t="s">
        <v>339</v>
      </c>
      <c r="B21" s="169"/>
      <c r="C21" s="170"/>
      <c r="D21" s="169" t="s">
        <v>360</v>
      </c>
      <c r="E21" s="169"/>
      <c r="F21" s="169"/>
      <c r="G21" s="169"/>
      <c r="H21" s="169"/>
      <c r="I21" s="169"/>
      <c r="J21" s="170"/>
    </row>
    <row r="22" spans="1:10" x14ac:dyDescent="0.25">
      <c r="A22" s="168" t="s">
        <v>340</v>
      </c>
      <c r="B22" s="169"/>
      <c r="C22" s="170"/>
      <c r="D22" s="169" t="s">
        <v>359</v>
      </c>
      <c r="E22" s="169"/>
      <c r="F22" s="169"/>
      <c r="G22" s="169"/>
      <c r="H22" s="169"/>
      <c r="I22" s="169"/>
      <c r="J22" s="170"/>
    </row>
    <row r="23" spans="1:10" x14ac:dyDescent="0.25">
      <c r="A23" s="171" t="s">
        <v>307</v>
      </c>
      <c r="B23" s="172"/>
      <c r="C23" s="173"/>
      <c r="D23" s="172" t="s">
        <v>318</v>
      </c>
      <c r="E23" s="172"/>
      <c r="F23" s="172"/>
      <c r="G23" s="172"/>
      <c r="H23" s="172"/>
      <c r="I23" s="172"/>
      <c r="J23" s="173"/>
    </row>
    <row r="24" spans="1:10" x14ac:dyDescent="0.25">
      <c r="A24" s="111"/>
      <c r="B24" s="111"/>
      <c r="C24" s="111"/>
      <c r="D24" s="111"/>
      <c r="E24" s="111"/>
      <c r="F24" s="111"/>
      <c r="G24" s="111"/>
      <c r="H24" s="111"/>
      <c r="I24" s="111"/>
      <c r="J24" s="111"/>
    </row>
    <row r="25" spans="1:10" x14ac:dyDescent="0.25">
      <c r="A25" s="110" t="s">
        <v>59</v>
      </c>
      <c r="B25" s="111"/>
      <c r="C25" s="111"/>
      <c r="D25" s="111"/>
      <c r="E25" s="111"/>
      <c r="F25" s="111"/>
      <c r="G25" s="111"/>
      <c r="H25" s="111"/>
      <c r="I25" s="111"/>
      <c r="J25" s="111"/>
    </row>
    <row r="26" spans="1:10" x14ac:dyDescent="0.25">
      <c r="A26" s="111"/>
      <c r="B26" s="111"/>
      <c r="C26" s="111"/>
      <c r="D26" s="111"/>
      <c r="E26" s="111"/>
      <c r="F26" s="111"/>
      <c r="G26" s="111"/>
      <c r="H26" s="111"/>
      <c r="I26" s="111"/>
      <c r="J26" s="111"/>
    </row>
    <row r="27" spans="1:10" x14ac:dyDescent="0.25">
      <c r="A27" s="111" t="s">
        <v>331</v>
      </c>
      <c r="B27" s="111"/>
      <c r="C27" s="111"/>
      <c r="D27" s="111"/>
      <c r="E27" s="111"/>
      <c r="F27" s="111"/>
      <c r="G27" s="111"/>
      <c r="H27" s="111"/>
      <c r="I27" s="111"/>
      <c r="J27" s="111"/>
    </row>
    <row r="28" spans="1:10" x14ac:dyDescent="0.25">
      <c r="A28" s="111" t="s">
        <v>332</v>
      </c>
      <c r="B28" s="111"/>
      <c r="C28" s="111"/>
      <c r="D28" s="111"/>
      <c r="E28" s="111"/>
      <c r="F28" s="111"/>
      <c r="G28" s="111"/>
      <c r="H28" s="111"/>
      <c r="I28" s="111"/>
      <c r="J28" s="111"/>
    </row>
    <row r="29" spans="1:10" x14ac:dyDescent="0.25">
      <c r="A29" s="111" t="s">
        <v>68</v>
      </c>
      <c r="B29" s="111"/>
      <c r="C29" s="111"/>
      <c r="D29" s="111"/>
      <c r="E29" s="111"/>
      <c r="F29" s="111"/>
      <c r="G29" s="111"/>
      <c r="H29" s="111"/>
      <c r="I29" s="111"/>
      <c r="J29" s="111"/>
    </row>
    <row r="30" spans="1:10" x14ac:dyDescent="0.25">
      <c r="A30" s="111" t="s">
        <v>257</v>
      </c>
      <c r="B30" s="111"/>
      <c r="C30" s="111"/>
      <c r="D30" s="111"/>
      <c r="E30" s="111"/>
      <c r="F30" s="111"/>
      <c r="G30" s="111"/>
      <c r="H30" s="111"/>
      <c r="I30" s="111"/>
      <c r="J30" s="111"/>
    </row>
    <row r="31" spans="1:10" x14ac:dyDescent="0.25">
      <c r="A31" s="111" t="s">
        <v>258</v>
      </c>
      <c r="B31" s="111"/>
      <c r="C31" s="111"/>
      <c r="D31" s="111"/>
      <c r="E31" s="111"/>
      <c r="F31" s="111"/>
      <c r="G31" s="111"/>
      <c r="H31" s="111"/>
      <c r="I31" s="111"/>
      <c r="J31" s="111"/>
    </row>
    <row r="32" spans="1:10" x14ac:dyDescent="0.25">
      <c r="A32" s="111" t="s">
        <v>259</v>
      </c>
      <c r="B32" s="111"/>
      <c r="C32" s="111"/>
      <c r="D32" s="111"/>
      <c r="E32" s="111"/>
      <c r="F32" s="111"/>
      <c r="G32" s="111"/>
      <c r="H32" s="111"/>
      <c r="I32" s="111"/>
      <c r="J32" s="111"/>
    </row>
    <row r="33" spans="1:10" x14ac:dyDescent="0.25">
      <c r="A33" s="111" t="s">
        <v>260</v>
      </c>
      <c r="B33" s="111"/>
      <c r="C33" s="111"/>
      <c r="D33" s="111"/>
      <c r="E33" s="111"/>
      <c r="F33" s="111"/>
      <c r="G33" s="111"/>
      <c r="H33" s="111"/>
      <c r="I33" s="111"/>
      <c r="J33" s="111"/>
    </row>
    <row r="34" spans="1:10" x14ac:dyDescent="0.25">
      <c r="A34" s="111" t="s">
        <v>76</v>
      </c>
      <c r="B34" s="111"/>
      <c r="C34" s="111"/>
      <c r="D34" s="111"/>
      <c r="E34" s="111"/>
      <c r="F34" s="111"/>
      <c r="G34" s="111"/>
      <c r="H34" s="111"/>
      <c r="I34" s="111"/>
      <c r="J34" s="111"/>
    </row>
    <row r="35" spans="1:10" x14ac:dyDescent="0.25">
      <c r="A35" s="111" t="s">
        <v>73</v>
      </c>
      <c r="B35" s="111"/>
      <c r="C35" s="111"/>
      <c r="D35" s="111"/>
      <c r="E35" s="111"/>
      <c r="F35" s="111"/>
      <c r="G35" s="111"/>
      <c r="H35" s="111"/>
      <c r="I35" s="111"/>
      <c r="J35" s="111"/>
    </row>
    <row r="36" spans="1:10" x14ac:dyDescent="0.25">
      <c r="A36" s="111" t="s">
        <v>70</v>
      </c>
      <c r="B36" s="111"/>
      <c r="C36" s="111"/>
      <c r="D36" s="111"/>
      <c r="E36" s="111"/>
      <c r="F36" s="111"/>
      <c r="G36" s="111"/>
      <c r="H36" s="111"/>
      <c r="I36" s="111"/>
      <c r="J36" s="111"/>
    </row>
    <row r="37" spans="1:10" x14ac:dyDescent="0.25">
      <c r="A37" s="111" t="s">
        <v>69</v>
      </c>
      <c r="B37" s="111"/>
      <c r="C37" s="111"/>
      <c r="D37" s="111"/>
      <c r="E37" s="111"/>
      <c r="F37" s="111"/>
      <c r="G37" s="111"/>
      <c r="H37" s="111"/>
      <c r="I37" s="111"/>
      <c r="J37" s="111"/>
    </row>
    <row r="38" spans="1:10" x14ac:dyDescent="0.25">
      <c r="A38" s="111" t="s">
        <v>61</v>
      </c>
      <c r="B38" s="111"/>
      <c r="C38" s="111"/>
      <c r="D38" s="111"/>
      <c r="E38" s="111"/>
      <c r="F38" s="111"/>
      <c r="G38" s="111"/>
      <c r="H38" s="111"/>
      <c r="I38" s="111"/>
      <c r="J38" s="111"/>
    </row>
    <row r="39" spans="1:10" x14ac:dyDescent="0.25">
      <c r="A39" s="111" t="s">
        <v>89</v>
      </c>
      <c r="B39" s="111"/>
      <c r="C39" s="111"/>
      <c r="D39" s="111"/>
      <c r="E39" s="111"/>
      <c r="F39" s="111"/>
      <c r="G39" s="111"/>
      <c r="H39" s="111"/>
      <c r="I39" s="111"/>
      <c r="J39" s="111"/>
    </row>
    <row r="40" spans="1:10" x14ac:dyDescent="0.25">
      <c r="A40" s="111" t="s">
        <v>90</v>
      </c>
      <c r="B40" s="111"/>
      <c r="C40" s="111"/>
      <c r="D40" s="111"/>
      <c r="E40" s="111"/>
      <c r="F40" s="111"/>
      <c r="G40" s="111"/>
      <c r="H40" s="111"/>
      <c r="I40" s="111"/>
      <c r="J40" s="111"/>
    </row>
    <row r="41" spans="1:10" x14ac:dyDescent="0.25">
      <c r="A41" s="111" t="s">
        <v>74</v>
      </c>
      <c r="B41" s="111"/>
      <c r="C41" s="111"/>
      <c r="D41" s="111"/>
      <c r="E41" s="111"/>
      <c r="F41" s="111"/>
      <c r="G41" s="111"/>
      <c r="H41" s="111"/>
      <c r="I41" s="111"/>
      <c r="J41" s="111"/>
    </row>
    <row r="42" spans="1:10" x14ac:dyDescent="0.25">
      <c r="A42" s="111" t="s">
        <v>62</v>
      </c>
      <c r="B42" s="111"/>
      <c r="C42" s="111"/>
      <c r="D42" s="111"/>
      <c r="E42" s="111"/>
      <c r="F42" s="111"/>
      <c r="G42" s="111"/>
      <c r="H42" s="111"/>
      <c r="I42" s="111"/>
      <c r="J42" s="111"/>
    </row>
    <row r="43" spans="1:10" x14ac:dyDescent="0.25">
      <c r="A43" s="111" t="s">
        <v>63</v>
      </c>
      <c r="B43" s="111"/>
      <c r="C43" s="111"/>
      <c r="D43" s="111"/>
      <c r="E43" s="111"/>
      <c r="F43" s="111"/>
      <c r="G43" s="111"/>
      <c r="H43" s="111"/>
      <c r="I43" s="111"/>
      <c r="J43" s="111"/>
    </row>
    <row r="44" spans="1:10" x14ac:dyDescent="0.25">
      <c r="A44" s="111" t="s">
        <v>75</v>
      </c>
      <c r="B44" s="111"/>
      <c r="C44" s="111"/>
      <c r="D44" s="111"/>
      <c r="E44" s="111"/>
      <c r="F44" s="111"/>
      <c r="G44" s="111"/>
      <c r="H44" s="111"/>
      <c r="I44" s="111"/>
      <c r="J44" s="111"/>
    </row>
    <row r="45" spans="1:10" x14ac:dyDescent="0.25">
      <c r="A45" s="111" t="s">
        <v>64</v>
      </c>
      <c r="B45" s="111"/>
      <c r="C45" s="111"/>
      <c r="D45" s="111"/>
      <c r="E45" s="111"/>
      <c r="F45" s="111"/>
      <c r="G45" s="111"/>
      <c r="H45" s="111"/>
      <c r="I45" s="111"/>
      <c r="J45" s="111"/>
    </row>
    <row r="46" spans="1:10" x14ac:dyDescent="0.25">
      <c r="A46" s="111" t="s">
        <v>65</v>
      </c>
      <c r="B46" s="111"/>
      <c r="C46" s="111"/>
      <c r="D46" s="111"/>
      <c r="E46" s="111"/>
      <c r="F46" s="111"/>
      <c r="G46" s="111"/>
      <c r="H46" s="111"/>
      <c r="I46" s="111"/>
      <c r="J46" s="111"/>
    </row>
    <row r="47" spans="1:10" x14ac:dyDescent="0.25">
      <c r="A47" s="111" t="s">
        <v>66</v>
      </c>
      <c r="B47" s="111"/>
      <c r="C47" s="111"/>
      <c r="D47" s="111"/>
      <c r="E47" s="111"/>
      <c r="F47" s="111"/>
      <c r="G47" s="111"/>
      <c r="H47" s="111"/>
      <c r="I47" s="111"/>
      <c r="J47" s="111"/>
    </row>
    <row r="48" spans="1:10" x14ac:dyDescent="0.25">
      <c r="A48" s="111" t="s">
        <v>374</v>
      </c>
      <c r="B48" s="111"/>
      <c r="C48" s="111"/>
      <c r="D48" s="111"/>
      <c r="E48" s="111"/>
      <c r="F48" s="111"/>
      <c r="G48" s="111"/>
      <c r="H48" s="111"/>
      <c r="I48" s="111"/>
      <c r="J48" s="111"/>
    </row>
    <row r="49" spans="1:10" x14ac:dyDescent="0.25">
      <c r="A49" s="111" t="s">
        <v>377</v>
      </c>
      <c r="B49" s="111"/>
      <c r="C49" s="111"/>
      <c r="D49" s="111"/>
      <c r="E49" s="111"/>
      <c r="F49" s="111"/>
      <c r="G49" s="111"/>
      <c r="H49" s="111"/>
      <c r="I49" s="111"/>
      <c r="J49" s="111"/>
    </row>
    <row r="50" spans="1:10" x14ac:dyDescent="0.25">
      <c r="A50" s="111" t="s">
        <v>378</v>
      </c>
      <c r="B50" s="111"/>
      <c r="C50" s="111"/>
      <c r="D50" s="111"/>
      <c r="E50" s="111"/>
      <c r="F50" s="111"/>
      <c r="G50" s="111"/>
      <c r="H50" s="111"/>
      <c r="I50" s="111"/>
      <c r="J50" s="111"/>
    </row>
    <row r="51" spans="1:10" x14ac:dyDescent="0.25">
      <c r="A51" s="111" t="s">
        <v>376</v>
      </c>
      <c r="B51" s="111"/>
      <c r="C51" s="111"/>
      <c r="D51" s="111"/>
      <c r="E51" s="111"/>
      <c r="F51" s="111"/>
      <c r="G51" s="111"/>
      <c r="H51" s="111"/>
      <c r="I51" s="111"/>
      <c r="J51" s="111"/>
    </row>
    <row r="52" spans="1:10" x14ac:dyDescent="0.25">
      <c r="A52" s="111" t="s">
        <v>66</v>
      </c>
      <c r="B52" s="111"/>
      <c r="C52" s="111"/>
      <c r="D52" s="111"/>
      <c r="E52" s="111"/>
      <c r="F52" s="111"/>
      <c r="G52" s="111"/>
      <c r="H52" s="111"/>
      <c r="I52" s="111"/>
      <c r="J52" s="111"/>
    </row>
    <row r="53" spans="1:10" x14ac:dyDescent="0.25">
      <c r="A53" s="111" t="s">
        <v>375</v>
      </c>
      <c r="B53" s="111"/>
      <c r="C53" s="111"/>
      <c r="D53" s="111"/>
      <c r="E53" s="111"/>
      <c r="F53" s="111"/>
      <c r="G53" s="111"/>
      <c r="H53" s="111"/>
      <c r="I53" s="111"/>
      <c r="J53" s="111"/>
    </row>
    <row r="54" spans="1:10" x14ac:dyDescent="0.25">
      <c r="A54" s="111" t="s">
        <v>103</v>
      </c>
      <c r="B54" s="111"/>
      <c r="C54" s="111"/>
      <c r="D54" s="111"/>
      <c r="E54" s="111"/>
      <c r="F54" s="111"/>
      <c r="G54" s="111"/>
      <c r="H54" s="111"/>
      <c r="I54" s="111"/>
      <c r="J54" s="111"/>
    </row>
    <row r="55" spans="1:10" x14ac:dyDescent="0.25">
      <c r="A55" s="111" t="s">
        <v>71</v>
      </c>
      <c r="B55" s="111"/>
      <c r="C55" s="111"/>
      <c r="D55" s="111"/>
      <c r="E55" s="111"/>
      <c r="F55" s="111"/>
      <c r="G55" s="111"/>
      <c r="H55" s="111"/>
      <c r="I55" s="111"/>
      <c r="J55" s="111"/>
    </row>
    <row r="56" spans="1:10" x14ac:dyDescent="0.25">
      <c r="A56" s="111" t="s">
        <v>72</v>
      </c>
      <c r="B56" s="111"/>
      <c r="C56" s="111"/>
      <c r="D56" s="111"/>
      <c r="E56" s="111"/>
      <c r="F56" s="111"/>
      <c r="G56" s="111"/>
      <c r="H56" s="111"/>
      <c r="I56" s="111"/>
      <c r="J56" s="111"/>
    </row>
  </sheetData>
  <sheetProtection sheet="1" objects="1" scenarios="1"/>
  <phoneticPr fontId="41" type="noConversion"/>
  <pageMargins left="1" right="0.5" top="1" bottom="1" header="0.5" footer="0.5"/>
  <pageSetup scale="92" orientation="portrait" r:id="rId1"/>
  <headerFooter alignWithMargins="0"/>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dimension ref="A1:AK98"/>
  <sheetViews>
    <sheetView zoomScaleNormal="100" workbookViewId="0"/>
  </sheetViews>
  <sheetFormatPr defaultColWidth="9.109375" defaultRowHeight="13.2" x14ac:dyDescent="0.25"/>
  <cols>
    <col min="1" max="1" width="11.88671875" style="92" customWidth="1"/>
    <col min="2" max="3" width="9.109375" style="92"/>
    <col min="4" max="4" width="9.5546875" style="92" customWidth="1"/>
    <col min="5" max="5" width="10.6640625" style="92" customWidth="1"/>
    <col min="6" max="8" width="9.109375" style="92"/>
    <col min="9" max="9" width="12.109375" style="92" customWidth="1"/>
    <col min="10" max="11" width="0" style="1" hidden="1" customWidth="1"/>
    <col min="12" max="12" width="10.6640625" style="1" hidden="1" customWidth="1"/>
    <col min="13" max="14" width="0" style="1" hidden="1" customWidth="1"/>
    <col min="15" max="15" width="10.6640625" style="1" hidden="1" customWidth="1"/>
    <col min="16" max="18" width="0" style="1" hidden="1" customWidth="1"/>
    <col min="19" max="25" width="10.6640625" style="1" hidden="1" customWidth="1"/>
    <col min="26" max="26" width="0" style="1" hidden="1" customWidth="1"/>
    <col min="27" max="27" width="9.109375" style="1"/>
    <col min="28" max="28" width="9.109375" style="9"/>
    <col min="29" max="16384" width="9.109375" style="1"/>
  </cols>
  <sheetData>
    <row r="1" spans="1:37" ht="15.6" x14ac:dyDescent="0.3">
      <c r="A1" s="32" t="s">
        <v>67</v>
      </c>
      <c r="B1" s="33"/>
      <c r="C1" s="34"/>
      <c r="D1" s="34"/>
      <c r="E1" s="34"/>
      <c r="F1" s="34"/>
      <c r="G1" s="33"/>
      <c r="H1" s="33"/>
      <c r="I1" s="35"/>
      <c r="J1" s="2"/>
      <c r="K1" s="7" t="s">
        <v>4</v>
      </c>
      <c r="N1" s="7"/>
      <c r="AA1" s="184" t="s">
        <v>373</v>
      </c>
    </row>
    <row r="2" spans="1:37" x14ac:dyDescent="0.25">
      <c r="A2" s="36" t="s">
        <v>50</v>
      </c>
      <c r="B2" s="37"/>
      <c r="C2" s="38"/>
      <c r="D2" s="37"/>
      <c r="E2" s="37"/>
      <c r="F2" s="37"/>
      <c r="G2" s="39"/>
      <c r="H2" s="39"/>
      <c r="I2" s="40"/>
      <c r="J2" s="2"/>
      <c r="AB2" s="134" t="s">
        <v>109</v>
      </c>
      <c r="AC2" s="129"/>
    </row>
    <row r="3" spans="1:37" x14ac:dyDescent="0.25">
      <c r="A3" s="136" t="s">
        <v>161</v>
      </c>
      <c r="B3" s="41"/>
      <c r="C3" s="41"/>
      <c r="D3" s="41"/>
      <c r="E3" s="41"/>
      <c r="F3" s="41"/>
      <c r="G3" s="42"/>
      <c r="H3" s="42"/>
      <c r="I3" s="43"/>
      <c r="J3" s="2"/>
      <c r="L3" s="25" t="s">
        <v>55</v>
      </c>
      <c r="M3" s="21"/>
      <c r="N3" s="25" t="s">
        <v>84</v>
      </c>
      <c r="O3" s="6"/>
      <c r="P3" s="21"/>
      <c r="Q3" s="25" t="s">
        <v>24</v>
      </c>
      <c r="R3" s="21"/>
      <c r="S3" s="25" t="s">
        <v>25</v>
      </c>
      <c r="T3" s="22"/>
      <c r="AB3" s="130" t="s">
        <v>110</v>
      </c>
      <c r="AC3" s="130" t="s">
        <v>113</v>
      </c>
    </row>
    <row r="4" spans="1:37" x14ac:dyDescent="0.25">
      <c r="A4" s="44" t="s">
        <v>2</v>
      </c>
      <c r="B4" s="125"/>
      <c r="C4" s="121"/>
      <c r="D4" s="121"/>
      <c r="E4" s="121"/>
      <c r="F4" s="127" t="s">
        <v>108</v>
      </c>
      <c r="G4" s="126"/>
      <c r="H4" s="123"/>
      <c r="I4" s="124"/>
      <c r="J4" s="5"/>
      <c r="K4" s="13" t="s">
        <v>56</v>
      </c>
      <c r="L4" s="14" t="s">
        <v>87</v>
      </c>
      <c r="M4" s="14" t="s">
        <v>88</v>
      </c>
      <c r="N4" s="23" t="s">
        <v>95</v>
      </c>
      <c r="O4" s="23" t="s">
        <v>96</v>
      </c>
      <c r="P4" s="23" t="s">
        <v>97</v>
      </c>
      <c r="Q4" s="15" t="s">
        <v>18</v>
      </c>
      <c r="R4" s="15" t="s">
        <v>19</v>
      </c>
      <c r="S4" s="15" t="s">
        <v>20</v>
      </c>
      <c r="T4" s="15" t="s">
        <v>21</v>
      </c>
      <c r="AB4" s="27">
        <v>12</v>
      </c>
      <c r="AC4" s="133">
        <v>20</v>
      </c>
    </row>
    <row r="5" spans="1:37" x14ac:dyDescent="0.25">
      <c r="A5" s="44" t="s">
        <v>3</v>
      </c>
      <c r="B5" s="122"/>
      <c r="C5" s="123"/>
      <c r="D5" s="123"/>
      <c r="E5" s="124"/>
      <c r="F5" s="120" t="s">
        <v>107</v>
      </c>
      <c r="G5" s="178"/>
      <c r="H5" s="179" t="s">
        <v>106</v>
      </c>
      <c r="I5" s="180"/>
      <c r="J5" s="5"/>
      <c r="K5" s="9">
        <v>1</v>
      </c>
      <c r="L5" s="16">
        <f>IF($C$9&gt;=1,$C12+0.000001-$L$35,"")</f>
        <v>-3.9999991279999998</v>
      </c>
      <c r="M5" s="16">
        <f>IF($C$9&gt;=1,$B12+0.000001-$L$34,"")</f>
        <v>-5.9999991920000006</v>
      </c>
      <c r="N5" s="29">
        <f>IF($C$9&gt;=1,$L5^2,"")</f>
        <v>15.999993024000759</v>
      </c>
      <c r="O5" s="29">
        <f>IF($C$9&gt;=1,$M5^2,"")</f>
        <v>35.999990304000661</v>
      </c>
      <c r="P5" s="29">
        <f>IF($C$9&gt;=1,$L5*$M5,"")</f>
        <v>23.999991536000707</v>
      </c>
      <c r="Q5" s="17">
        <f>IF($C$9&gt;=1,$B12-$L$34,"")</f>
        <v>-6.0000001920000008</v>
      </c>
      <c r="R5" s="17">
        <f>IF($C$9&gt;=1,$C12-$L$35,"")</f>
        <v>-4.0000001279999999</v>
      </c>
      <c r="S5" s="18">
        <f>IF($C$9&gt;=1,(-$P$43/$C$9+($P$47*$L$36--$P$46*$L$39)/($L$36*$L$37-$L$39^2)*$Q5+(-$P$46*$L$37-$P$47*$L$39)/($L$36*$L$37-$L$39^2)*$R5),"")</f>
        <v>120.83333440277765</v>
      </c>
      <c r="T5" s="18">
        <f>IF($C$9&gt;=1,((($P$44/$C$9+$P$48*-$R5/$L$38)^2+($P$45/$C$9+$P$48*$Q5/$L$38)^2)^(1/2)),"")</f>
        <v>6.0092521257733154</v>
      </c>
      <c r="AE5" s="139" t="s">
        <v>169</v>
      </c>
      <c r="AF5" s="137"/>
      <c r="AG5" s="137"/>
      <c r="AH5" s="137"/>
      <c r="AI5" s="138"/>
    </row>
    <row r="6" spans="1:37" x14ac:dyDescent="0.25">
      <c r="A6" s="45"/>
      <c r="B6" s="93"/>
      <c r="C6" s="93"/>
      <c r="D6" s="93"/>
      <c r="E6" s="93"/>
      <c r="F6" s="93"/>
      <c r="G6" s="190"/>
      <c r="H6" s="185"/>
      <c r="I6" s="188"/>
      <c r="J6" s="2"/>
      <c r="K6" s="9">
        <v>2</v>
      </c>
      <c r="L6" s="16">
        <f>IF($C$9&gt;=2,$C13-$L$35,"")</f>
        <v>-4.0000001279999999</v>
      </c>
      <c r="M6" s="16">
        <f>IF($C$9&gt;=2,$B13-$L$34,"")</f>
        <v>0</v>
      </c>
      <c r="N6" s="29">
        <f>IF($C$9&gt;=2,$L6^2,"")</f>
        <v>16.000001024000017</v>
      </c>
      <c r="O6" s="29">
        <f>IF($C$9&gt;=2,$M6^2,"")</f>
        <v>0</v>
      </c>
      <c r="P6" s="29">
        <f>IF($C$9&gt;=2,$L6*$M6,"")</f>
        <v>0</v>
      </c>
      <c r="Q6" s="17">
        <f>IF($C$9&gt;=2,$B13-$L$34,"")</f>
        <v>0</v>
      </c>
      <c r="R6" s="17">
        <f>IF($C$9&gt;=2,$C13-$L$35,"")</f>
        <v>-4.0000001279999999</v>
      </c>
      <c r="S6" s="18">
        <f>IF($C$9&gt;=2,(-$P$43/$C$9+($P$47*$L$36--$P$46*$L$39)/($L$36*$L$37-$L$39^2)*$Q6+(-$P$46*$L$37-$P$47*$L$39)/($L$36*$L$37-$L$39^2)*$R6),"")</f>
        <v>110.4166672013888</v>
      </c>
      <c r="T6" s="18">
        <f>IF($C$9&gt;=2,((($P$44/$C$9+$P$48*-$R6/$L$38)^2+($P$45/$C$9+$P$48*$Q6/$L$38)^2)^(1/2)),"")</f>
        <v>6.0092521257733154</v>
      </c>
      <c r="AE6" s="137" t="s">
        <v>167</v>
      </c>
      <c r="AF6" s="137"/>
      <c r="AG6" s="137"/>
      <c r="AH6" s="137"/>
      <c r="AI6" s="138"/>
    </row>
    <row r="7" spans="1:37" x14ac:dyDescent="0.25">
      <c r="A7" s="47" t="s">
        <v>1</v>
      </c>
      <c r="B7" s="93"/>
      <c r="C7" s="94"/>
      <c r="D7" s="93"/>
      <c r="E7" s="93"/>
      <c r="F7" s="93"/>
      <c r="G7" s="93"/>
      <c r="H7" s="185"/>
      <c r="I7" s="189"/>
      <c r="J7" s="2"/>
      <c r="K7" s="9">
        <v>3</v>
      </c>
      <c r="L7" s="16">
        <f>IF($C$9&gt;=3,$C14-$L$35,"")</f>
        <v>-4.0000001279999999</v>
      </c>
      <c r="M7" s="16">
        <f>IF($C$9&gt;=3,$B14-$L$34,"")</f>
        <v>6.0000001920000008</v>
      </c>
      <c r="N7" s="29">
        <f>IF($C$9&gt;=3,$L7^2,"")</f>
        <v>16.000001024000017</v>
      </c>
      <c r="O7" s="29">
        <f>IF($C$9&gt;=3,$M7^2,"")</f>
        <v>36.000002304000049</v>
      </c>
      <c r="P7" s="29">
        <f>IF($C$9&gt;=3,$L7*$M7,"")</f>
        <v>-24.000001536000028</v>
      </c>
      <c r="Q7" s="17">
        <f>IF($C$9&gt;=3,$B14-$L$34,"")</f>
        <v>6.0000001920000008</v>
      </c>
      <c r="R7" s="17">
        <f>IF($C$9&gt;=3,$C14-$L$35,"")</f>
        <v>-4.0000001279999999</v>
      </c>
      <c r="S7" s="18">
        <f>IF($C$9&gt;=3,(-$P$43/$C$9+($P$47*$L$36--$P$46*$L$39)/($L$36*$L$37-$L$39^2)*$Q7+(-$P$46*$L$37-$P$47*$L$39)/($L$36*$L$37-$L$39^2)*$R7),"")</f>
        <v>99.999999999999957</v>
      </c>
      <c r="T7" s="18">
        <f>IF($C$9&gt;=3,((($P$44/$C$9+$P$48*-$R7/$L$38)^2+($P$45/$C$9+$P$48*$Q7/$L$38)^2)^(1/2)),"")</f>
        <v>6.0092521257733154</v>
      </c>
      <c r="AE7" s="137" t="s">
        <v>172</v>
      </c>
      <c r="AF7" s="137"/>
      <c r="AG7" s="137"/>
      <c r="AH7" s="137"/>
      <c r="AI7" s="138"/>
    </row>
    <row r="8" spans="1:37" x14ac:dyDescent="0.25">
      <c r="A8" s="48"/>
      <c r="B8" s="128"/>
      <c r="C8" s="93"/>
      <c r="D8" s="93"/>
      <c r="E8" s="49" t="s">
        <v>41</v>
      </c>
      <c r="F8" s="108"/>
      <c r="G8" s="132"/>
      <c r="H8" s="77"/>
      <c r="I8" s="183"/>
      <c r="J8" s="2"/>
      <c r="K8" s="9">
        <v>4</v>
      </c>
      <c r="L8" s="16">
        <f>IF($C$9&gt;=4,$C15-$L$35,"")</f>
        <v>4.0000001279999999</v>
      </c>
      <c r="M8" s="16">
        <f>IF($C$9&gt;=4,$B15-$L$34,"")</f>
        <v>-6.0000001920000008</v>
      </c>
      <c r="N8" s="29">
        <f>IF($C$9&gt;=4,$L8^2,"")</f>
        <v>16.000001024000017</v>
      </c>
      <c r="O8" s="29">
        <f>IF($C$9&gt;=4,$M8^2,"")</f>
        <v>36.000002304000049</v>
      </c>
      <c r="P8" s="29">
        <f>IF($C$9&gt;=4,$L8*$M8,"")</f>
        <v>-24.000001536000028</v>
      </c>
      <c r="Q8" s="17">
        <f>IF($C$9&gt;=4,$B15-$L$34,"")</f>
        <v>-6.0000001920000008</v>
      </c>
      <c r="R8" s="17">
        <f>IF($C$9&gt;=4,$C15-$L$35,"")</f>
        <v>4.0000001279999999</v>
      </c>
      <c r="S8" s="18">
        <f>IF($C$9&gt;=4,(-$P$43/$C$9+($P$47*$L$36--$P$46*$L$39)/($L$36*$L$37-$L$39^2)*$Q8+(-$P$46*$L$37-$P$47*$L$39)/($L$36*$L$37-$L$39^2)*$R8),"")</f>
        <v>100.00000000000004</v>
      </c>
      <c r="T8" s="18">
        <f>IF($C$9&gt;=4,((($P$44/$C$9+$P$48*-$R8/$L$38)^2+($P$45/$C$9+$P$48*$Q8/$L$38)^2)^(1/2)),"")</f>
        <v>6.0092521257733154</v>
      </c>
      <c r="AE8" s="137" t="s">
        <v>168</v>
      </c>
      <c r="AF8" s="137"/>
      <c r="AG8" s="137"/>
      <c r="AH8" s="137"/>
      <c r="AI8" s="138"/>
    </row>
    <row r="9" spans="1:37" x14ac:dyDescent="0.25">
      <c r="A9" s="48"/>
      <c r="B9" s="50" t="s">
        <v>57</v>
      </c>
      <c r="C9" s="27">
        <v>6</v>
      </c>
      <c r="D9" s="51"/>
      <c r="E9" s="52"/>
      <c r="F9" s="53"/>
      <c r="G9" s="54"/>
      <c r="H9" s="54"/>
      <c r="I9" s="60" t="s">
        <v>0</v>
      </c>
      <c r="J9" s="2"/>
      <c r="K9" s="9">
        <v>5</v>
      </c>
      <c r="L9" s="16">
        <f>IF($C$9&gt;=5,$C16-$L$35,"")</f>
        <v>4.0000001279999999</v>
      </c>
      <c r="M9" s="16">
        <f>IF($C$9&gt;=5,$B16-$L$34,"")</f>
        <v>0</v>
      </c>
      <c r="N9" s="29">
        <f>IF($C$9&gt;=5,$L9^2,"")</f>
        <v>16.000001024000017</v>
      </c>
      <c r="O9" s="29">
        <f>IF($C$9&gt;=5,$M9^2,"")</f>
        <v>0</v>
      </c>
      <c r="P9" s="29">
        <f>IF($C$9&gt;=5,$L9*$M9,"")</f>
        <v>0</v>
      </c>
      <c r="Q9" s="17">
        <f>IF($C$9&gt;=5,$B16-$L$34,"")</f>
        <v>0</v>
      </c>
      <c r="R9" s="17">
        <f>IF($C$9&gt;=5,$C16-$L$35,"")</f>
        <v>4.0000001279999999</v>
      </c>
      <c r="S9" s="18">
        <f>IF($C$9&gt;=5,(-$P$43/$C$9+($P$47*$L$36--$P$46*$L$39)/($L$36*$L$37-$L$39^2)*$Q9+(-$P$46*$L$37-$P$47*$L$39)/($L$36*$L$37-$L$39^2)*$R9),"")</f>
        <v>89.583332798611195</v>
      </c>
      <c r="T9" s="18">
        <f>IF($C$9&gt;=5,((($P$44/$C$9+$P$48*-$R9/$L$38)^2+($P$45/$C$9+$P$48*$Q9/$L$38)^2)^(1/2)),"")</f>
        <v>6.0092521257733154</v>
      </c>
    </row>
    <row r="10" spans="1:37" x14ac:dyDescent="0.25">
      <c r="A10" s="48"/>
      <c r="B10" s="56" t="s">
        <v>53</v>
      </c>
      <c r="C10" s="57"/>
      <c r="D10" s="54"/>
      <c r="E10" s="58" t="s">
        <v>142</v>
      </c>
      <c r="F10" s="59"/>
      <c r="G10" s="54"/>
      <c r="H10" s="54"/>
      <c r="I10" s="60"/>
      <c r="K10" s="9">
        <v>6</v>
      </c>
      <c r="L10" s="16">
        <f>IF($C$9&gt;=6,$C17-$L$35,"")</f>
        <v>4.0000001279999999</v>
      </c>
      <c r="M10" s="16">
        <f>IF($C$9&gt;=6,$B17-$L$34,"")</f>
        <v>6.0000001920000008</v>
      </c>
      <c r="N10" s="29">
        <f>IF($C$9&gt;=6,$L10^2,"")</f>
        <v>16.000001024000017</v>
      </c>
      <c r="O10" s="29">
        <f>IF($C$9&gt;=6,$M10^2,"")</f>
        <v>36.000002304000049</v>
      </c>
      <c r="P10" s="29">
        <f>IF($C$9&gt;=6,$L10*$M10,"")</f>
        <v>24.000001536000028</v>
      </c>
      <c r="Q10" s="17">
        <f>IF($C$9&gt;=6,$B17-$L$34,"")</f>
        <v>6.0000001920000008</v>
      </c>
      <c r="R10" s="17">
        <f>IF($C$9&gt;=6,$C17-$L$35,"")</f>
        <v>4.0000001279999999</v>
      </c>
      <c r="S10" s="18">
        <f>IF($C$9&gt;=6,(-$P$43/$C$9+($P$47*$L$36--$P$46*$L$39)/($L$36*$L$37-$L$39^2)*$Q10+(-$P$46*$L$37-$P$47*$L$39)/($L$36*$L$37-$L$39^2)*$R10),"")</f>
        <v>79.166665597222348</v>
      </c>
      <c r="T10" s="18">
        <f>IF($C$9&gt;=6,((($P$44/$C$9+$P$48*-$R10/$L$38)^2+($P$45/$C$9+$P$48*$Q10/$L$38)^2)^(1/2)),"")</f>
        <v>6.0092521257733154</v>
      </c>
      <c r="AD10" s="239" t="s">
        <v>163</v>
      </c>
      <c r="AE10" s="22"/>
      <c r="AF10" s="22"/>
      <c r="AG10" s="22"/>
      <c r="AH10" s="8"/>
      <c r="AI10" s="8"/>
      <c r="AJ10" s="8"/>
      <c r="AK10" s="8"/>
    </row>
    <row r="11" spans="1:37" x14ac:dyDescent="0.25">
      <c r="A11" s="48"/>
      <c r="B11" s="77" t="s">
        <v>140</v>
      </c>
      <c r="C11" s="77" t="s">
        <v>141</v>
      </c>
      <c r="D11" s="54"/>
      <c r="E11" s="140" t="s">
        <v>20</v>
      </c>
      <c r="F11" s="140" t="s">
        <v>21</v>
      </c>
      <c r="I11" s="60"/>
      <c r="K11" s="9">
        <v>7</v>
      </c>
      <c r="L11" s="16" t="str">
        <f>IF($C$9&gt;=7,$C18-$L$35,"")</f>
        <v/>
      </c>
      <c r="M11" s="16" t="str">
        <f>IF($C$9&gt;=7,$B18-$L$34,"")</f>
        <v/>
      </c>
      <c r="N11" s="29" t="str">
        <f>IF($C$9&gt;=7,$L11^2,"")</f>
        <v/>
      </c>
      <c r="O11" s="29" t="str">
        <f>IF($C$9&gt;=7,$M11^2,"")</f>
        <v/>
      </c>
      <c r="P11" s="29" t="str">
        <f>IF($C$9&gt;=7,$L11*$M11,"")</f>
        <v/>
      </c>
      <c r="Q11" s="17" t="str">
        <f>IF($C$9&gt;=7,$B18-$L$34,"")</f>
        <v/>
      </c>
      <c r="R11" s="17" t="str">
        <f>IF($C$9&gt;=7,$C18-$L$35,"")</f>
        <v/>
      </c>
      <c r="S11" s="18" t="str">
        <f>IF($C$9&gt;=7,(-$P$43/$C$9+($P$47*$L$36--$P$46*$L$39)/($L$36*$L$37-$L$39^2)*$Q11+(-$P$46*$L$37-$P$47*$L$39)/($L$36*$L$37-$L$39^2)*$R11),"")</f>
        <v/>
      </c>
      <c r="T11" s="18" t="str">
        <f>IF($C$9&gt;=7,((($P$44/$C$9+$P$48*-$R11/$L$38)^2+($P$45/$C$9+$P$48*$Q11/$L$38)^2)^(1/2)),"")</f>
        <v/>
      </c>
      <c r="AD11" s="194"/>
      <c r="AE11" s="196" t="s">
        <v>207</v>
      </c>
      <c r="AF11" s="196" t="s">
        <v>208</v>
      </c>
      <c r="AG11" s="8"/>
      <c r="AH11" s="8"/>
      <c r="AI11" s="8"/>
      <c r="AJ11" s="8"/>
      <c r="AK11" s="8"/>
    </row>
    <row r="12" spans="1:37" x14ac:dyDescent="0.25">
      <c r="A12" s="260" t="str">
        <f>IF($C$9&gt;=1,"#1:","")</f>
        <v>#1:</v>
      </c>
      <c r="B12" s="141">
        <v>0</v>
      </c>
      <c r="C12" s="142">
        <v>0</v>
      </c>
      <c r="D12" s="261" t="str">
        <f>IF($C$9&gt;=1,"#1:","")</f>
        <v>#1:</v>
      </c>
      <c r="E12" s="143">
        <f t="shared" ref="E12:E36" si="0">$S5</f>
        <v>120.83333440277765</v>
      </c>
      <c r="F12" s="144">
        <f t="shared" ref="F12:F36" si="1">$T5</f>
        <v>6.0092521257733154</v>
      </c>
      <c r="I12" s="60"/>
      <c r="K12" s="9">
        <v>8</v>
      </c>
      <c r="L12" s="16" t="str">
        <f>IF($C$9&gt;=8,$C19-$L$35,"")</f>
        <v/>
      </c>
      <c r="M12" s="16" t="str">
        <f>IF($C$9&gt;=8,$B19-$L$34,"")</f>
        <v/>
      </c>
      <c r="N12" s="29" t="str">
        <f>IF($C$9&gt;=8,$L12^2,"")</f>
        <v/>
      </c>
      <c r="O12" s="29" t="str">
        <f>IF($C$9&gt;=8,$M12^2,"")</f>
        <v/>
      </c>
      <c r="P12" s="29" t="str">
        <f>IF($C$9&gt;=8,$L12*$M12,"")</f>
        <v/>
      </c>
      <c r="Q12" s="17" t="str">
        <f>IF($C$9&gt;=8,$B19-$L$34,"")</f>
        <v/>
      </c>
      <c r="R12" s="17" t="str">
        <f>IF($C$9&gt;=8,$C19-$L$35,"")</f>
        <v/>
      </c>
      <c r="S12" s="18" t="str">
        <f>IF($C$9&gt;=8,(-$P$43/$C$9+($P$47*$L$36--$P$46*$L$39)/($L$36*$L$37-$L$39^2)*$Q12+(-$P$46*$L$37-$P$47*$L$39)/($L$36*$L$37-$L$39^2)*$R12),"")</f>
        <v/>
      </c>
      <c r="T12" s="18" t="str">
        <f>IF($C$9&gt;=8,((($P$44/$C$9+$P$48*-$R12/$L$38)^2+($P$45/$C$9+$P$48*$Q12/$L$38)^2)^(1/2)),"")</f>
        <v/>
      </c>
      <c r="AD12" s="262" t="str">
        <f>IF($C$9&gt;=1,"#1:","")</f>
        <v>#1:</v>
      </c>
      <c r="AE12" s="216">
        <f>IF($C$9&gt;=1,$B12*0.3048,"")</f>
        <v>0</v>
      </c>
      <c r="AF12" s="228">
        <f>IF($C$9&gt;=1,$C12*0.3048,"")</f>
        <v>0</v>
      </c>
      <c r="AG12" s="8"/>
      <c r="AH12" s="8"/>
      <c r="AI12" s="8"/>
      <c r="AJ12" s="8"/>
      <c r="AK12" s="8"/>
    </row>
    <row r="13" spans="1:37" x14ac:dyDescent="0.25">
      <c r="A13" s="260" t="str">
        <f>IF($C$9&gt;=2,"#2:","")</f>
        <v>#2:</v>
      </c>
      <c r="B13" s="145">
        <v>6.0000001920000008</v>
      </c>
      <c r="C13" s="146">
        <v>0</v>
      </c>
      <c r="D13" s="261" t="str">
        <f>IF($C$9&gt;=2,"#2:","")</f>
        <v>#2:</v>
      </c>
      <c r="E13" s="147">
        <f t="shared" si="0"/>
        <v>110.4166672013888</v>
      </c>
      <c r="F13" s="148">
        <f t="shared" si="1"/>
        <v>6.0092521257733154</v>
      </c>
      <c r="I13" s="60"/>
      <c r="K13" s="9">
        <v>9</v>
      </c>
      <c r="L13" s="16" t="str">
        <f>IF($C$9&gt;=9,$C20-$L$35,"")</f>
        <v/>
      </c>
      <c r="M13" s="16" t="str">
        <f>IF($C$9&gt;=9,$B20-$L$34,"")</f>
        <v/>
      </c>
      <c r="N13" s="29" t="str">
        <f>IF($C$9&gt;=9,$L13^2,"")</f>
        <v/>
      </c>
      <c r="O13" s="29" t="str">
        <f>IF($C$9&gt;=9,$M13^2,"")</f>
        <v/>
      </c>
      <c r="P13" s="29" t="str">
        <f>IF($C$9&gt;=9,$L13*$M13,"")</f>
        <v/>
      </c>
      <c r="Q13" s="17" t="str">
        <f>IF($C$9&gt;=9,$B20-$L$34,"")</f>
        <v/>
      </c>
      <c r="R13" s="17" t="str">
        <f>IF($C$9&gt;=9,$C20-$L$35,"")</f>
        <v/>
      </c>
      <c r="S13" s="18" t="str">
        <f>IF($C$9&gt;=9,(-$P$43/$C$9+($P$47*$L$36--$P$46*$L$39)/($L$36*$L$37-$L$39^2)*$Q13+(-$P$46*$L$37-$P$47*$L$39)/($L$36*$L$37-$L$39^2)*$R13),"")</f>
        <v/>
      </c>
      <c r="T13" s="18" t="str">
        <f>IF($C$9&gt;=9,((($P$44/$C$9+$P$48*-$R13/$L$38)^2+($P$45/$C$9+$P$48*$Q13/$L$38)^2)^(1/2)),"")</f>
        <v/>
      </c>
      <c r="AD13" s="262" t="str">
        <f>IF($C$9&gt;=2,"#2:","")</f>
        <v>#2:</v>
      </c>
      <c r="AE13" s="217">
        <f>IF($C$9&gt;=2,$B13*0.3048,"")</f>
        <v>1.8288000585216004</v>
      </c>
      <c r="AF13" s="229">
        <f>IF($C$9&gt;=2,$C13*0.3048,"")</f>
        <v>0</v>
      </c>
      <c r="AG13" s="8"/>
      <c r="AH13" s="8"/>
      <c r="AI13" s="8"/>
      <c r="AJ13" s="8"/>
      <c r="AK13" s="8"/>
    </row>
    <row r="14" spans="1:37" x14ac:dyDescent="0.25">
      <c r="A14" s="260" t="str">
        <f>IF($C$9&gt;=3,"#3:","")</f>
        <v>#3:</v>
      </c>
      <c r="B14" s="145">
        <v>12.000000384000002</v>
      </c>
      <c r="C14" s="146">
        <v>0</v>
      </c>
      <c r="D14" s="261" t="str">
        <f>IF($C$9&gt;=3,"#3:","")</f>
        <v>#3:</v>
      </c>
      <c r="E14" s="147">
        <f t="shared" si="0"/>
        <v>99.999999999999957</v>
      </c>
      <c r="F14" s="148">
        <f t="shared" si="1"/>
        <v>6.0092521257733154</v>
      </c>
      <c r="I14" s="60"/>
      <c r="K14" s="9">
        <v>10</v>
      </c>
      <c r="L14" s="16" t="str">
        <f>IF($C$9&gt;=10,$C21-$L$35,"")</f>
        <v/>
      </c>
      <c r="M14" s="16" t="str">
        <f>IF($C$9&gt;=10,$B21-$L$34,"")</f>
        <v/>
      </c>
      <c r="N14" s="29" t="str">
        <f>IF($C$9&gt;=10,$L14^2,"")</f>
        <v/>
      </c>
      <c r="O14" s="29" t="str">
        <f>IF($C$9&gt;=10,$M14^2,"")</f>
        <v/>
      </c>
      <c r="P14" s="29" t="str">
        <f>IF($C$9&gt;=10,$L14*$M14,"")</f>
        <v/>
      </c>
      <c r="Q14" s="17" t="str">
        <f>IF($C$9&gt;=10,$B21-$L$34,"")</f>
        <v/>
      </c>
      <c r="R14" s="17" t="str">
        <f>IF($C$9&gt;=10,$C21-$L$35,"")</f>
        <v/>
      </c>
      <c r="S14" s="18" t="str">
        <f>IF($C$9&gt;=10,(-$P$43/$C$9+($P$47*$L$36--$P$46*$L$39)/($L$36*$L$37-$L$39^2)*$Q14+(-$P$46*$L$37-$P$47*$L$39)/($L$36*$L$37-$L$39^2)*$R14),"")</f>
        <v/>
      </c>
      <c r="T14" s="18" t="str">
        <f>IF($C$9&gt;=10,((($P$44/$C$9+$P$48*-$R14/$L$38)^2+($P$45/$C$9+$P$48*$Q14/$L$38)^2)^(1/2)),"")</f>
        <v/>
      </c>
      <c r="AD14" s="262" t="str">
        <f>IF($C$9&gt;=3,"#3:","")</f>
        <v>#3:</v>
      </c>
      <c r="AE14" s="217">
        <f>IF($C$9&gt;=3,$B14*0.3048,"")</f>
        <v>3.6576001170432009</v>
      </c>
      <c r="AF14" s="229">
        <f>IF($C$9&gt;=3,$C14*0.3048,"")</f>
        <v>0</v>
      </c>
      <c r="AG14" s="8"/>
      <c r="AH14" s="8"/>
      <c r="AI14" s="8"/>
      <c r="AJ14" s="8"/>
      <c r="AK14" s="8"/>
    </row>
    <row r="15" spans="1:37" x14ac:dyDescent="0.25">
      <c r="A15" s="260" t="str">
        <f>IF($C$9&gt;=4,"#4:","")</f>
        <v>#4:</v>
      </c>
      <c r="B15" s="145">
        <v>0</v>
      </c>
      <c r="C15" s="146">
        <v>8.0000002559999999</v>
      </c>
      <c r="D15" s="261" t="str">
        <f>IF($C$9&gt;=4,"#4:","")</f>
        <v>#4:</v>
      </c>
      <c r="E15" s="147">
        <f t="shared" si="0"/>
        <v>100.00000000000004</v>
      </c>
      <c r="F15" s="148">
        <f t="shared" si="1"/>
        <v>6.0092521257733154</v>
      </c>
      <c r="I15" s="60"/>
      <c r="K15" s="9">
        <v>11</v>
      </c>
      <c r="L15" s="16" t="str">
        <f>IF($C$9&gt;=11,$C22-$L$35,"")</f>
        <v/>
      </c>
      <c r="M15" s="16" t="str">
        <f>IF($C$9&gt;=11,$B22-$L$34,"")</f>
        <v/>
      </c>
      <c r="N15" s="29" t="str">
        <f>IF($C$9&gt;=11,$L15^2,"")</f>
        <v/>
      </c>
      <c r="O15" s="29" t="str">
        <f>IF($C$9&gt;=11,$M15^2,"")</f>
        <v/>
      </c>
      <c r="P15" s="29" t="str">
        <f>IF($C$9&gt;=11,$L15*$M15,"")</f>
        <v/>
      </c>
      <c r="Q15" s="17" t="str">
        <f>IF($C$9&gt;=11,$B22-$L$34,"")</f>
        <v/>
      </c>
      <c r="R15" s="17" t="str">
        <f>IF($C$9&gt;=11,$C22-$L$35,"")</f>
        <v/>
      </c>
      <c r="S15" s="18" t="str">
        <f>IF($C$9&gt;=11,(-$P$43/$C$9+($P$47*$L$36--$P$46*$L$39)/($L$36*$L$37-$L$39^2)*$Q15+(-$P$46*$L$37-$P$47*$L$39)/($L$36*$L$37-$L$39^2)*$R15),"")</f>
        <v/>
      </c>
      <c r="T15" s="18" t="str">
        <f>IF($C$9&gt;=11,((($P$44/$C$9+$P$48*-$R15/$L$38)^2+($P$45/$C$9+$P$48*$Q15/$L$38)^2)^(1/2)),"")</f>
        <v/>
      </c>
      <c r="AD15" s="262" t="str">
        <f>IF($C$9&gt;=4,"#4:","")</f>
        <v>#4:</v>
      </c>
      <c r="AE15" s="217">
        <f>IF($C$9&gt;=4,$B15*0.3048,"")</f>
        <v>0</v>
      </c>
      <c r="AF15" s="229">
        <f>IF($C$9&gt;=4,$C15*0.3048,"")</f>
        <v>2.4384000780288</v>
      </c>
      <c r="AG15" s="8"/>
      <c r="AH15" s="8"/>
      <c r="AI15" s="8"/>
      <c r="AJ15" s="8"/>
      <c r="AK15" s="8"/>
    </row>
    <row r="16" spans="1:37" x14ac:dyDescent="0.25">
      <c r="A16" s="260" t="str">
        <f>IF($C$9&gt;=5,"#5:","")</f>
        <v>#5:</v>
      </c>
      <c r="B16" s="145">
        <v>6.0000001920000008</v>
      </c>
      <c r="C16" s="146">
        <v>8.0000002559999999</v>
      </c>
      <c r="D16" s="261" t="str">
        <f>IF($C$9&gt;=5,"#5:","")</f>
        <v>#5:</v>
      </c>
      <c r="E16" s="147">
        <f t="shared" si="0"/>
        <v>89.583332798611195</v>
      </c>
      <c r="F16" s="148">
        <f t="shared" si="1"/>
        <v>6.0092521257733154</v>
      </c>
      <c r="I16" s="60"/>
      <c r="K16" s="9">
        <v>12</v>
      </c>
      <c r="L16" s="16" t="str">
        <f>IF($C$9&gt;=12,$C23-$L$35,"")</f>
        <v/>
      </c>
      <c r="M16" s="16" t="str">
        <f>IF($C$9&gt;=12,$B23-$L$34,"")</f>
        <v/>
      </c>
      <c r="N16" s="29" t="str">
        <f>IF($C$9&gt;=12,$L16^2,"")</f>
        <v/>
      </c>
      <c r="O16" s="29" t="str">
        <f>IF($C$9&gt;=12,$M16^2,"")</f>
        <v/>
      </c>
      <c r="P16" s="29" t="str">
        <f>IF($C$9&gt;=12,$L16*$M16,"")</f>
        <v/>
      </c>
      <c r="Q16" s="17" t="str">
        <f>IF($C$9&gt;=12,$B23-$L$34,"")</f>
        <v/>
      </c>
      <c r="R16" s="17" t="str">
        <f>IF($C$9&gt;=12,$C23-$L$35,"")</f>
        <v/>
      </c>
      <c r="S16" s="18" t="str">
        <f>IF($C$9&gt;=12,(-$P$43/$C$9+($P$47*$L$36--$P$46*$L$39)/($L$36*$L$37-$L$39^2)*$Q16+(-$P$46*$L$37-$P$47*$L$39)/($L$36*$L$37-$L$39^2)*$R16),"")</f>
        <v/>
      </c>
      <c r="T16" s="18" t="str">
        <f>IF($C$9&gt;=12,((($P$44/$C$9+$P$48*-$R16/$L$38)^2+($P$45/$C$9+$P$48*$Q16/$L$38)^2)^(1/2)),"")</f>
        <v/>
      </c>
      <c r="AD16" s="262" t="str">
        <f>IF($C$9&gt;=5,"#5:","")</f>
        <v>#5:</v>
      </c>
      <c r="AE16" s="217">
        <f>IF($C$9&gt;=5,$B16*0.3048,"")</f>
        <v>1.8288000585216004</v>
      </c>
      <c r="AF16" s="229">
        <f>IF($C$9&gt;=5,$C16*0.3048,"")</f>
        <v>2.4384000780288</v>
      </c>
      <c r="AG16" s="8"/>
      <c r="AH16" s="8"/>
      <c r="AI16" s="8"/>
      <c r="AJ16" s="8"/>
      <c r="AK16" s="8"/>
    </row>
    <row r="17" spans="1:37" x14ac:dyDescent="0.25">
      <c r="A17" s="260" t="str">
        <f>IF($C$9&gt;=6,"#6:","")</f>
        <v>#6:</v>
      </c>
      <c r="B17" s="145">
        <v>12.000000384000002</v>
      </c>
      <c r="C17" s="146">
        <v>8.0000002559999999</v>
      </c>
      <c r="D17" s="261" t="str">
        <f>IF($C$9&gt;=6,"#6:","")</f>
        <v>#6:</v>
      </c>
      <c r="E17" s="147">
        <f t="shared" si="0"/>
        <v>79.166665597222348</v>
      </c>
      <c r="F17" s="148">
        <f t="shared" si="1"/>
        <v>6.0092521257733154</v>
      </c>
      <c r="I17" s="60"/>
      <c r="K17" s="9">
        <v>13</v>
      </c>
      <c r="L17" s="16" t="str">
        <f>IF($C$9&gt;=13,$C24-$L$35,"")</f>
        <v/>
      </c>
      <c r="M17" s="16" t="str">
        <f>IF($C$9&gt;=13,$B24-$L$34,"")</f>
        <v/>
      </c>
      <c r="N17" s="29" t="str">
        <f>IF($C$9&gt;=13,$L17^2,"")</f>
        <v/>
      </c>
      <c r="O17" s="29" t="str">
        <f>IF($C$9&gt;=13,$M17^2,"")</f>
        <v/>
      </c>
      <c r="P17" s="29" t="str">
        <f>IF($C$9&gt;=13,$L17*$M17,"")</f>
        <v/>
      </c>
      <c r="Q17" s="17" t="str">
        <f>IF($C$9&gt;=13,$B24-$L$34,"")</f>
        <v/>
      </c>
      <c r="R17" s="17" t="str">
        <f>IF($C$9&gt;=13,$C24-$L$35,"")</f>
        <v/>
      </c>
      <c r="S17" s="18" t="str">
        <f>IF($C$9&gt;=13,(-$P$43/$C$9+($P$47*$L$36--$P$46*$L$39)/($L$36*$L$37-$L$39^2)*$Q17+(-$P$46*$L$37-$P$47*$L$39)/($L$36*$L$37-$L$39^2)*$R17),"")</f>
        <v/>
      </c>
      <c r="T17" s="18" t="str">
        <f>IF($C$9&gt;=13,((($P$44/$C$9+$P$48*-$R17/$L$38)^2+($P$45/$C$9+$P$48*$Q17/$L$38)^2)^(1/2)),"")</f>
        <v/>
      </c>
      <c r="AD17" s="262" t="str">
        <f>IF($C$9&gt;=6,"#6:","")</f>
        <v>#6:</v>
      </c>
      <c r="AE17" s="217">
        <f>IF($C$9&gt;=6,$B17*0.3048,"")</f>
        <v>3.6576001170432009</v>
      </c>
      <c r="AF17" s="229">
        <f>IF($C$9&gt;=6,$C17*0.3048,"")</f>
        <v>2.4384000780288</v>
      </c>
      <c r="AG17" s="8"/>
      <c r="AH17" s="8"/>
      <c r="AI17" s="8"/>
      <c r="AJ17" s="8"/>
      <c r="AK17" s="8"/>
    </row>
    <row r="18" spans="1:37" x14ac:dyDescent="0.25">
      <c r="A18" s="260" t="str">
        <f>IF($C$9&gt;=7,"#7:","")</f>
        <v/>
      </c>
      <c r="B18" s="145"/>
      <c r="C18" s="146"/>
      <c r="D18" s="261" t="str">
        <f>IF($C$9&gt;=7,"#7:","")</f>
        <v/>
      </c>
      <c r="E18" s="147" t="str">
        <f t="shared" si="0"/>
        <v/>
      </c>
      <c r="F18" s="148" t="str">
        <f t="shared" si="1"/>
        <v/>
      </c>
      <c r="I18" s="60"/>
      <c r="K18" s="9">
        <v>14</v>
      </c>
      <c r="L18" s="16" t="str">
        <f>IF($C$9&gt;=14,$C25-$L$35,"")</f>
        <v/>
      </c>
      <c r="M18" s="16" t="str">
        <f>IF($C$9&gt;=14,$B25-$L$34,"")</f>
        <v/>
      </c>
      <c r="N18" s="29" t="str">
        <f>IF($C$9&gt;=14,$L18^2,"")</f>
        <v/>
      </c>
      <c r="O18" s="29" t="str">
        <f>IF($C$9&gt;=14,$M18^2,"")</f>
        <v/>
      </c>
      <c r="P18" s="29" t="str">
        <f>IF($C$9&gt;=14,$L18*$M18,"")</f>
        <v/>
      </c>
      <c r="Q18" s="17" t="str">
        <f>IF($C$9&gt;=14,$B25-$L$34,"")</f>
        <v/>
      </c>
      <c r="R18" s="17" t="str">
        <f>IF($C$9&gt;=14,$C25-$L$35,"")</f>
        <v/>
      </c>
      <c r="S18" s="18" t="str">
        <f>IF($C$9&gt;=14,(-$P$43/$C$9+($P$47*$L$36--$P$46*$L$39)/($L$36*$L$37-$L$39^2)*$Q18+(-$P$46*$L$37-$P$47*$L$39)/($L$36*$L$37-$L$39^2)*$R18),"")</f>
        <v/>
      </c>
      <c r="T18" s="18" t="str">
        <f>IF($C$9&gt;=14,((($P$44/$C$9+$P$48*-$R18/$L$38)^2+($P$45/$C$9+$P$48*$Q18/$L$38)^2)^(1/2)),"")</f>
        <v/>
      </c>
      <c r="AD18" s="262" t="str">
        <f>IF($C$9&gt;=7,"#7:","")</f>
        <v/>
      </c>
      <c r="AE18" s="217" t="str">
        <f>IF($C$9&gt;=7,$B18*0.3048,"")</f>
        <v/>
      </c>
      <c r="AF18" s="229" t="str">
        <f>IF($C$9&gt;=7,$C18*0.3048,"")</f>
        <v/>
      </c>
      <c r="AG18" s="8"/>
      <c r="AH18" s="8"/>
      <c r="AI18" s="8"/>
      <c r="AJ18" s="8"/>
      <c r="AK18" s="8"/>
    </row>
    <row r="19" spans="1:37" x14ac:dyDescent="0.25">
      <c r="A19" s="260" t="str">
        <f>IF($C$9&gt;=8,"#8:","")</f>
        <v/>
      </c>
      <c r="B19" s="145"/>
      <c r="C19" s="146"/>
      <c r="D19" s="261" t="str">
        <f>IF($C$9&gt;=8,"#8:","")</f>
        <v/>
      </c>
      <c r="E19" s="147" t="str">
        <f t="shared" si="0"/>
        <v/>
      </c>
      <c r="F19" s="148" t="str">
        <f t="shared" si="1"/>
        <v/>
      </c>
      <c r="I19" s="60"/>
      <c r="K19" s="9">
        <v>15</v>
      </c>
      <c r="L19" s="16" t="str">
        <f>IF($C$9&gt;=15,$C26-$L$35,"")</f>
        <v/>
      </c>
      <c r="M19" s="16" t="str">
        <f>IF($C$9&gt;=15,$B26-$L$34,"")</f>
        <v/>
      </c>
      <c r="N19" s="29" t="str">
        <f>IF($C$9&gt;=15,$L19^2,"")</f>
        <v/>
      </c>
      <c r="O19" s="29" t="str">
        <f>IF($C$9&gt;=15,$M19^2,"")</f>
        <v/>
      </c>
      <c r="P19" s="29" t="str">
        <f>IF($C$9&gt;=15,$L19*$M19,"")</f>
        <v/>
      </c>
      <c r="Q19" s="17" t="str">
        <f>IF($C$9&gt;=15,$B26-$L$34,"")</f>
        <v/>
      </c>
      <c r="R19" s="17" t="str">
        <f>IF($C$9&gt;=15,$C26-$L$35,"")</f>
        <v/>
      </c>
      <c r="S19" s="18" t="str">
        <f>IF($C$9&gt;=15,(-$P$43/$C$9+($P$47*$L$36--$P$46*$L$39)/($L$36*$L$37-$L$39^2)*$Q19+(-$P$46*$L$37-$P$47*$L$39)/($L$36*$L$37-$L$39^2)*$R19),"")</f>
        <v/>
      </c>
      <c r="T19" s="18" t="str">
        <f>IF($C$9&gt;=15,((($P$44/$C$9+$P$48*-$R19/$L$38)^2+($P$45/$C$9+$P$48*$Q19/$L$38)^2)^(1/2)),"")</f>
        <v/>
      </c>
      <c r="AD19" s="262" t="str">
        <f>IF($C$9&gt;=8,"#8:","")</f>
        <v/>
      </c>
      <c r="AE19" s="217" t="str">
        <f>IF($C$9&gt;=8,$B19*0.3048,"")</f>
        <v/>
      </c>
      <c r="AF19" s="229" t="str">
        <f>IF($C$9&gt;=8,$C19*0.3048,"")</f>
        <v/>
      </c>
      <c r="AG19" s="8"/>
      <c r="AH19" s="8"/>
      <c r="AI19" s="8"/>
      <c r="AJ19" s="8"/>
      <c r="AK19" s="8"/>
    </row>
    <row r="20" spans="1:37" x14ac:dyDescent="0.25">
      <c r="A20" s="260" t="str">
        <f>IF($C$9&gt;=9,"#9:","")</f>
        <v/>
      </c>
      <c r="B20" s="145"/>
      <c r="C20" s="146"/>
      <c r="D20" s="261" t="str">
        <f>IF($C$9&gt;=9,"#9:","")</f>
        <v/>
      </c>
      <c r="E20" s="147" t="str">
        <f t="shared" si="0"/>
        <v/>
      </c>
      <c r="F20" s="148" t="str">
        <f t="shared" si="1"/>
        <v/>
      </c>
      <c r="I20" s="60"/>
      <c r="K20" s="9">
        <v>16</v>
      </c>
      <c r="L20" s="16" t="str">
        <f>IF($C$9&gt;=16,$C27-$L$35,"")</f>
        <v/>
      </c>
      <c r="M20" s="16" t="str">
        <f>IF($C$9&gt;=16,$B27-$L$34,"")</f>
        <v/>
      </c>
      <c r="N20" s="29" t="str">
        <f>IF($C$9&gt;=16,$L20^2,"")</f>
        <v/>
      </c>
      <c r="O20" s="29" t="str">
        <f>IF($C$9&gt;=16,$M20^2,"")</f>
        <v/>
      </c>
      <c r="P20" s="29" t="str">
        <f>IF($C$9&gt;=16,$L20*$M20,"")</f>
        <v/>
      </c>
      <c r="Q20" s="17" t="str">
        <f>IF($C$9&gt;=16,$B27-$L$34,"")</f>
        <v/>
      </c>
      <c r="R20" s="17" t="str">
        <f>IF($C$9&gt;=16,$C27-$L$35,"")</f>
        <v/>
      </c>
      <c r="S20" s="18" t="str">
        <f>IF($C$9&gt;=16,(-$P$43/$C$9+($P$47*$L$36--$P$46*$L$39)/($L$36*$L$37-$L$39^2)*$Q20+(-$P$46*$L$37-$P$47*$L$39)/($L$36*$L$37-$L$39^2)*$R20),"")</f>
        <v/>
      </c>
      <c r="T20" s="18" t="str">
        <f>IF($C$9&gt;=16,((($P$44/$C$9+$P$48*-$R20/$L$38)^2+($P$45/$C$9+$P$48*$Q20/$L$38)^2)^(1/2)),"")</f>
        <v/>
      </c>
      <c r="AD20" s="262" t="str">
        <f>IF($C$9&gt;=9,"#9:","")</f>
        <v/>
      </c>
      <c r="AE20" s="217" t="str">
        <f>IF($C$9&gt;=9,$B20*0.3048,"")</f>
        <v/>
      </c>
      <c r="AF20" s="229" t="str">
        <f>IF($C$9&gt;=9,$C20*0.3048,"")</f>
        <v/>
      </c>
      <c r="AG20" s="8"/>
      <c r="AH20" s="8"/>
      <c r="AI20" s="8"/>
      <c r="AJ20" s="8"/>
      <c r="AK20" s="8"/>
    </row>
    <row r="21" spans="1:37" x14ac:dyDescent="0.25">
      <c r="A21" s="260" t="str">
        <f>IF($C$9&gt;=10,"#10:","")</f>
        <v/>
      </c>
      <c r="B21" s="145"/>
      <c r="C21" s="146"/>
      <c r="D21" s="261" t="str">
        <f>IF($C$9&gt;=10,"#10:","")</f>
        <v/>
      </c>
      <c r="E21" s="147" t="str">
        <f t="shared" si="0"/>
        <v/>
      </c>
      <c r="F21" s="148" t="str">
        <f t="shared" si="1"/>
        <v/>
      </c>
      <c r="I21" s="60"/>
      <c r="K21" s="9">
        <v>17</v>
      </c>
      <c r="L21" s="16" t="str">
        <f>IF($C$9&gt;=17,$C28-$L$35,"")</f>
        <v/>
      </c>
      <c r="M21" s="16" t="str">
        <f>IF($C$9&gt;=17,$B28-$L$34,"")</f>
        <v/>
      </c>
      <c r="N21" s="29" t="str">
        <f>IF($C$9&gt;=17,$L21^2,"")</f>
        <v/>
      </c>
      <c r="O21" s="29" t="str">
        <f>IF($C$9&gt;=17,$M21^2,"")</f>
        <v/>
      </c>
      <c r="P21" s="29" t="str">
        <f>IF($C$9&gt;=17,$L21*$M21,"")</f>
        <v/>
      </c>
      <c r="Q21" s="17" t="str">
        <f>IF($C$9&gt;=17,$B28-$L$34,"")</f>
        <v/>
      </c>
      <c r="R21" s="17" t="str">
        <f>IF($C$9&gt;=17,$C28-$L$35,"")</f>
        <v/>
      </c>
      <c r="S21" s="18" t="str">
        <f>IF($C$9&gt;=17,(-$P$43/$C$9+($P$47*$L$36--$P$46*$L$39)/($L$36*$L$37-$L$39^2)*$Q21+(-$P$46*$L$37-$P$47*$L$39)/($L$36*$L$37-$L$39^2)*$R21),"")</f>
        <v/>
      </c>
      <c r="T21" s="18" t="str">
        <f>IF($C$9&gt;=17,((($P$44/$C$9+$P$48*-$R21/$L$38)^2+($P$45/$C$9+$P$48*$Q21/$L$38)^2)^(1/2)),"")</f>
        <v/>
      </c>
      <c r="AD21" s="262" t="str">
        <f>IF($C$9&gt;=10,"#10:","")</f>
        <v/>
      </c>
      <c r="AE21" s="217" t="str">
        <f>IF($C$9&gt;=10,$B21*0.3048,"")</f>
        <v/>
      </c>
      <c r="AF21" s="229" t="str">
        <f>IF($C$9&gt;=10,$C21*0.3048,"")</f>
        <v/>
      </c>
      <c r="AG21" s="8"/>
      <c r="AH21" s="8"/>
      <c r="AI21" s="8"/>
      <c r="AJ21" s="8"/>
      <c r="AK21" s="8"/>
    </row>
    <row r="22" spans="1:37" x14ac:dyDescent="0.25">
      <c r="A22" s="260" t="str">
        <f>IF($C$9&gt;=11,"#11:","")</f>
        <v/>
      </c>
      <c r="B22" s="145"/>
      <c r="C22" s="146"/>
      <c r="D22" s="261" t="str">
        <f>IF($C$9&gt;=11,"#11:","")</f>
        <v/>
      </c>
      <c r="E22" s="147" t="str">
        <f t="shared" si="0"/>
        <v/>
      </c>
      <c r="F22" s="148" t="str">
        <f t="shared" si="1"/>
        <v/>
      </c>
      <c r="I22" s="60"/>
      <c r="K22" s="9">
        <v>18</v>
      </c>
      <c r="L22" s="16" t="str">
        <f>IF($C$9&gt;=18,$C29-$L$35,"")</f>
        <v/>
      </c>
      <c r="M22" s="16" t="str">
        <f>IF($C$9&gt;=18,$B29-$L$34,"")</f>
        <v/>
      </c>
      <c r="N22" s="29" t="str">
        <f>IF($C$9&gt;=18,$L22^2,"")</f>
        <v/>
      </c>
      <c r="O22" s="29" t="str">
        <f>IF($C$9&gt;=18,$M22^2,"")</f>
        <v/>
      </c>
      <c r="P22" s="29" t="str">
        <f>IF($C$9&gt;=18,$L22*$M22,"")</f>
        <v/>
      </c>
      <c r="Q22" s="17" t="str">
        <f>IF($C$9&gt;=18,$B29-$L$34,"")</f>
        <v/>
      </c>
      <c r="R22" s="17" t="str">
        <f>IF($C$9&gt;=18,$C29-$L$35,"")</f>
        <v/>
      </c>
      <c r="S22" s="18" t="str">
        <f>IF($C$9&gt;=18,(-$P$43/$C$9+($P$47*$L$36--$P$46*$L$39)/($L$36*$L$37-$L$39^2)*$Q22+(-$P$46*$L$37-$P$47*$L$39)/($L$36*$L$37-$L$39^2)*$R22),"")</f>
        <v/>
      </c>
      <c r="T22" s="18" t="str">
        <f>IF($C$9&gt;=18,((($P$44/$C$9+$P$48*-$R22/$L$38)^2+($P$45/$C$9+$P$48*$Q22/$L$38)^2)^(1/2)),"")</f>
        <v/>
      </c>
      <c r="AD22" s="262" t="str">
        <f>IF($C$9&gt;=11,"#11:","")</f>
        <v/>
      </c>
      <c r="AE22" s="217" t="str">
        <f>IF($C$9&gt;=11,$B22*0.3048,"")</f>
        <v/>
      </c>
      <c r="AF22" s="229" t="str">
        <f>IF($C$9&gt;=11,$C22*0.3048,"")</f>
        <v/>
      </c>
      <c r="AG22" s="8"/>
      <c r="AH22" s="8"/>
      <c r="AI22" s="8"/>
      <c r="AJ22" s="8"/>
      <c r="AK22" s="8"/>
    </row>
    <row r="23" spans="1:37" x14ac:dyDescent="0.25">
      <c r="A23" s="260" t="str">
        <f>IF($C$9&gt;=12,"#12:","")</f>
        <v/>
      </c>
      <c r="B23" s="145"/>
      <c r="C23" s="146"/>
      <c r="D23" s="261" t="str">
        <f>IF($C$9&gt;=12,"#12:","")</f>
        <v/>
      </c>
      <c r="E23" s="147" t="str">
        <f t="shared" si="0"/>
        <v/>
      </c>
      <c r="F23" s="148" t="str">
        <f t="shared" si="1"/>
        <v/>
      </c>
      <c r="I23" s="60"/>
      <c r="K23" s="9">
        <v>19</v>
      </c>
      <c r="L23" s="16" t="str">
        <f>IF($C$9&gt;=19,$C30-$L$35,"")</f>
        <v/>
      </c>
      <c r="M23" s="16" t="str">
        <f>IF($C$9&gt;=19,$B30-$L$34,"")</f>
        <v/>
      </c>
      <c r="N23" s="29" t="str">
        <f>IF($C$9&gt;=19,$L23^2,"")</f>
        <v/>
      </c>
      <c r="O23" s="29" t="str">
        <f>IF($C$9&gt;=19,$M23^2,"")</f>
        <v/>
      </c>
      <c r="P23" s="29" t="str">
        <f>IF($C$9&gt;=19,$L23*$M23,"")</f>
        <v/>
      </c>
      <c r="Q23" s="17" t="str">
        <f>IF($C$9&gt;=19,$B30-$L$34,"")</f>
        <v/>
      </c>
      <c r="R23" s="17" t="str">
        <f>IF($C$9&gt;=19,$C30-$L$35,"")</f>
        <v/>
      </c>
      <c r="S23" s="18" t="str">
        <f>IF($C$9&gt;=19,(-$P$43/$C$9+($P$47*$L$36--$P$46*$L$39)/($L$36*$L$37-$L$39^2)*$Q23+(-$P$46*$L$37-$P$47*$L$39)/($L$36*$L$37-$L$39^2)*$R23),"")</f>
        <v/>
      </c>
      <c r="T23" s="18" t="str">
        <f>IF($C$9&gt;=19,((($P$44/$C$9+$P$48*-$R23/$L$38)^2+($P$45/$C$9+$P$48*$Q23/$L$38)^2)^(1/2)),"")</f>
        <v/>
      </c>
      <c r="AD23" s="9"/>
      <c r="AE23" s="217" t="str">
        <f>IF($C$9&gt;=12,$B23*0.3048,"")</f>
        <v/>
      </c>
      <c r="AF23" s="229" t="str">
        <f>IF($C$9&gt;=12,$C23*0.3048,"")</f>
        <v/>
      </c>
      <c r="AG23" s="8"/>
      <c r="AH23" s="8"/>
      <c r="AI23" s="8"/>
      <c r="AJ23" s="8"/>
      <c r="AK23" s="8"/>
    </row>
    <row r="24" spans="1:37" x14ac:dyDescent="0.25">
      <c r="A24" s="260" t="str">
        <f>IF($C$9&gt;=13,"#13:","")</f>
        <v/>
      </c>
      <c r="B24" s="145"/>
      <c r="C24" s="146"/>
      <c r="D24" s="261" t="str">
        <f>IF($C$9&gt;=13,"#13:","")</f>
        <v/>
      </c>
      <c r="E24" s="147" t="str">
        <f t="shared" si="0"/>
        <v/>
      </c>
      <c r="F24" s="148" t="str">
        <f t="shared" si="1"/>
        <v/>
      </c>
      <c r="I24" s="60"/>
      <c r="K24" s="9">
        <v>20</v>
      </c>
      <c r="L24" s="16" t="str">
        <f>IF($C$9&gt;=20,$C31-$L$35,"")</f>
        <v/>
      </c>
      <c r="M24" s="16" t="str">
        <f>IF($C$9&gt;=20,$B31-$L$34,"")</f>
        <v/>
      </c>
      <c r="N24" s="29" t="str">
        <f>IF($C$9&gt;=20,$L24^2,"")</f>
        <v/>
      </c>
      <c r="O24" s="29" t="str">
        <f>IF($C$9&gt;=20,$M24^2,"")</f>
        <v/>
      </c>
      <c r="P24" s="29" t="str">
        <f>IF($C$9&gt;=20,$L24*$M24,"")</f>
        <v/>
      </c>
      <c r="Q24" s="17" t="str">
        <f>IF($C$9&gt;=20,$B31-$L$34,"")</f>
        <v/>
      </c>
      <c r="R24" s="17" t="str">
        <f>IF($C$9&gt;=20,$C31-$L$35,"")</f>
        <v/>
      </c>
      <c r="S24" s="18" t="str">
        <f>IF($C$9&gt;=20,(-$P$43/$C$9+($P$47*$L$36--$P$46*$L$39)/($L$36*$L$37-$L$39^2)*$Q24+(-$P$46*$L$37-$P$47*$L$39)/($L$36*$L$37-$L$39^2)*$R24),"")</f>
        <v/>
      </c>
      <c r="T24" s="18" t="str">
        <f>IF($C$9&gt;=20,((($P$44/$C$9+$P$48*-$R24/$L$38)^2+($P$45/$C$9+$P$48*$Q24/$L$38)^2)^(1/2)),"")</f>
        <v/>
      </c>
      <c r="AD24" s="9"/>
      <c r="AE24" s="217" t="str">
        <f>IF($C$9&gt;=13,$B24*0.3048,"")</f>
        <v/>
      </c>
      <c r="AF24" s="229" t="str">
        <f>IF($C$9&gt;=13,$C24*0.3048,"")</f>
        <v/>
      </c>
      <c r="AG24" s="8"/>
      <c r="AH24" s="8"/>
      <c r="AI24" s="8"/>
      <c r="AJ24" s="8"/>
      <c r="AK24" s="8"/>
    </row>
    <row r="25" spans="1:37" x14ac:dyDescent="0.25">
      <c r="A25" s="260" t="str">
        <f>IF($C$9&gt;=14,"#14:","")</f>
        <v/>
      </c>
      <c r="B25" s="145"/>
      <c r="C25" s="146"/>
      <c r="D25" s="261" t="str">
        <f>IF($C$9&gt;=14,"#14:","")</f>
        <v/>
      </c>
      <c r="E25" s="147" t="str">
        <f t="shared" si="0"/>
        <v/>
      </c>
      <c r="F25" s="148" t="str">
        <f t="shared" si="1"/>
        <v/>
      </c>
      <c r="I25" s="60"/>
      <c r="K25" s="9">
        <v>21</v>
      </c>
      <c r="L25" s="16" t="str">
        <f>IF($C$9&gt;=21,$C32-$L$35,"")</f>
        <v/>
      </c>
      <c r="M25" s="16" t="str">
        <f>IF($C$9&gt;=21,$B32-$L$34,"")</f>
        <v/>
      </c>
      <c r="N25" s="29" t="str">
        <f>IF($C$9&gt;=21,$L25^2,"")</f>
        <v/>
      </c>
      <c r="O25" s="29" t="str">
        <f>IF($C$9&gt;=21,$M25^2,"")</f>
        <v/>
      </c>
      <c r="P25" s="29" t="str">
        <f>IF($C$9&gt;=21,$L25*$M25,"")</f>
        <v/>
      </c>
      <c r="Q25" s="17" t="str">
        <f>IF($C$9&gt;=21,$B32-$L$34,"")</f>
        <v/>
      </c>
      <c r="R25" s="17" t="str">
        <f>IF($C$9&gt;=21,$C32-$L$35,"")</f>
        <v/>
      </c>
      <c r="S25" s="18" t="str">
        <f>IF($C$9&gt;=21,(-$P$43/$C$9+($P$47*$L$36--$P$46*$L$39)/($L$36*$L$37-$L$39^2)*$Q25+(-$P$46*$L$37-$P$47*$L$39)/($L$36*$L$37-$L$39^2)*$R25),"")</f>
        <v/>
      </c>
      <c r="T25" s="18" t="str">
        <f>IF($C$9&gt;=21,((($P$44/$C$9+$P$48*-$R25/$L$38)^2+($P$45/$C$9+$P$48*$Q25/$L$38)^2)^(1/2)),"")</f>
        <v/>
      </c>
      <c r="AD25" s="262" t="str">
        <f>IF($C$9&gt;=14,"#14:","")</f>
        <v/>
      </c>
      <c r="AE25" s="217" t="str">
        <f>IF($C$9&gt;=14,$B25*0.3048,"")</f>
        <v/>
      </c>
      <c r="AF25" s="229" t="str">
        <f>IF($C$9&gt;=14,$C25*0.3048,"")</f>
        <v/>
      </c>
      <c r="AG25" s="8"/>
      <c r="AH25" s="8"/>
      <c r="AI25" s="8"/>
      <c r="AJ25" s="8"/>
      <c r="AK25" s="8"/>
    </row>
    <row r="26" spans="1:37" x14ac:dyDescent="0.25">
      <c r="A26" s="260" t="str">
        <f>IF($C$9&gt;=15,"#15:","")</f>
        <v/>
      </c>
      <c r="B26" s="145"/>
      <c r="C26" s="146"/>
      <c r="D26" s="261" t="str">
        <f>IF($C$9&gt;=15,"#15:","")</f>
        <v/>
      </c>
      <c r="E26" s="147" t="str">
        <f t="shared" si="0"/>
        <v/>
      </c>
      <c r="F26" s="148" t="str">
        <f t="shared" si="1"/>
        <v/>
      </c>
      <c r="I26" s="60"/>
      <c r="K26" s="9">
        <v>22</v>
      </c>
      <c r="L26" s="16" t="str">
        <f>IF($C$9&gt;=22,$C33-$L$35,"")</f>
        <v/>
      </c>
      <c r="M26" s="16" t="str">
        <f>IF($C$9&gt;=22,$B33-$L$34,"")</f>
        <v/>
      </c>
      <c r="N26" s="29" t="str">
        <f>IF($C$9&gt;=22,$L26^2,"")</f>
        <v/>
      </c>
      <c r="O26" s="29" t="str">
        <f>IF($C$9&gt;=22,$M26^2,"")</f>
        <v/>
      </c>
      <c r="P26" s="29" t="str">
        <f>IF($C$9&gt;=22,$L26*$M26,"")</f>
        <v/>
      </c>
      <c r="Q26" s="17" t="str">
        <f>IF($C$9&gt;=22,$B33-$L$34,"")</f>
        <v/>
      </c>
      <c r="R26" s="17" t="str">
        <f>IF($C$9&gt;=22,$C33-$L$35,"")</f>
        <v/>
      </c>
      <c r="S26" s="18" t="str">
        <f>IF($C$9&gt;=22,(-$P$43/$C$9+($P$47*$L$36--$P$46*$L$39)/($L$36*$L$37-$L$39^2)*$Q26+(-$P$46*$L$37-$P$47*$L$39)/($L$36*$L$37-$L$39^2)*$R26),"")</f>
        <v/>
      </c>
      <c r="T26" s="18" t="str">
        <f>IF($C$9&gt;=22,((($P$44/$C$9+$P$48*-$R26/$L$38)^2+($P$45/$C$9+$P$48*$Q26/$L$38)^2)^(1/2)),"")</f>
        <v/>
      </c>
      <c r="AD26" s="262" t="str">
        <f>IF($C$9&gt;=15,"#15:","")</f>
        <v/>
      </c>
      <c r="AE26" s="217" t="str">
        <f>IF($C$9&gt;=15,$B26*0.3048,"")</f>
        <v/>
      </c>
      <c r="AF26" s="229" t="str">
        <f>IF($C$9&gt;=15,$C26*0.3048,"")</f>
        <v/>
      </c>
      <c r="AG26" s="8"/>
      <c r="AH26" s="8"/>
      <c r="AI26" s="8"/>
      <c r="AJ26" s="8"/>
      <c r="AK26" s="8"/>
    </row>
    <row r="27" spans="1:37" x14ac:dyDescent="0.25">
      <c r="A27" s="260" t="str">
        <f>IF($C$9&gt;=16,"#16:","")</f>
        <v/>
      </c>
      <c r="B27" s="145"/>
      <c r="C27" s="146"/>
      <c r="D27" s="261" t="str">
        <f>IF($C$9&gt;=16,"#16:","")</f>
        <v/>
      </c>
      <c r="E27" s="147" t="str">
        <f t="shared" si="0"/>
        <v/>
      </c>
      <c r="F27" s="148" t="str">
        <f t="shared" si="1"/>
        <v/>
      </c>
      <c r="I27" s="60"/>
      <c r="K27" s="9">
        <v>23</v>
      </c>
      <c r="L27" s="16" t="str">
        <f>IF($C$9&gt;=23,$C34-$L$35,"")</f>
        <v/>
      </c>
      <c r="M27" s="16" t="str">
        <f>IF($C$9&gt;=23,$B34-$L$34,"")</f>
        <v/>
      </c>
      <c r="N27" s="29" t="str">
        <f>IF($C$9&gt;=23,$L27^2,"")</f>
        <v/>
      </c>
      <c r="O27" s="29" t="str">
        <f>IF($C$9&gt;=23,$M27^2,"")</f>
        <v/>
      </c>
      <c r="P27" s="29" t="str">
        <f>IF($C$9&gt;=23,$L27*$M27,"")</f>
        <v/>
      </c>
      <c r="Q27" s="17" t="str">
        <f>IF($C$9&gt;=23,$B34-$L$34,"")</f>
        <v/>
      </c>
      <c r="R27" s="17" t="str">
        <f>IF($C$9&gt;=23,$C34-$L$35,"")</f>
        <v/>
      </c>
      <c r="S27" s="18" t="str">
        <f>IF($C$9&gt;=23,(-$P$43/$C$9+($P$47*$L$36--$P$46*$L$39)/($L$36*$L$37-$L$39^2)*$Q27+(-$P$46*$L$37-$P$47*$L$39)/($L$36*$L$37-$L$39^2)*$R27),"")</f>
        <v/>
      </c>
      <c r="T27" s="18" t="str">
        <f>IF($C$9&gt;=23,((($P$44/$C$9+$P$48*-$R27/$L$38)^2+($P$45/$C$9+$P$48*$Q27/$L$38)^2)^(1/2)),"")</f>
        <v/>
      </c>
      <c r="AD27" s="262" t="str">
        <f>IF($C$9&gt;=16,"#16:","")</f>
        <v/>
      </c>
      <c r="AE27" s="217" t="str">
        <f>IF($C$9&gt;=16,$B27*0.3048,"")</f>
        <v/>
      </c>
      <c r="AF27" s="229" t="str">
        <f>IF($C$9&gt;=16,$C27*0.3048,"")</f>
        <v/>
      </c>
      <c r="AG27" s="8"/>
      <c r="AH27" s="8"/>
      <c r="AI27" s="8"/>
      <c r="AJ27" s="8"/>
      <c r="AK27" s="8"/>
    </row>
    <row r="28" spans="1:37" x14ac:dyDescent="0.25">
      <c r="A28" s="260" t="str">
        <f>IF($C$9&gt;=17,"#17:","")</f>
        <v/>
      </c>
      <c r="B28" s="145"/>
      <c r="C28" s="146"/>
      <c r="D28" s="261" t="str">
        <f>IF($C$9&gt;=17,"#17:","")</f>
        <v/>
      </c>
      <c r="E28" s="147" t="str">
        <f t="shared" si="0"/>
        <v/>
      </c>
      <c r="F28" s="148" t="str">
        <f t="shared" si="1"/>
        <v/>
      </c>
      <c r="I28" s="60"/>
      <c r="K28" s="9">
        <v>24</v>
      </c>
      <c r="L28" s="16" t="str">
        <f>IF($C$9&gt;=24,$C35-$L$35,"")</f>
        <v/>
      </c>
      <c r="M28" s="16" t="str">
        <f>IF($C$9&gt;=24,$B35-$L$34,"")</f>
        <v/>
      </c>
      <c r="N28" s="29" t="str">
        <f>IF($C$9&gt;=24,$L28^2,"")</f>
        <v/>
      </c>
      <c r="O28" s="29" t="str">
        <f>IF($C$9&gt;=24,$M28^2,"")</f>
        <v/>
      </c>
      <c r="P28" s="29" t="str">
        <f>IF($C$9&gt;=24,$L28*$M28,"")</f>
        <v/>
      </c>
      <c r="Q28" s="17" t="str">
        <f>IF($C$9&gt;=24,$B35-$L$34,"")</f>
        <v/>
      </c>
      <c r="R28" s="17" t="str">
        <f>IF($C$9&gt;=24,$C35-$L$35,"")</f>
        <v/>
      </c>
      <c r="S28" s="18" t="str">
        <f>IF($C$9&gt;=24,(-$P$43/$C$9+($P$47*$L$36--$P$46*$L$39)/($L$36*$L$37-$L$39^2)*$Q28+(-$P$46*$L$37-$P$47*$L$39)/($L$36*$L$37-$L$39^2)*$R28),"")</f>
        <v/>
      </c>
      <c r="T28" s="18" t="str">
        <f>IF($C$9&gt;=24,((($P$44/$C$9+$P$48*-$R28/$L$38)^2+($P$45/$C$9+$P$48*$Q28/$L$38)^2)^(1/2)),"")</f>
        <v/>
      </c>
      <c r="AD28" s="262" t="str">
        <f>IF($C$9&gt;=17,"#17:","")</f>
        <v/>
      </c>
      <c r="AE28" s="217" t="str">
        <f>IF($C$9&gt;=17,$B28*0.3048,"")</f>
        <v/>
      </c>
      <c r="AF28" s="229" t="str">
        <f>IF($C$9&gt;=17,$C28*0.3048,"")</f>
        <v/>
      </c>
      <c r="AG28" s="8"/>
      <c r="AH28" s="8"/>
      <c r="AI28" s="8"/>
      <c r="AJ28" s="8"/>
      <c r="AK28" s="8"/>
    </row>
    <row r="29" spans="1:37" x14ac:dyDescent="0.25">
      <c r="A29" s="260" t="str">
        <f>IF($C$9&gt;=18,"#18:","")</f>
        <v/>
      </c>
      <c r="B29" s="145"/>
      <c r="C29" s="146"/>
      <c r="D29" s="261" t="str">
        <f>IF($C$9&gt;=18,"#18:","")</f>
        <v/>
      </c>
      <c r="E29" s="147" t="str">
        <f t="shared" si="0"/>
        <v/>
      </c>
      <c r="F29" s="148" t="str">
        <f t="shared" si="1"/>
        <v/>
      </c>
      <c r="G29" s="49" t="s">
        <v>32</v>
      </c>
      <c r="H29" s="53"/>
      <c r="I29" s="64"/>
      <c r="K29" s="9">
        <v>25</v>
      </c>
      <c r="L29" s="16" t="str">
        <f>IF($C$9=25,$C36-$L$35,"")</f>
        <v/>
      </c>
      <c r="M29" s="16" t="str">
        <f>IF($C$9=25,$B36-$L$34,"")</f>
        <v/>
      </c>
      <c r="N29" s="29" t="str">
        <f>IF($C$9=25,$L29^2,"")</f>
        <v/>
      </c>
      <c r="O29" s="29" t="str">
        <f>IF($C$9=25,$M29^2,"")</f>
        <v/>
      </c>
      <c r="P29" s="29" t="str">
        <f>IF($C$9=25,$L29*$M29,"")</f>
        <v/>
      </c>
      <c r="Q29" s="17" t="str">
        <f>IF($C$9=25,$B36-$L$34,"")</f>
        <v/>
      </c>
      <c r="R29" s="17" t="str">
        <f>IF($C$9=25,$C36-$L$35,"")</f>
        <v/>
      </c>
      <c r="S29" s="18" t="str">
        <f>IF($C$9=25,(-$P$43/$C$9+($P$47*$L$36--$P$46*$L$39)/($L$36*$L$37-$L$39^2)*$Q29+(-$P$46*$L$37-$P$47*$L$39)/($L$36*$L$37-$L$39^2)*$R29),"")</f>
        <v/>
      </c>
      <c r="T29" s="18" t="str">
        <f>IF($C$9=25,((($P$44/$C$9+$P$48*-$R29/$L$38)^2+($P$45/$C$9+$P$48*$Q29/$L$38)^2)^(1/2)),"")</f>
        <v/>
      </c>
      <c r="AD29" s="262" t="str">
        <f>IF($C$9&gt;=18,"#18:","")</f>
        <v/>
      </c>
      <c r="AE29" s="217" t="str">
        <f>IF($C$9&gt;=18,$B29*0.3048,"")</f>
        <v/>
      </c>
      <c r="AF29" s="229" t="str">
        <f>IF($C$9&gt;=18,$C29*0.3048,"")</f>
        <v/>
      </c>
      <c r="AG29" s="8"/>
      <c r="AH29" s="8"/>
      <c r="AI29" s="8"/>
      <c r="AJ29" s="8"/>
      <c r="AK29" s="8"/>
    </row>
    <row r="30" spans="1:37" x14ac:dyDescent="0.25">
      <c r="A30" s="260" t="str">
        <f>IF($C$9&gt;=19,"#19:","")</f>
        <v/>
      </c>
      <c r="B30" s="145"/>
      <c r="C30" s="146"/>
      <c r="D30" s="261" t="str">
        <f>IF($C$9&gt;=19,"#19:","")</f>
        <v/>
      </c>
      <c r="E30" s="147" t="str">
        <f t="shared" si="0"/>
        <v/>
      </c>
      <c r="F30" s="148" t="str">
        <f t="shared" si="1"/>
        <v/>
      </c>
      <c r="G30" s="65" t="s">
        <v>5</v>
      </c>
      <c r="H30" s="149">
        <f t="shared" ref="H30:H36" si="2">$L34</f>
        <v>6.0000001920000008</v>
      </c>
      <c r="I30" s="96" t="s">
        <v>42</v>
      </c>
      <c r="AD30" s="262" t="str">
        <f>IF($C$9&gt;=19,"#19:","")</f>
        <v/>
      </c>
      <c r="AE30" s="217" t="str">
        <f>IF($C$9&gt;=19,$B30*0.3048,"")</f>
        <v/>
      </c>
      <c r="AF30" s="229" t="str">
        <f>IF($C$9&gt;=19,$C30*0.3048,"")</f>
        <v/>
      </c>
      <c r="AG30" s="8"/>
      <c r="AH30" s="8"/>
      <c r="AI30" s="8"/>
      <c r="AJ30" s="8"/>
      <c r="AK30" s="8"/>
    </row>
    <row r="31" spans="1:37" x14ac:dyDescent="0.25">
      <c r="A31" s="260" t="str">
        <f>IF($C$9&gt;=20,"#20:","")</f>
        <v/>
      </c>
      <c r="B31" s="145"/>
      <c r="C31" s="146"/>
      <c r="D31" s="261" t="str">
        <f>IF($C$9&gt;=20,"#20:","")</f>
        <v/>
      </c>
      <c r="E31" s="147" t="str">
        <f t="shared" si="0"/>
        <v/>
      </c>
      <c r="F31" s="148" t="str">
        <f t="shared" si="1"/>
        <v/>
      </c>
      <c r="G31" s="65" t="s">
        <v>6</v>
      </c>
      <c r="H31" s="150">
        <f t="shared" si="2"/>
        <v>4.0000001279999999</v>
      </c>
      <c r="I31" s="96" t="s">
        <v>42</v>
      </c>
      <c r="J31" s="2"/>
      <c r="K31" s="12" t="s">
        <v>32</v>
      </c>
      <c r="L31" s="8"/>
      <c r="M31" s="8"/>
      <c r="N31" s="3"/>
      <c r="O31" s="31" t="s">
        <v>7</v>
      </c>
      <c r="R31" s="21"/>
      <c r="S31" s="21"/>
      <c r="T31" s="24"/>
      <c r="AD31" s="262" t="str">
        <f>IF($C$9&gt;=20,"#20:","")</f>
        <v/>
      </c>
      <c r="AE31" s="217" t="str">
        <f>IF($C$9&gt;=20,$B31*0.3048,"")</f>
        <v/>
      </c>
      <c r="AF31" s="229" t="str">
        <f>IF($C$9&gt;=20,$C31*0.3048,"")</f>
        <v/>
      </c>
      <c r="AG31" s="8"/>
      <c r="AH31" s="8"/>
      <c r="AI31" s="8"/>
      <c r="AJ31" s="8"/>
      <c r="AK31" s="8"/>
    </row>
    <row r="32" spans="1:37" x14ac:dyDescent="0.25">
      <c r="A32" s="260" t="str">
        <f>IF($C$9&gt;=21,"#21:","")</f>
        <v/>
      </c>
      <c r="B32" s="145"/>
      <c r="C32" s="146"/>
      <c r="D32" s="261" t="str">
        <f>IF($C$9&gt;=21,"#21:","")</f>
        <v/>
      </c>
      <c r="E32" s="147" t="str">
        <f t="shared" si="0"/>
        <v/>
      </c>
      <c r="F32" s="148" t="str">
        <f t="shared" si="1"/>
        <v/>
      </c>
      <c r="G32" s="67" t="s">
        <v>92</v>
      </c>
      <c r="H32" s="151">
        <f t="shared" si="2"/>
        <v>95.999998144000841</v>
      </c>
      <c r="I32" s="95" t="s">
        <v>261</v>
      </c>
      <c r="K32" s="11" t="s">
        <v>85</v>
      </c>
      <c r="L32" s="4">
        <f>SUM($B$12:$B$36)</f>
        <v>36.000001152000003</v>
      </c>
      <c r="O32" s="8"/>
      <c r="P32" s="23" t="s">
        <v>8</v>
      </c>
      <c r="Q32" s="23" t="s">
        <v>9</v>
      </c>
      <c r="R32" s="23" t="s">
        <v>10</v>
      </c>
      <c r="S32" s="23" t="s">
        <v>11</v>
      </c>
      <c r="T32" s="24"/>
      <c r="AD32" s="262" t="str">
        <f>IF($C$9&gt;=21,"#21:","")</f>
        <v/>
      </c>
      <c r="AE32" s="217" t="str">
        <f>IF($C$9&gt;=21,$B32*0.3048,"")</f>
        <v/>
      </c>
      <c r="AF32" s="229" t="str">
        <f>IF($C$9&gt;=21,$C32*0.3048,"")</f>
        <v/>
      </c>
      <c r="AG32" s="8"/>
      <c r="AH32" s="8"/>
      <c r="AI32" s="8"/>
      <c r="AJ32" s="8"/>
      <c r="AK32" s="8"/>
    </row>
    <row r="33" spans="1:37" x14ac:dyDescent="0.25">
      <c r="A33" s="260" t="str">
        <f>IF($C$9&gt;=22,"#22:","")</f>
        <v/>
      </c>
      <c r="B33" s="145"/>
      <c r="C33" s="146"/>
      <c r="D33" s="261" t="str">
        <f>IF($C$9&gt;=22,"#22:","")</f>
        <v/>
      </c>
      <c r="E33" s="147" t="str">
        <f t="shared" si="0"/>
        <v/>
      </c>
      <c r="F33" s="148" t="str">
        <f t="shared" si="1"/>
        <v/>
      </c>
      <c r="G33" s="67" t="s">
        <v>93</v>
      </c>
      <c r="H33" s="151">
        <f t="shared" si="2"/>
        <v>143.99999721600079</v>
      </c>
      <c r="I33" s="95" t="s">
        <v>261</v>
      </c>
      <c r="K33" s="11" t="s">
        <v>86</v>
      </c>
      <c r="L33" s="4">
        <f>SUM($C$12:$C$36)</f>
        <v>24.000000768</v>
      </c>
      <c r="O33" s="4" t="s">
        <v>88</v>
      </c>
      <c r="P33" s="4">
        <f>IF($C$38&gt;=1,$C$41-$L$34,"")</f>
        <v>-1.920000007871181E-7</v>
      </c>
      <c r="Q33" s="4" t="str">
        <f>IF($C$38&gt;=2,$D$41-$L$34,"")</f>
        <v/>
      </c>
      <c r="R33" s="4" t="str">
        <f>IF($C$38&gt;=3,$E$41-$L$34,"")</f>
        <v/>
      </c>
      <c r="S33" s="4" t="str">
        <f>IF($C$38=4,$F$41-$L$34,"")</f>
        <v/>
      </c>
      <c r="T33" s="24"/>
      <c r="AD33" s="262" t="str">
        <f>IF($C$9&gt;=22,"#22:","")</f>
        <v/>
      </c>
      <c r="AE33" s="217" t="str">
        <f>IF($C$9&gt;=22,$B33*0.3048,"")</f>
        <v/>
      </c>
      <c r="AF33" s="229" t="str">
        <f>IF($C$9&gt;=22,$C33*0.3048,"")</f>
        <v/>
      </c>
      <c r="AG33" s="8"/>
      <c r="AH33" s="8"/>
      <c r="AI33" s="8"/>
      <c r="AJ33" s="8"/>
      <c r="AK33" s="8"/>
    </row>
    <row r="34" spans="1:37" x14ac:dyDescent="0.25">
      <c r="A34" s="260" t="str">
        <f>IF($C$9&gt;=23,"#23:","")</f>
        <v/>
      </c>
      <c r="B34" s="145"/>
      <c r="C34" s="146"/>
      <c r="D34" s="261" t="str">
        <f>IF($C$9&gt;=23,"#23:","")</f>
        <v/>
      </c>
      <c r="E34" s="147" t="str">
        <f t="shared" si="0"/>
        <v/>
      </c>
      <c r="F34" s="148" t="str">
        <f t="shared" si="1"/>
        <v/>
      </c>
      <c r="G34" s="67" t="s">
        <v>22</v>
      </c>
      <c r="H34" s="151">
        <f t="shared" si="2"/>
        <v>239.99999536000163</v>
      </c>
      <c r="I34" s="95" t="s">
        <v>261</v>
      </c>
      <c r="K34" s="19" t="s">
        <v>5</v>
      </c>
      <c r="L34" s="16">
        <f>$L$32/$C$9</f>
        <v>6.0000001920000008</v>
      </c>
      <c r="O34" s="4" t="s">
        <v>87</v>
      </c>
      <c r="P34" s="4">
        <f>IF($C$38&gt;=1,$C$42-$L$35,"")</f>
        <v>-1.2799999993262645E-7</v>
      </c>
      <c r="Q34" s="4" t="str">
        <f>IF($C$38&gt;=2,$D$42-$L$35,"")</f>
        <v/>
      </c>
      <c r="R34" s="4" t="str">
        <f>IF($C$38&gt;=3,$E$42-$L$35,"")</f>
        <v/>
      </c>
      <c r="S34" s="4" t="str">
        <f>IF($C$38=4,$F$42-$L$35,"")</f>
        <v/>
      </c>
      <c r="T34" s="24"/>
      <c r="AD34" s="262" t="str">
        <f>IF($C$9&gt;=23,"#23:","")</f>
        <v/>
      </c>
      <c r="AE34" s="217" t="str">
        <f>IF($C$9&gt;23,$B34*0.3048,"")</f>
        <v/>
      </c>
      <c r="AF34" s="229" t="str">
        <f>IF($C$9&gt;23,$C34*0.3048,"")</f>
        <v/>
      </c>
      <c r="AG34" s="8"/>
      <c r="AH34" s="8"/>
      <c r="AI34" s="8"/>
      <c r="AJ34" s="8"/>
      <c r="AK34" s="8"/>
    </row>
    <row r="35" spans="1:37" x14ac:dyDescent="0.25">
      <c r="A35" s="260" t="str">
        <f>IF($C$9&gt;=24,"#24:","")</f>
        <v/>
      </c>
      <c r="B35" s="145"/>
      <c r="C35" s="146"/>
      <c r="D35" s="261" t="str">
        <f>IF($C$9&gt;=24,"#24:","")</f>
        <v/>
      </c>
      <c r="E35" s="147" t="str">
        <f t="shared" si="0"/>
        <v/>
      </c>
      <c r="F35" s="148" t="str">
        <f t="shared" si="1"/>
        <v/>
      </c>
      <c r="G35" s="67" t="s">
        <v>94</v>
      </c>
      <c r="H35" s="151">
        <f t="shared" si="2"/>
        <v>0</v>
      </c>
      <c r="I35" s="95" t="s">
        <v>261</v>
      </c>
      <c r="K35" s="19" t="s">
        <v>6</v>
      </c>
      <c r="L35" s="16">
        <f>$L$33/$C$9</f>
        <v>4.0000001279999999</v>
      </c>
      <c r="O35" s="23" t="s">
        <v>12</v>
      </c>
      <c r="P35" s="3">
        <f>IF($C$38&gt;=1,$C$44*$P$34,"")</f>
        <v>7.6799999959575871E-5</v>
      </c>
      <c r="Q35" s="3" t="str">
        <f>IF($C$38&gt;=2,$D$44*$Q$34,"")</f>
        <v/>
      </c>
      <c r="R35" s="3" t="str">
        <f>IF($C$38&gt;=3,$E$44*$R$34,"")</f>
        <v/>
      </c>
      <c r="S35" s="3" t="str">
        <f>IF($C$38=4,$F$44*$S$34,"")</f>
        <v/>
      </c>
      <c r="T35" s="24"/>
      <c r="AD35" s="262" t="str">
        <f>IF($C$9&gt;=24,"#24:","")</f>
        <v/>
      </c>
      <c r="AE35" s="217" t="str">
        <f>IF($C$9&gt;=24,$B35*0.3048,"")</f>
        <v/>
      </c>
      <c r="AF35" s="229" t="str">
        <f>IF($C$9&gt;24,$C35*0.3048,"")</f>
        <v/>
      </c>
      <c r="AG35" s="8"/>
      <c r="AH35" s="8"/>
      <c r="AI35" s="8"/>
      <c r="AJ35" s="8"/>
      <c r="AK35" s="8"/>
    </row>
    <row r="36" spans="1:37" x14ac:dyDescent="0.25">
      <c r="A36" s="260" t="str">
        <f>IF($C$9=25,"#25:","")</f>
        <v/>
      </c>
      <c r="B36" s="152"/>
      <c r="C36" s="153"/>
      <c r="D36" s="261" t="str">
        <f>IF($C$9=25,"#25:","")</f>
        <v/>
      </c>
      <c r="E36" s="154" t="str">
        <f t="shared" si="0"/>
        <v/>
      </c>
      <c r="F36" s="155" t="str">
        <f t="shared" si="1"/>
        <v/>
      </c>
      <c r="G36" s="68" t="s">
        <v>43</v>
      </c>
      <c r="H36" s="156">
        <f t="shared" si="2"/>
        <v>0</v>
      </c>
      <c r="I36" s="95" t="s">
        <v>44</v>
      </c>
      <c r="K36" s="20" t="s">
        <v>92</v>
      </c>
      <c r="L36" s="30">
        <f>SUM($N$5:$N$29)</f>
        <v>95.999998144000841</v>
      </c>
      <c r="O36" s="23" t="s">
        <v>13</v>
      </c>
      <c r="P36" s="3">
        <f>IF($C$38&gt;=1,$C$44*-$P$33,"")</f>
        <v>-1.1520000047227086E-4</v>
      </c>
      <c r="Q36" s="3" t="str">
        <f>IF($C$38&gt;=2,$D$44*-$Q$33,"")</f>
        <v/>
      </c>
      <c r="R36" s="3" t="str">
        <f>IF($C$38&gt;=3,$E$44*-$R$33,"")</f>
        <v/>
      </c>
      <c r="S36" s="3" t="str">
        <f>IF($C$38=4,$F$44*-$S$33,"")</f>
        <v/>
      </c>
      <c r="T36" s="24"/>
      <c r="AD36" s="262" t="str">
        <f>IF($C$9=25,"#25:","")</f>
        <v/>
      </c>
      <c r="AE36" s="222" t="str">
        <f>IF($C$9=25,$B36*0.3048,"")</f>
        <v/>
      </c>
      <c r="AF36" s="230" t="str">
        <f>IF($C$9=25,$C36*0.3048,"")</f>
        <v/>
      </c>
      <c r="AG36" s="8"/>
      <c r="AH36" s="8"/>
      <c r="AI36" s="8"/>
      <c r="AJ36" s="8"/>
      <c r="AK36" s="8"/>
    </row>
    <row r="37" spans="1:37" x14ac:dyDescent="0.25">
      <c r="A37" s="48"/>
      <c r="B37" s="54"/>
      <c r="C37" s="54"/>
      <c r="D37" s="54"/>
      <c r="E37" s="54"/>
      <c r="F37" s="54"/>
      <c r="G37" s="54"/>
      <c r="H37" s="54"/>
      <c r="I37" s="60"/>
      <c r="K37" s="20" t="s">
        <v>93</v>
      </c>
      <c r="L37" s="30">
        <f>SUM($O$5:$O$29)</f>
        <v>143.99999721600079</v>
      </c>
      <c r="O37" s="23" t="s">
        <v>14</v>
      </c>
      <c r="P37" s="3">
        <f>IF($C$38&gt;=1,$C$43*-$C$46,"")</f>
        <v>150</v>
      </c>
      <c r="Q37" s="3" t="str">
        <f>IF($C$38&gt;=2,$D$43*-$D$46,"")</f>
        <v/>
      </c>
      <c r="R37" s="3" t="str">
        <f>IF($C$38&gt;=3,$E$43*-$E$46,"")</f>
        <v/>
      </c>
      <c r="S37" s="3" t="str">
        <f>IF($C$38=4,$F$43*-$F$46,"")</f>
        <v/>
      </c>
      <c r="T37" s="24"/>
      <c r="AD37" s="8"/>
      <c r="AE37" s="8"/>
      <c r="AF37" s="8"/>
      <c r="AG37" s="8"/>
      <c r="AH37" s="8"/>
      <c r="AI37" s="8"/>
      <c r="AJ37" s="8"/>
      <c r="AK37" s="8"/>
    </row>
    <row r="38" spans="1:37" ht="12.75" customHeight="1" x14ac:dyDescent="0.25">
      <c r="A38" s="48"/>
      <c r="B38" s="50" t="s">
        <v>83</v>
      </c>
      <c r="C38" s="27">
        <v>1</v>
      </c>
      <c r="D38" s="76"/>
      <c r="E38" s="54"/>
      <c r="F38" s="54"/>
      <c r="G38" s="69" t="s">
        <v>104</v>
      </c>
      <c r="H38" s="53"/>
      <c r="I38" s="64"/>
      <c r="K38" s="20" t="s">
        <v>22</v>
      </c>
      <c r="L38" s="30">
        <f>$L$36+$L$37</f>
        <v>239.99999536000163</v>
      </c>
      <c r="O38" s="23" t="s">
        <v>15</v>
      </c>
      <c r="P38" s="3">
        <f>IF($C$38&gt;=1,$C$43*$C$45,"")</f>
        <v>-100</v>
      </c>
      <c r="Q38" s="3" t="str">
        <f>IF($C$38&gt;=2,$D$43*$D$45,"")</f>
        <v/>
      </c>
      <c r="R38" s="3" t="str">
        <f>IF($C$38&gt;=3,$E$43*$E$45,"")</f>
        <v/>
      </c>
      <c r="S38" s="3" t="str">
        <f>IF($C$38=4,$F$43*$F$45,"")</f>
        <v/>
      </c>
      <c r="T38" s="24"/>
      <c r="AD38" s="8"/>
      <c r="AE38" s="8"/>
      <c r="AF38" s="8"/>
      <c r="AG38" s="8"/>
      <c r="AH38" s="8"/>
      <c r="AI38" s="8"/>
      <c r="AJ38" s="8"/>
      <c r="AK38" s="8"/>
    </row>
    <row r="39" spans="1:37" x14ac:dyDescent="0.25">
      <c r="A39" s="48"/>
      <c r="B39" s="54"/>
      <c r="C39" s="192"/>
      <c r="D39" s="192"/>
      <c r="E39" s="192"/>
      <c r="F39" s="192"/>
      <c r="G39" s="68" t="s">
        <v>35</v>
      </c>
      <c r="H39" s="143">
        <f t="shared" ref="H39:H44" si="3">$P43</f>
        <v>-600</v>
      </c>
      <c r="I39" s="95" t="s">
        <v>33</v>
      </c>
      <c r="K39" s="20" t="s">
        <v>94</v>
      </c>
      <c r="L39" s="3">
        <f>IF(ABS(SUM($P$5:$P$29))&lt;0.0005,0,SUM($P$5:$P$29))</f>
        <v>0</v>
      </c>
      <c r="O39" s="9" t="s">
        <v>16</v>
      </c>
      <c r="P39" s="28">
        <f>IF($C$38&gt;=1,$C$45*-$P$34,"")</f>
        <v>-2.559999998652529E-6</v>
      </c>
      <c r="Q39" s="3" t="str">
        <f>IF($C$38&gt;=2,$D$45*-$Q$34,"")</f>
        <v/>
      </c>
      <c r="R39" s="28" t="str">
        <f>IF($C$38&gt;=3,$E$45*-$R$34,"")</f>
        <v/>
      </c>
      <c r="S39" s="28" t="str">
        <f>IF($C$38=4,$F$45*-$S$34,"")</f>
        <v/>
      </c>
      <c r="T39" s="24"/>
      <c r="AD39" s="8"/>
      <c r="AE39" s="8"/>
      <c r="AF39" s="8"/>
      <c r="AG39" s="8"/>
      <c r="AH39" s="8"/>
      <c r="AI39" s="8"/>
      <c r="AJ39" s="8"/>
      <c r="AK39" s="8"/>
    </row>
    <row r="40" spans="1:37" x14ac:dyDescent="0.25">
      <c r="A40" s="48"/>
      <c r="B40" s="50" t="s">
        <v>52</v>
      </c>
      <c r="C40" s="77" t="str">
        <f>IF($C$38&gt;=1,"Pier #1","")</f>
        <v>Pier #1</v>
      </c>
      <c r="D40" s="77" t="str">
        <f>IF($C$38&gt;=2,"Pier #2","")</f>
        <v/>
      </c>
      <c r="E40" s="77" t="str">
        <f>IF($C$38&gt;=3,"Pier #3","")</f>
        <v/>
      </c>
      <c r="F40" s="77" t="str">
        <f>IF($C$38=4,"Pier #4","")</f>
        <v/>
      </c>
      <c r="G40" s="68" t="s">
        <v>36</v>
      </c>
      <c r="H40" s="147">
        <f t="shared" si="3"/>
        <v>-20</v>
      </c>
      <c r="I40" s="95" t="s">
        <v>33</v>
      </c>
      <c r="K40" s="11" t="s">
        <v>23</v>
      </c>
      <c r="L40" s="4">
        <f>IF(ABS($L$36-$L$37)&lt;0.0005,IF($L$39&gt;0,-45,IF($L$39&lt;0,45,0)),DEGREES(ATAN(-2*$L$39/($L$36-$L$37))/2))</f>
        <v>0</v>
      </c>
      <c r="O40" s="9" t="s">
        <v>17</v>
      </c>
      <c r="P40" s="28">
        <f>IF($C$38&gt;=1,$C$46*$P$33,"")</f>
        <v>5.7600000236135429E-6</v>
      </c>
      <c r="Q40" s="3" t="str">
        <f>IF($C$38&gt;=2,$D$46*$Q$33,"")</f>
        <v/>
      </c>
      <c r="R40" s="28" t="str">
        <f>IF($C$38&gt;=3,$E$46*$R$33,"")</f>
        <v/>
      </c>
      <c r="S40" s="28" t="str">
        <f>IF($C$38=4,$F$46*$S$33,"")</f>
        <v/>
      </c>
      <c r="T40" s="24"/>
      <c r="AD40" s="8"/>
      <c r="AE40" s="203" t="s">
        <v>164</v>
      </c>
      <c r="AF40" s="196" t="str">
        <f>IF($C$38&gt;=1,"Pier #1","")</f>
        <v>Pier #1</v>
      </c>
      <c r="AG40" s="196" t="str">
        <f>IF($C$38&gt;=2,"Pier #2","")</f>
        <v/>
      </c>
      <c r="AH40" s="196" t="str">
        <f>IF($C$38&gt;=3,"Pier #3","")</f>
        <v/>
      </c>
      <c r="AI40" s="196" t="str">
        <f>IF($C$38=4,"Pier #4","")</f>
        <v/>
      </c>
      <c r="AJ40" s="8"/>
      <c r="AK40" s="8"/>
    </row>
    <row r="41" spans="1:37" x14ac:dyDescent="0.25">
      <c r="A41" s="78"/>
      <c r="B41" s="72" t="s">
        <v>143</v>
      </c>
      <c r="C41" s="141">
        <v>6</v>
      </c>
      <c r="D41" s="157"/>
      <c r="E41" s="141"/>
      <c r="F41" s="142"/>
      <c r="G41" s="68" t="s">
        <v>37</v>
      </c>
      <c r="H41" s="147">
        <f t="shared" si="3"/>
        <v>-30</v>
      </c>
      <c r="I41" s="95" t="s">
        <v>33</v>
      </c>
      <c r="O41" s="24"/>
      <c r="P41" s="24"/>
      <c r="Q41" s="24"/>
      <c r="R41" s="24"/>
      <c r="S41" s="24"/>
      <c r="T41" s="24"/>
      <c r="AC41" s="2"/>
      <c r="AD41" s="5"/>
      <c r="AE41" s="199" t="s">
        <v>227</v>
      </c>
      <c r="AF41" s="216">
        <f>IF($C$38&gt;=1,$C41*0.3048,"")</f>
        <v>1.8288000000000002</v>
      </c>
      <c r="AG41" s="231" t="str">
        <f>IF($C$38&gt;=2,$D41*0.3048,"")</f>
        <v/>
      </c>
      <c r="AH41" s="216" t="str">
        <f>IF($C$38&gt;=3,$E41*0.3048,"")</f>
        <v/>
      </c>
      <c r="AI41" s="228" t="str">
        <f>IF($C$38&gt;=4,$F41*0.3048,"")</f>
        <v/>
      </c>
      <c r="AJ41" s="8"/>
      <c r="AK41" s="8"/>
    </row>
    <row r="42" spans="1:37" x14ac:dyDescent="0.25">
      <c r="A42" s="48"/>
      <c r="B42" s="72" t="s">
        <v>144</v>
      </c>
      <c r="C42" s="145">
        <v>4</v>
      </c>
      <c r="D42" s="158"/>
      <c r="E42" s="145"/>
      <c r="F42" s="146"/>
      <c r="G42" s="68" t="s">
        <v>38</v>
      </c>
      <c r="H42" s="147">
        <f t="shared" si="3"/>
        <v>250</v>
      </c>
      <c r="I42" s="95" t="s">
        <v>34</v>
      </c>
      <c r="O42" s="26" t="s">
        <v>98</v>
      </c>
      <c r="Q42" s="24"/>
      <c r="R42" s="24"/>
      <c r="S42" s="24"/>
      <c r="T42" s="24"/>
      <c r="AC42" s="2"/>
      <c r="AD42" s="5"/>
      <c r="AE42" s="199" t="s">
        <v>228</v>
      </c>
      <c r="AF42" s="217">
        <f>IF($C$38&gt;=1,$C42*0.3048,"")</f>
        <v>1.2192000000000001</v>
      </c>
      <c r="AG42" s="232" t="str">
        <f>IF($C$38&gt;=2,$D42*0.3048,"")</f>
        <v/>
      </c>
      <c r="AH42" s="217" t="str">
        <f>IF($C$38&gt;=3,$E42*0.3048,"")</f>
        <v/>
      </c>
      <c r="AI42" s="229" t="str">
        <f>IF($C$38&gt;=4,$F42*0.3048,"")</f>
        <v/>
      </c>
      <c r="AJ42" s="8"/>
      <c r="AK42" s="8"/>
    </row>
    <row r="43" spans="1:37" x14ac:dyDescent="0.25">
      <c r="A43" s="45"/>
      <c r="B43" s="72" t="s">
        <v>145</v>
      </c>
      <c r="C43" s="145">
        <v>5</v>
      </c>
      <c r="D43" s="158"/>
      <c r="E43" s="145"/>
      <c r="F43" s="146"/>
      <c r="G43" s="68" t="s">
        <v>39</v>
      </c>
      <c r="H43" s="147">
        <f t="shared" si="3"/>
        <v>-250</v>
      </c>
      <c r="I43" s="95" t="s">
        <v>34</v>
      </c>
      <c r="J43" s="10"/>
      <c r="O43" s="11" t="s">
        <v>26</v>
      </c>
      <c r="P43" s="3">
        <f>SUM($C$44:$F$44)</f>
        <v>-600</v>
      </c>
      <c r="Q43" s="24" t="s">
        <v>33</v>
      </c>
      <c r="R43" s="24"/>
      <c r="S43" s="24"/>
      <c r="T43" s="24"/>
      <c r="AC43" s="2"/>
      <c r="AD43" s="5"/>
      <c r="AE43" s="199" t="s">
        <v>229</v>
      </c>
      <c r="AF43" s="217">
        <f>IF($C$38&gt;=1,$C43*0.3048,"")</f>
        <v>1.524</v>
      </c>
      <c r="AG43" s="232" t="str">
        <f>IF($C$38&gt;=2,$D43*0.3048,"")</f>
        <v/>
      </c>
      <c r="AH43" s="217" t="str">
        <f>IF($C$38&gt;=3,$E43*0.3048,"")</f>
        <v/>
      </c>
      <c r="AI43" s="229" t="str">
        <f>IF($C$38&gt;=4,$F43*0.3048,"")</f>
        <v/>
      </c>
      <c r="AJ43" s="8"/>
      <c r="AK43" s="8"/>
    </row>
    <row r="44" spans="1:37" x14ac:dyDescent="0.25">
      <c r="A44" s="78"/>
      <c r="B44" s="72" t="s">
        <v>146</v>
      </c>
      <c r="C44" s="159">
        <v>-600</v>
      </c>
      <c r="D44" s="160"/>
      <c r="E44" s="159"/>
      <c r="F44" s="161"/>
      <c r="G44" s="68" t="s">
        <v>40</v>
      </c>
      <c r="H44" s="154">
        <f t="shared" si="3"/>
        <v>0</v>
      </c>
      <c r="I44" s="95" t="s">
        <v>34</v>
      </c>
      <c r="O44" s="11" t="s">
        <v>27</v>
      </c>
      <c r="P44" s="3">
        <f>SUM($C$45:$F$45)</f>
        <v>-20</v>
      </c>
      <c r="Q44" s="24" t="s">
        <v>33</v>
      </c>
      <c r="R44" s="24"/>
      <c r="S44" s="24"/>
      <c r="T44" s="24"/>
      <c r="AC44" s="2"/>
      <c r="AD44" s="5"/>
      <c r="AE44" s="199" t="s">
        <v>230</v>
      </c>
      <c r="AF44" s="233">
        <f>IF($C$38&gt;=1,$C44*4.448222,"")</f>
        <v>-2668.9332000000004</v>
      </c>
      <c r="AG44" s="234" t="str">
        <f>IF($C$38&gt;=2,$D44*4.448222,"")</f>
        <v/>
      </c>
      <c r="AH44" s="233" t="str">
        <f>IF($C$38&gt;=3,$E44*4.448222,"")</f>
        <v/>
      </c>
      <c r="AI44" s="235" t="str">
        <f>IF($C$38&gt;=4,$F44*4.448222,"")</f>
        <v/>
      </c>
      <c r="AJ44" s="8"/>
      <c r="AK44" s="8"/>
    </row>
    <row r="45" spans="1:37" x14ac:dyDescent="0.25">
      <c r="A45" s="48"/>
      <c r="B45" s="72" t="s">
        <v>147</v>
      </c>
      <c r="C45" s="159">
        <v>-20</v>
      </c>
      <c r="D45" s="160"/>
      <c r="E45" s="159"/>
      <c r="F45" s="161"/>
      <c r="G45" s="54"/>
      <c r="H45" s="54"/>
      <c r="I45" s="60"/>
      <c r="J45" s="2"/>
      <c r="O45" s="11" t="s">
        <v>28</v>
      </c>
      <c r="P45" s="3">
        <f>SUM($C$46:$F$46)</f>
        <v>-30</v>
      </c>
      <c r="Q45" s="24" t="s">
        <v>33</v>
      </c>
      <c r="R45" s="24"/>
      <c r="S45" s="24"/>
      <c r="T45" s="24"/>
      <c r="AC45" s="2"/>
      <c r="AD45" s="5"/>
      <c r="AE45" s="199" t="s">
        <v>231</v>
      </c>
      <c r="AF45" s="233">
        <f>IF($C$38&gt;=1,$C45*4.448222,"")</f>
        <v>-88.96444000000001</v>
      </c>
      <c r="AG45" s="234" t="str">
        <f>IF($C$38&gt;=2,$D45*4.448222,"")</f>
        <v/>
      </c>
      <c r="AH45" s="233" t="str">
        <f>IF($C$38&gt;=3,$E45*4.448222,"")</f>
        <v/>
      </c>
      <c r="AI45" s="235" t="str">
        <f>IF($C$38&gt;=4,$F45*4.448222,"")</f>
        <v/>
      </c>
      <c r="AJ45" s="8"/>
      <c r="AK45" s="8"/>
    </row>
    <row r="46" spans="1:37" x14ac:dyDescent="0.25">
      <c r="A46" s="47"/>
      <c r="B46" s="72" t="s">
        <v>148</v>
      </c>
      <c r="C46" s="159">
        <v>-30</v>
      </c>
      <c r="D46" s="160"/>
      <c r="E46" s="159"/>
      <c r="F46" s="161"/>
      <c r="G46" s="52" t="s">
        <v>99</v>
      </c>
      <c r="H46" s="70"/>
      <c r="I46" s="71"/>
      <c r="J46" s="2"/>
      <c r="O46" s="11" t="s">
        <v>29</v>
      </c>
      <c r="P46" s="18">
        <f>ROUND(SUM($C$47:$F$47)+SUM($P$35:$S$35)+SUM($P$37:$S$37),2)</f>
        <v>250</v>
      </c>
      <c r="Q46" s="24" t="s">
        <v>34</v>
      </c>
      <c r="R46" s="24"/>
      <c r="S46" s="24"/>
      <c r="T46" s="24"/>
      <c r="AC46" s="2"/>
      <c r="AD46" s="5"/>
      <c r="AE46" s="199" t="s">
        <v>232</v>
      </c>
      <c r="AF46" s="233">
        <f>IF($C$38&gt;=1,$C46*4.448222,"")</f>
        <v>-133.44666000000001</v>
      </c>
      <c r="AG46" s="234" t="str">
        <f>IF($C$38&gt;=2,$D46*4.448222,"")</f>
        <v/>
      </c>
      <c r="AH46" s="233" t="str">
        <f>IF($C$38&gt;=3,$E46*4.448222,"")</f>
        <v/>
      </c>
      <c r="AI46" s="235" t="str">
        <f>IF($C$38&gt;=4,$F46*4.448222,"")</f>
        <v/>
      </c>
      <c r="AJ46" s="8"/>
      <c r="AK46" s="8"/>
    </row>
    <row r="47" spans="1:37" x14ac:dyDescent="0.25">
      <c r="A47" s="48"/>
      <c r="B47" s="72" t="s">
        <v>149</v>
      </c>
      <c r="C47" s="159">
        <v>100</v>
      </c>
      <c r="D47" s="160"/>
      <c r="E47" s="159"/>
      <c r="F47" s="161"/>
      <c r="G47" s="72" t="s">
        <v>100</v>
      </c>
      <c r="H47" s="143">
        <f>MAX($S$5:$S$29)</f>
        <v>120.83333440277765</v>
      </c>
      <c r="I47" s="96" t="s">
        <v>33</v>
      </c>
      <c r="J47" s="2"/>
      <c r="O47" s="11" t="s">
        <v>30</v>
      </c>
      <c r="P47" s="18">
        <f>ROUND(SUM($C$48:$F$48)+SUM($P$36:$S$36)+SUM($P$38:$S$38),2)</f>
        <v>-250</v>
      </c>
      <c r="Q47" s="24" t="s">
        <v>34</v>
      </c>
      <c r="R47" s="24"/>
      <c r="S47" s="24"/>
      <c r="T47" s="24"/>
      <c r="AC47" s="2"/>
      <c r="AD47" s="5"/>
      <c r="AE47" s="199" t="s">
        <v>233</v>
      </c>
      <c r="AF47" s="233">
        <f>IF($C$38&gt;=1,$C47*1.355818,"")</f>
        <v>135.58179999999999</v>
      </c>
      <c r="AG47" s="234" t="str">
        <f>IF($C$38&gt;=2,$D47*1.355818,"")</f>
        <v/>
      </c>
      <c r="AH47" s="233" t="str">
        <f>IF($C$38&gt;=3,$E47*1.355818,"")</f>
        <v/>
      </c>
      <c r="AI47" s="235" t="str">
        <f>IF($C$38&gt;=4,$F47*1.355818,"")</f>
        <v/>
      </c>
      <c r="AJ47" s="8"/>
      <c r="AK47" s="8"/>
    </row>
    <row r="48" spans="1:37" x14ac:dyDescent="0.25">
      <c r="A48" s="78"/>
      <c r="B48" s="72" t="s">
        <v>150</v>
      </c>
      <c r="C48" s="159">
        <v>-150</v>
      </c>
      <c r="D48" s="160"/>
      <c r="E48" s="159"/>
      <c r="F48" s="161"/>
      <c r="G48" s="72" t="s">
        <v>101</v>
      </c>
      <c r="H48" s="147">
        <f>MIN($S$5:$S$29)</f>
        <v>79.166665597222348</v>
      </c>
      <c r="I48" s="96" t="s">
        <v>33</v>
      </c>
      <c r="J48" s="2"/>
      <c r="O48" s="11" t="s">
        <v>31</v>
      </c>
      <c r="P48" s="29">
        <f>ROUND(SUM($C$49:$F$49)+SUM($P$39:$S$39)+SUM($P$40:$S$40),2)</f>
        <v>0</v>
      </c>
      <c r="Q48" s="24" t="s">
        <v>34</v>
      </c>
      <c r="R48" s="24"/>
      <c r="S48" s="24"/>
      <c r="T48" s="24"/>
      <c r="AC48" s="2"/>
      <c r="AD48" s="5"/>
      <c r="AE48" s="199" t="s">
        <v>234</v>
      </c>
      <c r="AF48" s="233">
        <f>IF($C$38&gt;=1,$C48*1.355818,"")</f>
        <v>-203.37270000000001</v>
      </c>
      <c r="AG48" s="234" t="str">
        <f>IF($C$38&gt;=2,$D48*1.355818,"")</f>
        <v/>
      </c>
      <c r="AH48" s="233" t="str">
        <f>IF($C$38&gt;=3,$E48*1.355818,"")</f>
        <v/>
      </c>
      <c r="AI48" s="235" t="str">
        <f>IF($C$38&gt;=4,$F48*1.355818,"")</f>
        <v/>
      </c>
      <c r="AJ48" s="8"/>
      <c r="AK48" s="8"/>
    </row>
    <row r="49" spans="1:37" x14ac:dyDescent="0.25">
      <c r="A49" s="48"/>
      <c r="B49" s="72" t="s">
        <v>151</v>
      </c>
      <c r="C49" s="162">
        <v>0</v>
      </c>
      <c r="D49" s="163"/>
      <c r="E49" s="162"/>
      <c r="F49" s="164"/>
      <c r="G49" s="73" t="s">
        <v>102</v>
      </c>
      <c r="H49" s="154">
        <f>MAX($T$5:$T$29)</f>
        <v>6.0092521257733154</v>
      </c>
      <c r="I49" s="96" t="s">
        <v>33</v>
      </c>
      <c r="AC49" s="2"/>
      <c r="AD49" s="5"/>
      <c r="AE49" s="199" t="s">
        <v>235</v>
      </c>
      <c r="AF49" s="236">
        <f>IF($C$38&gt;=1,$C49*1.355818,"")</f>
        <v>0</v>
      </c>
      <c r="AG49" s="237" t="str">
        <f>IF($C$38&gt;=2,$D49*1.355818,"")</f>
        <v/>
      </c>
      <c r="AH49" s="236" t="str">
        <f>IF($C$38&gt;=3,$E49*1.355818,"")</f>
        <v/>
      </c>
      <c r="AI49" s="238" t="str">
        <f>IF($C$38&gt;=4,$F49*1.355818,"")</f>
        <v/>
      </c>
      <c r="AJ49" s="8"/>
      <c r="AK49" s="8"/>
    </row>
    <row r="50" spans="1:37" x14ac:dyDescent="0.25">
      <c r="A50" s="79"/>
      <c r="B50" s="106"/>
      <c r="C50" s="106"/>
      <c r="D50" s="106"/>
      <c r="E50" s="106"/>
      <c r="F50" s="106"/>
      <c r="G50" s="106"/>
      <c r="H50" s="106"/>
      <c r="I50" s="118"/>
      <c r="AD50" s="8"/>
      <c r="AE50" s="8"/>
      <c r="AF50" s="8"/>
      <c r="AG50" s="8"/>
      <c r="AH50" s="8"/>
      <c r="AI50" s="8"/>
      <c r="AJ50" s="8"/>
      <c r="AK50" s="8"/>
    </row>
    <row r="51" spans="1:37" x14ac:dyDescent="0.25">
      <c r="A51" s="54"/>
      <c r="B51" s="54"/>
      <c r="C51" s="54"/>
      <c r="D51" s="54"/>
      <c r="E51" s="54"/>
      <c r="F51" s="54"/>
      <c r="G51" s="54"/>
      <c r="H51" s="54"/>
      <c r="I51" s="54"/>
      <c r="AD51" s="8"/>
      <c r="AE51" s="8"/>
      <c r="AF51" s="8"/>
      <c r="AG51" s="8"/>
      <c r="AH51" s="8"/>
      <c r="AI51" s="8"/>
      <c r="AJ51" s="8"/>
      <c r="AK51" s="8"/>
    </row>
    <row r="52" spans="1:37" x14ac:dyDescent="0.25">
      <c r="A52" s="80"/>
      <c r="B52" s="81"/>
      <c r="C52" s="82"/>
      <c r="D52" s="82"/>
      <c r="E52" s="54"/>
      <c r="F52" s="54"/>
      <c r="G52" s="54"/>
      <c r="H52" s="83"/>
      <c r="I52" s="54"/>
      <c r="AD52" s="197" t="s">
        <v>181</v>
      </c>
      <c r="AE52" s="198"/>
      <c r="AF52" s="198"/>
      <c r="AG52" s="198"/>
      <c r="AH52" s="198"/>
      <c r="AI52" s="198"/>
    </row>
    <row r="53" spans="1:37" x14ac:dyDescent="0.25">
      <c r="A53" s="84"/>
      <c r="B53" s="54"/>
      <c r="C53" s="54"/>
      <c r="D53" s="54"/>
      <c r="E53" s="54"/>
      <c r="F53" s="54"/>
      <c r="G53" s="54"/>
      <c r="H53" s="54"/>
      <c r="I53" s="54"/>
      <c r="AD53" s="201"/>
      <c r="AE53" s="201"/>
      <c r="AF53" s="201"/>
      <c r="AG53" s="201"/>
      <c r="AH53" s="201"/>
      <c r="AI53" s="201"/>
    </row>
    <row r="54" spans="1:37" x14ac:dyDescent="0.25">
      <c r="A54" s="74"/>
      <c r="B54" s="85"/>
      <c r="C54" s="54"/>
      <c r="D54" s="54"/>
      <c r="E54" s="54"/>
      <c r="F54" s="54"/>
      <c r="G54" s="54"/>
      <c r="H54" s="72"/>
      <c r="I54" s="54"/>
      <c r="AD54" s="223" t="s">
        <v>236</v>
      </c>
      <c r="AE54" s="204"/>
      <c r="AF54" s="205"/>
      <c r="AG54" s="205"/>
      <c r="AH54" s="205"/>
      <c r="AI54" s="205"/>
    </row>
    <row r="55" spans="1:37" x14ac:dyDescent="0.25">
      <c r="A55" s="74"/>
      <c r="B55" s="85"/>
      <c r="C55" s="54"/>
      <c r="D55" s="54"/>
      <c r="E55" s="54"/>
      <c r="F55" s="54"/>
      <c r="G55" s="54"/>
      <c r="H55" s="54"/>
      <c r="I55" s="74"/>
      <c r="AD55" s="241" t="s">
        <v>237</v>
      </c>
      <c r="AE55" s="204"/>
      <c r="AF55" s="202"/>
      <c r="AG55" s="202"/>
      <c r="AH55" s="202"/>
      <c r="AI55" s="202"/>
    </row>
    <row r="56" spans="1:37" x14ac:dyDescent="0.25">
      <c r="A56" s="74"/>
      <c r="B56" s="74"/>
      <c r="C56" s="74"/>
      <c r="D56" s="74"/>
      <c r="E56" s="74"/>
      <c r="F56" s="74"/>
      <c r="G56" s="74"/>
      <c r="H56" s="74"/>
      <c r="I56" s="74"/>
      <c r="AD56" s="200"/>
      <c r="AE56" s="200"/>
      <c r="AF56" s="200"/>
      <c r="AG56" s="200"/>
      <c r="AH56" s="200"/>
      <c r="AI56" s="200"/>
    </row>
    <row r="57" spans="1:37" x14ac:dyDescent="0.25">
      <c r="A57" s="74"/>
      <c r="B57" s="74"/>
      <c r="C57" s="74"/>
      <c r="D57" s="74"/>
      <c r="E57" s="74"/>
      <c r="F57" s="74"/>
      <c r="G57" s="74"/>
      <c r="H57" s="74"/>
      <c r="I57" s="54"/>
      <c r="AD57" s="223" t="s">
        <v>190</v>
      </c>
      <c r="AE57" s="200"/>
      <c r="AF57" s="200"/>
      <c r="AG57" s="200"/>
      <c r="AH57" s="200"/>
      <c r="AI57" s="200"/>
    </row>
    <row r="58" spans="1:37" x14ac:dyDescent="0.25">
      <c r="A58" s="74"/>
      <c r="B58" s="74"/>
      <c r="C58" s="74"/>
      <c r="D58" s="74"/>
      <c r="E58" s="74"/>
      <c r="F58" s="74"/>
      <c r="G58" s="74"/>
      <c r="H58" s="54"/>
      <c r="I58" s="54"/>
      <c r="AD58" s="202"/>
      <c r="AE58" s="206"/>
      <c r="AF58" s="199" t="s">
        <v>182</v>
      </c>
      <c r="AG58" s="207">
        <v>8</v>
      </c>
      <c r="AH58" s="200"/>
      <c r="AI58" s="200"/>
    </row>
    <row r="59" spans="1:37" x14ac:dyDescent="0.25">
      <c r="A59" s="54"/>
      <c r="B59" s="54"/>
      <c r="C59" s="54"/>
      <c r="D59" s="54"/>
      <c r="E59" s="54"/>
      <c r="F59" s="54"/>
      <c r="G59" s="54"/>
      <c r="H59" s="54"/>
      <c r="I59" s="54"/>
      <c r="AD59" s="202"/>
      <c r="AE59" s="200"/>
      <c r="AF59" s="208" t="s">
        <v>183</v>
      </c>
      <c r="AG59" s="209">
        <v>24</v>
      </c>
      <c r="AH59" s="210" t="s">
        <v>42</v>
      </c>
      <c r="AI59" s="200"/>
    </row>
    <row r="60" spans="1:37" x14ac:dyDescent="0.25">
      <c r="A60" s="86"/>
      <c r="B60" s="54"/>
      <c r="C60" s="54"/>
      <c r="D60" s="54"/>
      <c r="E60" s="54"/>
      <c r="F60" s="54"/>
      <c r="G60" s="54"/>
      <c r="H60" s="54"/>
      <c r="I60" s="54"/>
      <c r="AD60" s="200"/>
      <c r="AE60" s="200"/>
      <c r="AF60" s="208" t="s">
        <v>175</v>
      </c>
      <c r="AG60" s="209">
        <v>12</v>
      </c>
      <c r="AH60" s="210" t="s">
        <v>42</v>
      </c>
      <c r="AI60" s="200" t="str">
        <f>IF($AG$60&lt;$AG$59/2,"Xo MUST BE &gt;= Dc/2","")</f>
        <v/>
      </c>
    </row>
    <row r="61" spans="1:37" x14ac:dyDescent="0.25">
      <c r="A61" s="54"/>
      <c r="B61" s="54"/>
      <c r="C61" s="54"/>
      <c r="D61" s="54"/>
      <c r="E61" s="54"/>
      <c r="F61" s="54"/>
      <c r="G61" s="54"/>
      <c r="H61" s="54"/>
      <c r="I61" s="54"/>
      <c r="AD61" s="200"/>
      <c r="AE61" s="200"/>
      <c r="AF61" s="208" t="s">
        <v>176</v>
      </c>
      <c r="AG61" s="209">
        <v>12</v>
      </c>
      <c r="AH61" s="210" t="s">
        <v>42</v>
      </c>
      <c r="AI61" s="200" t="str">
        <f>IF($AG$61&lt;$AG$59/2,"Yo MUST BE &gt;= Dc/2","")</f>
        <v/>
      </c>
    </row>
    <row r="62" spans="1:37" x14ac:dyDescent="0.25">
      <c r="A62" s="87"/>
      <c r="B62" s="53"/>
      <c r="C62" s="53"/>
      <c r="D62" s="53"/>
      <c r="E62" s="88"/>
      <c r="F62" s="54"/>
      <c r="G62" s="54"/>
      <c r="H62" s="54"/>
      <c r="I62" s="54"/>
      <c r="AD62" s="200"/>
      <c r="AE62" s="200"/>
      <c r="AF62" s="211" t="s">
        <v>184</v>
      </c>
      <c r="AG62" s="212">
        <v>0</v>
      </c>
      <c r="AH62" s="210" t="s">
        <v>44</v>
      </c>
      <c r="AI62" s="200"/>
    </row>
    <row r="63" spans="1:37" x14ac:dyDescent="0.25">
      <c r="A63" s="54"/>
      <c r="B63" s="54"/>
      <c r="C63" s="54"/>
      <c r="D63" s="54"/>
      <c r="E63" s="54"/>
      <c r="F63" s="54"/>
      <c r="G63" s="54"/>
      <c r="H63" s="54"/>
      <c r="I63" s="54"/>
      <c r="AD63" s="200"/>
      <c r="AE63" s="200"/>
      <c r="AF63" s="200"/>
      <c r="AG63" s="200"/>
      <c r="AH63" s="200"/>
      <c r="AI63" s="200"/>
    </row>
    <row r="64" spans="1:37" x14ac:dyDescent="0.25">
      <c r="A64" s="54"/>
      <c r="B64" s="54"/>
      <c r="C64" s="54"/>
      <c r="D64" s="54"/>
      <c r="E64" s="54"/>
      <c r="F64" s="54"/>
      <c r="G64" s="54"/>
      <c r="H64" s="54"/>
      <c r="I64" s="54"/>
      <c r="AD64" s="196"/>
      <c r="AE64" s="201"/>
      <c r="AF64" s="213" t="s">
        <v>53</v>
      </c>
      <c r="AG64" s="214"/>
      <c r="AH64" s="202"/>
      <c r="AI64" s="202"/>
    </row>
    <row r="65" spans="1:35" x14ac:dyDescent="0.25">
      <c r="A65" s="54"/>
      <c r="B65" s="54"/>
      <c r="C65" s="54"/>
      <c r="D65" s="54"/>
      <c r="E65" s="54"/>
      <c r="F65" s="54"/>
      <c r="G65" s="54"/>
      <c r="H65" s="54"/>
      <c r="I65" s="54"/>
      <c r="AD65" s="196"/>
      <c r="AE65" s="201"/>
      <c r="AF65" s="195" t="s">
        <v>185</v>
      </c>
      <c r="AG65" s="195" t="s">
        <v>186</v>
      </c>
      <c r="AH65" s="202"/>
      <c r="AI65" s="202"/>
    </row>
    <row r="66" spans="1:35" x14ac:dyDescent="0.25">
      <c r="A66" s="72"/>
      <c r="B66" s="81"/>
      <c r="C66" s="54"/>
      <c r="D66" s="82"/>
      <c r="E66" s="81"/>
      <c r="F66" s="54"/>
      <c r="G66" s="76"/>
      <c r="H66" s="54"/>
      <c r="I66" s="54"/>
      <c r="AD66" s="208"/>
      <c r="AE66" s="215">
        <f>IF($AG$58&gt;=1,1,"")</f>
        <v>1</v>
      </c>
      <c r="AF66" s="216">
        <f t="shared" ref="AF66:AF90" si="4">IF($AE66&lt;&gt;"",$AG$60+($AG$59)*COS( PI()/180*($AG$62+($AE66-1)*360/$AG$58))/2,"")</f>
        <v>24</v>
      </c>
      <c r="AG66" s="216">
        <f t="shared" ref="AG66:AG90" si="5">IF($AE66&lt;&gt;"",$AG$61+($AG$59)*SIN( PI()/180*($AG$62+($AE66-1)*360/$AG$58))/2,"")</f>
        <v>12</v>
      </c>
      <c r="AH66" s="202"/>
      <c r="AI66" s="202"/>
    </row>
    <row r="67" spans="1:35" x14ac:dyDescent="0.25">
      <c r="A67" s="54"/>
      <c r="B67" s="54"/>
      <c r="C67" s="54"/>
      <c r="D67" s="54"/>
      <c r="E67" s="54"/>
      <c r="F67" s="54"/>
      <c r="G67" s="54"/>
      <c r="H67" s="54"/>
      <c r="I67" s="54"/>
      <c r="AD67" s="208"/>
      <c r="AE67" s="215">
        <f>IF($AG$58&gt;=2,2,"")</f>
        <v>2</v>
      </c>
      <c r="AF67" s="217">
        <f t="shared" si="4"/>
        <v>20.485281374238571</v>
      </c>
      <c r="AG67" s="217">
        <f t="shared" si="5"/>
        <v>20.485281374238568</v>
      </c>
      <c r="AH67" s="202"/>
      <c r="AI67" s="202"/>
    </row>
    <row r="68" spans="1:35" x14ac:dyDescent="0.25">
      <c r="A68" s="86"/>
      <c r="B68" s="54"/>
      <c r="C68" s="54"/>
      <c r="D68" s="54"/>
      <c r="E68" s="54"/>
      <c r="F68" s="54"/>
      <c r="G68" s="54"/>
      <c r="H68" s="54"/>
      <c r="I68" s="54"/>
      <c r="AD68" s="208"/>
      <c r="AE68" s="215">
        <f>IF($AG$58&gt;=3,3,"")</f>
        <v>3</v>
      </c>
      <c r="AF68" s="217">
        <f t="shared" si="4"/>
        <v>12</v>
      </c>
      <c r="AG68" s="217">
        <f t="shared" si="5"/>
        <v>24</v>
      </c>
      <c r="AH68" s="202"/>
      <c r="AI68" s="202"/>
    </row>
    <row r="69" spans="1:35" x14ac:dyDescent="0.25">
      <c r="A69" s="89"/>
      <c r="B69" s="54"/>
      <c r="C69" s="54"/>
      <c r="D69" s="54"/>
      <c r="E69" s="54"/>
      <c r="F69" s="54"/>
      <c r="G69" s="54"/>
      <c r="H69" s="54"/>
      <c r="I69" s="54"/>
      <c r="AD69" s="208"/>
      <c r="AE69" s="215">
        <f>IF($AG$58&gt;=4,4,"")</f>
        <v>4</v>
      </c>
      <c r="AF69" s="217">
        <f t="shared" si="4"/>
        <v>3.5147186257614305</v>
      </c>
      <c r="AG69" s="217">
        <f t="shared" si="5"/>
        <v>20.485281374238571</v>
      </c>
      <c r="AH69" s="202"/>
      <c r="AI69" s="202"/>
    </row>
    <row r="70" spans="1:35" x14ac:dyDescent="0.25">
      <c r="A70" s="72"/>
      <c r="B70" s="54"/>
      <c r="C70" s="54"/>
      <c r="D70" s="88"/>
      <c r="E70" s="54"/>
      <c r="F70" s="54"/>
      <c r="G70" s="54"/>
      <c r="H70" s="54"/>
      <c r="I70" s="54"/>
      <c r="AD70" s="208"/>
      <c r="AE70" s="215">
        <f>IF($AG$58&gt;=5,5,"")</f>
        <v>5</v>
      </c>
      <c r="AF70" s="217">
        <f t="shared" si="4"/>
        <v>0</v>
      </c>
      <c r="AG70" s="217">
        <f t="shared" si="5"/>
        <v>12.000000000000002</v>
      </c>
      <c r="AH70" s="202"/>
      <c r="AI70" s="202"/>
    </row>
    <row r="71" spans="1:35" x14ac:dyDescent="0.25">
      <c r="A71" s="54"/>
      <c r="B71" s="54"/>
      <c r="C71" s="54"/>
      <c r="D71" s="54"/>
      <c r="E71" s="54"/>
      <c r="F71" s="54"/>
      <c r="G71" s="54"/>
      <c r="H71" s="54"/>
      <c r="I71" s="54"/>
      <c r="AD71" s="208"/>
      <c r="AE71" s="215">
        <f>IF($AG$58&gt;=6,6,"")</f>
        <v>6</v>
      </c>
      <c r="AF71" s="217">
        <f t="shared" si="4"/>
        <v>3.5147186257614287</v>
      </c>
      <c r="AG71" s="217">
        <f t="shared" si="5"/>
        <v>3.5147186257614305</v>
      </c>
      <c r="AH71" s="202"/>
      <c r="AI71" s="202"/>
    </row>
    <row r="72" spans="1:35" x14ac:dyDescent="0.25">
      <c r="A72" s="54"/>
      <c r="B72" s="54"/>
      <c r="C72" s="54"/>
      <c r="D72" s="54"/>
      <c r="E72" s="54"/>
      <c r="F72" s="54"/>
      <c r="G72" s="54"/>
      <c r="H72" s="54"/>
      <c r="I72" s="54"/>
      <c r="AD72" s="208"/>
      <c r="AE72" s="215">
        <f>IF($AG$58&gt;=7,7,"")</f>
        <v>7</v>
      </c>
      <c r="AF72" s="217">
        <f t="shared" si="4"/>
        <v>11.999999999999998</v>
      </c>
      <c r="AG72" s="217">
        <f t="shared" si="5"/>
        <v>0</v>
      </c>
      <c r="AH72" s="202"/>
      <c r="AI72" s="202"/>
    </row>
    <row r="73" spans="1:35" x14ac:dyDescent="0.25">
      <c r="A73" s="54"/>
      <c r="B73" s="54"/>
      <c r="C73" s="54"/>
      <c r="D73" s="54"/>
      <c r="E73" s="54"/>
      <c r="F73" s="54"/>
      <c r="G73" s="54"/>
      <c r="H73" s="54"/>
      <c r="I73" s="54"/>
      <c r="AD73" s="208"/>
      <c r="AE73" s="215">
        <f>IF($AG$58&gt;=8,8,"")</f>
        <v>8</v>
      </c>
      <c r="AF73" s="217">
        <f t="shared" si="4"/>
        <v>20.485281374238568</v>
      </c>
      <c r="AG73" s="217">
        <f t="shared" si="5"/>
        <v>3.5147186257614287</v>
      </c>
      <c r="AH73" s="202"/>
      <c r="AI73" s="200"/>
    </row>
    <row r="74" spans="1:35" x14ac:dyDescent="0.25">
      <c r="A74" s="54"/>
      <c r="B74" s="54"/>
      <c r="C74" s="54"/>
      <c r="D74" s="54"/>
      <c r="E74" s="54"/>
      <c r="F74" s="54"/>
      <c r="G74" s="54"/>
      <c r="H74" s="54"/>
      <c r="I74" s="54"/>
      <c r="AD74" s="208"/>
      <c r="AE74" s="215" t="str">
        <f>IF($AG$58&gt;=9,9,"")</f>
        <v/>
      </c>
      <c r="AF74" s="217" t="str">
        <f t="shared" si="4"/>
        <v/>
      </c>
      <c r="AG74" s="217" t="str">
        <f t="shared" si="5"/>
        <v/>
      </c>
      <c r="AH74" s="202"/>
      <c r="AI74" s="200"/>
    </row>
    <row r="75" spans="1:35" x14ac:dyDescent="0.25">
      <c r="A75" s="54"/>
      <c r="B75" s="54"/>
      <c r="C75" s="54"/>
      <c r="D75" s="54"/>
      <c r="E75" s="54"/>
      <c r="F75" s="54"/>
      <c r="G75" s="54"/>
      <c r="H75" s="54"/>
      <c r="I75" s="54"/>
      <c r="AD75" s="208"/>
      <c r="AE75" s="215" t="str">
        <f>IF($AG$58&gt;=10,10,"")</f>
        <v/>
      </c>
      <c r="AF75" s="217" t="str">
        <f t="shared" si="4"/>
        <v/>
      </c>
      <c r="AG75" s="217" t="str">
        <f t="shared" si="5"/>
        <v/>
      </c>
      <c r="AH75" s="202"/>
      <c r="AI75" s="202"/>
    </row>
    <row r="76" spans="1:35" x14ac:dyDescent="0.25">
      <c r="A76" s="54"/>
      <c r="B76" s="54"/>
      <c r="C76" s="54"/>
      <c r="D76" s="54"/>
      <c r="E76" s="54"/>
      <c r="F76" s="54"/>
      <c r="G76" s="54"/>
      <c r="H76" s="54"/>
      <c r="I76" s="54"/>
      <c r="AD76" s="208"/>
      <c r="AE76" s="215" t="str">
        <f>IF($AG$58&gt;=11,11,"")</f>
        <v/>
      </c>
      <c r="AF76" s="217" t="str">
        <f t="shared" si="4"/>
        <v/>
      </c>
      <c r="AG76" s="217" t="str">
        <f t="shared" si="5"/>
        <v/>
      </c>
      <c r="AH76" s="202"/>
      <c r="AI76" s="202"/>
    </row>
    <row r="77" spans="1:35" x14ac:dyDescent="0.25">
      <c r="A77" s="54"/>
      <c r="B77" s="54"/>
      <c r="C77" s="54"/>
      <c r="D77" s="54"/>
      <c r="E77" s="54"/>
      <c r="F77" s="54"/>
      <c r="G77" s="54"/>
      <c r="H77" s="54"/>
      <c r="I77" s="54"/>
      <c r="AD77" s="208"/>
      <c r="AE77" s="215" t="str">
        <f>IF($AG$58&gt;=12,12,"")</f>
        <v/>
      </c>
      <c r="AF77" s="217" t="str">
        <f t="shared" si="4"/>
        <v/>
      </c>
      <c r="AG77" s="217" t="str">
        <f t="shared" si="5"/>
        <v/>
      </c>
      <c r="AH77" s="202"/>
      <c r="AI77" s="194" t="s">
        <v>177</v>
      </c>
    </row>
    <row r="78" spans="1:35" x14ac:dyDescent="0.25">
      <c r="A78" s="54"/>
      <c r="B78" s="54"/>
      <c r="C78" s="54"/>
      <c r="D78" s="54"/>
      <c r="E78" s="54"/>
      <c r="F78" s="54"/>
      <c r="G78" s="54"/>
      <c r="H78" s="54"/>
      <c r="I78" s="54"/>
      <c r="AD78" s="208"/>
      <c r="AE78" s="215" t="str">
        <f>IF($AG$58&gt;=13,13,"")</f>
        <v/>
      </c>
      <c r="AF78" s="217" t="str">
        <f t="shared" si="4"/>
        <v/>
      </c>
      <c r="AG78" s="217" t="str">
        <f t="shared" si="5"/>
        <v/>
      </c>
      <c r="AH78" s="202"/>
      <c r="AI78" s="194" t="s">
        <v>178</v>
      </c>
    </row>
    <row r="79" spans="1:35" x14ac:dyDescent="0.25">
      <c r="A79" s="54"/>
      <c r="B79" s="54"/>
      <c r="C79" s="54"/>
      <c r="D79" s="54"/>
      <c r="E79" s="54"/>
      <c r="F79" s="54"/>
      <c r="G79" s="54"/>
      <c r="H79" s="54"/>
      <c r="I79" s="54"/>
      <c r="AD79" s="208"/>
      <c r="AE79" s="215" t="str">
        <f>IF($AG$58&gt;=14,14,"")</f>
        <v/>
      </c>
      <c r="AF79" s="217" t="str">
        <f t="shared" si="4"/>
        <v/>
      </c>
      <c r="AG79" s="217" t="str">
        <f t="shared" si="5"/>
        <v/>
      </c>
      <c r="AH79" s="202"/>
      <c r="AI79" s="202"/>
    </row>
    <row r="80" spans="1:35" x14ac:dyDescent="0.25">
      <c r="A80" s="54"/>
      <c r="B80" s="54"/>
      <c r="C80" s="54"/>
      <c r="D80" s="54"/>
      <c r="E80" s="54"/>
      <c r="F80" s="54"/>
      <c r="G80" s="54"/>
      <c r="H80" s="54"/>
      <c r="I80" s="54"/>
      <c r="AD80" s="208"/>
      <c r="AE80" s="215" t="str">
        <f>IF($AG$58&gt;=15,15,"")</f>
        <v/>
      </c>
      <c r="AF80" s="217" t="str">
        <f t="shared" si="4"/>
        <v/>
      </c>
      <c r="AG80" s="217" t="str">
        <f t="shared" si="5"/>
        <v/>
      </c>
      <c r="AH80" s="202"/>
      <c r="AI80" s="202"/>
    </row>
    <row r="81" spans="1:35" x14ac:dyDescent="0.25">
      <c r="A81" s="54"/>
      <c r="B81" s="54"/>
      <c r="C81" s="54"/>
      <c r="D81" s="54"/>
      <c r="E81" s="54"/>
      <c r="F81" s="54"/>
      <c r="G81" s="54"/>
      <c r="H81" s="54"/>
      <c r="I81" s="54"/>
      <c r="AD81" s="208"/>
      <c r="AE81" s="215" t="str">
        <f>IF($AG$58&gt;=16,16,"")</f>
        <v/>
      </c>
      <c r="AF81" s="217" t="str">
        <f t="shared" si="4"/>
        <v/>
      </c>
      <c r="AG81" s="217" t="str">
        <f t="shared" si="5"/>
        <v/>
      </c>
      <c r="AH81" s="202"/>
      <c r="AI81" s="202"/>
    </row>
    <row r="82" spans="1:35" x14ac:dyDescent="0.25">
      <c r="A82" s="54"/>
      <c r="B82" s="54"/>
      <c r="C82" s="54"/>
      <c r="D82" s="54"/>
      <c r="E82" s="54"/>
      <c r="F82" s="54"/>
      <c r="G82" s="54"/>
      <c r="H82" s="54"/>
      <c r="I82" s="54"/>
      <c r="AD82" s="208"/>
      <c r="AE82" s="215" t="str">
        <f>IF($AG$58&gt;=17,17,"")</f>
        <v/>
      </c>
      <c r="AF82" s="217" t="str">
        <f t="shared" si="4"/>
        <v/>
      </c>
      <c r="AG82" s="217" t="str">
        <f t="shared" si="5"/>
        <v/>
      </c>
      <c r="AH82" s="202"/>
      <c r="AI82" s="202"/>
    </row>
    <row r="83" spans="1:35" x14ac:dyDescent="0.25">
      <c r="A83" s="54"/>
      <c r="B83" s="54"/>
      <c r="C83" s="54"/>
      <c r="D83" s="54"/>
      <c r="E83" s="54"/>
      <c r="F83" s="54"/>
      <c r="G83" s="54"/>
      <c r="H83" s="54"/>
      <c r="I83" s="54"/>
      <c r="AD83" s="208"/>
      <c r="AE83" s="215" t="str">
        <f>IF($AG$58&gt;=18,18,"")</f>
        <v/>
      </c>
      <c r="AF83" s="217" t="str">
        <f t="shared" si="4"/>
        <v/>
      </c>
      <c r="AG83" s="217" t="str">
        <f t="shared" si="5"/>
        <v/>
      </c>
      <c r="AH83" s="200"/>
      <c r="AI83" s="200"/>
    </row>
    <row r="84" spans="1:35" x14ac:dyDescent="0.25">
      <c r="A84" s="54"/>
      <c r="B84" s="54"/>
      <c r="C84" s="54"/>
      <c r="D84" s="54"/>
      <c r="E84" s="54"/>
      <c r="F84" s="54"/>
      <c r="G84" s="54"/>
      <c r="H84" s="54"/>
      <c r="I84" s="54"/>
      <c r="AD84" s="208"/>
      <c r="AE84" s="215" t="str">
        <f>IF($AG$58&gt;=19,19,"")</f>
        <v/>
      </c>
      <c r="AF84" s="217" t="str">
        <f t="shared" si="4"/>
        <v/>
      </c>
      <c r="AG84" s="217" t="str">
        <f t="shared" si="5"/>
        <v/>
      </c>
      <c r="AH84" s="200"/>
      <c r="AI84" s="200"/>
    </row>
    <row r="85" spans="1:35" x14ac:dyDescent="0.25">
      <c r="A85" s="54"/>
      <c r="B85" s="54"/>
      <c r="C85" s="54"/>
      <c r="D85" s="54"/>
      <c r="E85" s="54"/>
      <c r="F85" s="54"/>
      <c r="G85" s="54"/>
      <c r="H85" s="54"/>
      <c r="I85" s="54"/>
      <c r="AD85" s="208"/>
      <c r="AE85" s="215" t="str">
        <f>IF($AG$58&gt;=20,20,"")</f>
        <v/>
      </c>
      <c r="AF85" s="217" t="str">
        <f t="shared" si="4"/>
        <v/>
      </c>
      <c r="AG85" s="217" t="str">
        <f t="shared" si="5"/>
        <v/>
      </c>
      <c r="AH85" s="200"/>
      <c r="AI85" s="200"/>
    </row>
    <row r="86" spans="1:35" x14ac:dyDescent="0.25">
      <c r="A86" s="54"/>
      <c r="B86" s="54"/>
      <c r="C86" s="54"/>
      <c r="D86" s="54"/>
      <c r="E86" s="54"/>
      <c r="F86" s="54"/>
      <c r="G86" s="54"/>
      <c r="H86" s="54"/>
      <c r="I86" s="54"/>
      <c r="AD86" s="208"/>
      <c r="AE86" s="215" t="str">
        <f>IF($AG$58&gt;=21,21,"")</f>
        <v/>
      </c>
      <c r="AF86" s="217" t="str">
        <f t="shared" si="4"/>
        <v/>
      </c>
      <c r="AG86" s="217" t="str">
        <f t="shared" si="5"/>
        <v/>
      </c>
      <c r="AH86" s="206"/>
      <c r="AI86" s="218"/>
    </row>
    <row r="87" spans="1:35" x14ac:dyDescent="0.25">
      <c r="A87" s="54"/>
      <c r="B87" s="54"/>
      <c r="C87" s="54"/>
      <c r="D87" s="54"/>
      <c r="E87" s="54"/>
      <c r="F87" s="54"/>
      <c r="G87" s="54"/>
      <c r="H87" s="54"/>
      <c r="I87" s="54"/>
      <c r="AD87" s="208"/>
      <c r="AE87" s="215" t="str">
        <f>IF($AG$58&gt;=22,22,"")</f>
        <v/>
      </c>
      <c r="AF87" s="217" t="str">
        <f t="shared" si="4"/>
        <v/>
      </c>
      <c r="AG87" s="217" t="str">
        <f t="shared" si="5"/>
        <v/>
      </c>
      <c r="AH87" s="219"/>
      <c r="AI87" s="220"/>
    </row>
    <row r="88" spans="1:35" x14ac:dyDescent="0.25">
      <c r="A88" s="54"/>
      <c r="B88" s="54"/>
      <c r="C88" s="54"/>
      <c r="D88" s="54"/>
      <c r="E88" s="54"/>
      <c r="F88" s="54"/>
      <c r="G88" s="54"/>
      <c r="H88" s="54"/>
      <c r="I88" s="54"/>
      <c r="AD88" s="208"/>
      <c r="AE88" s="215" t="str">
        <f>IF($AG$58&gt;=23,23,"")</f>
        <v/>
      </c>
      <c r="AF88" s="217" t="str">
        <f t="shared" si="4"/>
        <v/>
      </c>
      <c r="AG88" s="217" t="str">
        <f t="shared" si="5"/>
        <v/>
      </c>
      <c r="AH88" s="219"/>
      <c r="AI88" s="220"/>
    </row>
    <row r="89" spans="1:35" x14ac:dyDescent="0.25">
      <c r="A89" s="54"/>
      <c r="B89" s="54"/>
      <c r="C89" s="54"/>
      <c r="D89" s="54"/>
      <c r="E89" s="54"/>
      <c r="F89" s="54"/>
      <c r="G89" s="54"/>
      <c r="H89" s="54"/>
      <c r="I89" s="54"/>
      <c r="AD89" s="208"/>
      <c r="AE89" s="215" t="str">
        <f>IF($AG$58&gt;=24,24,"")</f>
        <v/>
      </c>
      <c r="AF89" s="221" t="str">
        <f t="shared" si="4"/>
        <v/>
      </c>
      <c r="AG89" s="221" t="str">
        <f t="shared" si="5"/>
        <v/>
      </c>
      <c r="AH89" s="200"/>
      <c r="AI89" s="200"/>
    </row>
    <row r="90" spans="1:35" x14ac:dyDescent="0.25">
      <c r="A90" s="54"/>
      <c r="B90" s="54"/>
      <c r="C90" s="54"/>
      <c r="D90" s="54"/>
      <c r="E90" s="54"/>
      <c r="F90" s="54"/>
      <c r="G90" s="54"/>
      <c r="H90" s="54"/>
      <c r="I90" s="54"/>
      <c r="AD90" s="208"/>
      <c r="AE90" s="215" t="str">
        <f>IF($AG$58=25,25,"")</f>
        <v/>
      </c>
      <c r="AF90" s="222" t="str">
        <f t="shared" si="4"/>
        <v/>
      </c>
      <c r="AG90" s="222" t="str">
        <f t="shared" si="5"/>
        <v/>
      </c>
      <c r="AH90" s="200"/>
      <c r="AI90" s="200"/>
    </row>
    <row r="91" spans="1:35" x14ac:dyDescent="0.25">
      <c r="A91" s="54"/>
      <c r="B91" s="54"/>
      <c r="C91" s="54"/>
      <c r="D91" s="54"/>
      <c r="E91" s="54"/>
      <c r="F91" s="54"/>
      <c r="G91" s="54"/>
      <c r="H91" s="54"/>
      <c r="I91" s="54"/>
      <c r="AD91" s="193"/>
      <c r="AE91" s="200"/>
      <c r="AF91" s="200"/>
      <c r="AG91" s="200"/>
      <c r="AH91" s="200"/>
      <c r="AI91" s="200"/>
    </row>
    <row r="92" spans="1:35" x14ac:dyDescent="0.25">
      <c r="A92" s="54"/>
      <c r="B92" s="54"/>
      <c r="C92" s="54"/>
      <c r="D92" s="54"/>
      <c r="E92" s="54"/>
      <c r="F92" s="54"/>
      <c r="G92" s="54"/>
      <c r="H92" s="54"/>
      <c r="I92" s="54"/>
      <c r="AD92" s="223" t="s">
        <v>194</v>
      </c>
      <c r="AE92" s="202"/>
      <c r="AF92" s="202"/>
      <c r="AG92" s="202"/>
      <c r="AH92" s="202"/>
      <c r="AI92" s="202"/>
    </row>
    <row r="93" spans="1:35" x14ac:dyDescent="0.25">
      <c r="A93" s="54"/>
      <c r="B93" s="54"/>
      <c r="C93" s="54"/>
      <c r="D93" s="54"/>
      <c r="E93" s="54"/>
      <c r="F93" s="54"/>
      <c r="G93" s="54"/>
      <c r="H93" s="54"/>
      <c r="I93" s="54"/>
      <c r="AD93" s="224" t="s">
        <v>179</v>
      </c>
      <c r="AE93" s="202"/>
      <c r="AF93" s="202"/>
      <c r="AG93" s="202"/>
      <c r="AH93" s="202"/>
      <c r="AI93" s="202"/>
    </row>
    <row r="94" spans="1:35" x14ac:dyDescent="0.25">
      <c r="A94" s="54"/>
      <c r="B94" s="54"/>
      <c r="C94" s="54"/>
      <c r="D94" s="54"/>
      <c r="E94" s="54"/>
      <c r="F94" s="54"/>
      <c r="G94" s="54"/>
      <c r="H94" s="54"/>
      <c r="I94" s="54"/>
      <c r="AD94" s="224" t="s">
        <v>187</v>
      </c>
      <c r="AE94" s="202"/>
      <c r="AF94" s="202"/>
      <c r="AG94" s="202"/>
      <c r="AH94" s="202"/>
      <c r="AI94" s="202"/>
    </row>
    <row r="95" spans="1:35" x14ac:dyDescent="0.25">
      <c r="A95" s="54"/>
      <c r="B95" s="54"/>
      <c r="C95" s="54"/>
      <c r="D95" s="54"/>
      <c r="E95" s="54"/>
      <c r="F95" s="54"/>
      <c r="G95" s="54"/>
      <c r="H95" s="54"/>
      <c r="I95" s="54"/>
      <c r="AD95" s="224" t="s">
        <v>188</v>
      </c>
      <c r="AE95" s="200"/>
      <c r="AF95" s="200"/>
      <c r="AG95" s="200"/>
      <c r="AH95" s="200"/>
      <c r="AI95" s="200"/>
    </row>
    <row r="96" spans="1:35" x14ac:dyDescent="0.25">
      <c r="A96" s="54"/>
      <c r="B96" s="54"/>
      <c r="C96" s="54"/>
      <c r="D96" s="54"/>
      <c r="E96" s="54"/>
      <c r="F96" s="54"/>
      <c r="G96" s="54"/>
      <c r="H96" s="54"/>
      <c r="I96" s="77"/>
      <c r="AD96" s="200" t="s">
        <v>189</v>
      </c>
      <c r="AE96" s="200"/>
      <c r="AF96" s="200"/>
      <c r="AG96" s="200"/>
      <c r="AH96" s="200"/>
      <c r="AI96" s="200"/>
    </row>
    <row r="97" spans="1:9" x14ac:dyDescent="0.25">
      <c r="A97" s="54"/>
      <c r="B97" s="54"/>
      <c r="C97" s="54"/>
      <c r="D97" s="54"/>
      <c r="E97" s="54"/>
      <c r="F97" s="54"/>
      <c r="G97" s="54"/>
      <c r="H97" s="77"/>
      <c r="I97" s="90"/>
    </row>
    <row r="98" spans="1:9" x14ac:dyDescent="0.25">
      <c r="A98" s="54"/>
      <c r="B98" s="54"/>
      <c r="C98" s="54"/>
      <c r="D98" s="54"/>
      <c r="E98" s="54"/>
      <c r="F98" s="54"/>
      <c r="G98" s="54"/>
      <c r="H98" s="77"/>
      <c r="I98" s="91"/>
    </row>
  </sheetData>
  <sheetProtection sheet="1" objects="1" scenarios="1"/>
  <phoneticPr fontId="41" type="noConversion"/>
  <conditionalFormatting sqref="E52">
    <cfRule type="cellIs" dxfId="8" priority="1" stopIfTrue="1" operator="notEqual">
      <formula>"OK"</formula>
    </cfRule>
  </conditionalFormatting>
  <dataValidations count="7">
    <dataValidation allowBlank="1" showInputMessage="1" showErrorMessage="1" prompt="'Dc' is the diameter of the pile circle." sqref="AG59"/>
    <dataValidation type="decimal" operator="greaterThanOrEqual" allowBlank="1" showInputMessage="1" showErrorMessage="1" prompt="The angle to Pile #1 is measured counterclockwise from the origin X-axis." sqref="AG62">
      <formula1>0</formula1>
    </dataValidation>
    <dataValidation type="decimal" operator="greaterThanOrEqual" allowBlank="1" showInputMessage="1" showErrorMessage="1" prompt="'Xo' is the x-coordinate location of the center of the pile circle from the origin Y-axis.  Xo &gt;=  Dc/2" sqref="AG60">
      <formula1>$AG$59/2</formula1>
    </dataValidation>
    <dataValidation type="decimal" operator="greaterThanOrEqual" allowBlank="1" showInputMessage="1" showErrorMessage="1" prompt="'Yo' is the y-coordinate location of the center of the pile circle from the origin X-axis.  Yo &gt;=  Dc/2" sqref="AG61">
      <formula1>$AG$59/2</formula1>
    </dataValidation>
    <dataValidation type="list" allowBlank="1" showInputMessage="1" showErrorMessage="1" errorTitle="Warning!" error="Invalid input for number of piles_x000a_(must input a value between 2 and 25)" sqref="C9">
      <formula1>$K$6:$K$29</formula1>
    </dataValidation>
    <dataValidation type="list" allowBlank="1" showInputMessage="1" showErrorMessage="1" errorTitle="Warning!" error="Invalid input for number of piers_x000a_(must input a value between 1 and 4)" sqref="C38">
      <formula1>$K$5:$K$8</formula1>
    </dataValidation>
    <dataValidation type="list" allowBlank="1" showInputMessage="1" showErrorMessage="1" errorTitle="Warning!" error="Invalid input for number of piles_x000a_(must input a value between 2 and 25)" sqref="AG58">
      <formula1>$K$7:$K$29</formula1>
    </dataValidation>
  </dataValidations>
  <pageMargins left="1" right="0.5" top="1" bottom="1" header="0.5" footer="0.5"/>
  <pageSetup scale="98" orientation="portrait" r:id="rId1"/>
  <headerFooter alignWithMargins="0">
    <oddHeader>&amp;R"PILEGRP.xls" Program
Version 3.6</oddHeader>
    <oddFooter>&amp;C&amp;P of &amp;N&amp;R&amp;D  &amp;T</oddFooter>
  </headerFooter>
  <drawing r:id="rId2"/>
  <mc:AlternateContent xmlns:mc="http://schemas.openxmlformats.org/markup-compatibility/2006">
    <mc:Choice Requires="v">
      <legacyDrawing r:id="rId3"/>
    </mc:Choice>
  </mc:AlternateContent>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dimension ref="A1:AK98"/>
  <sheetViews>
    <sheetView zoomScaleNormal="100" workbookViewId="0"/>
  </sheetViews>
  <sheetFormatPr defaultColWidth="9.109375" defaultRowHeight="13.2" x14ac:dyDescent="0.25"/>
  <cols>
    <col min="1" max="1" width="11.88671875" style="92" customWidth="1"/>
    <col min="2" max="3" width="9.109375" style="92"/>
    <col min="4" max="4" width="9.5546875" style="92" customWidth="1"/>
    <col min="5" max="5" width="10.6640625" style="92" customWidth="1"/>
    <col min="6" max="8" width="9.109375" style="92"/>
    <col min="9" max="9" width="12.109375" style="92" customWidth="1"/>
    <col min="10" max="11" width="9.109375" style="1" hidden="1" customWidth="1"/>
    <col min="12" max="12" width="10.6640625" style="1" hidden="1" customWidth="1"/>
    <col min="13" max="14" width="9.109375" style="1" hidden="1" customWidth="1"/>
    <col min="15" max="15" width="10.6640625" style="1" hidden="1" customWidth="1"/>
    <col min="16" max="18" width="9.109375" style="1" hidden="1" customWidth="1"/>
    <col min="19" max="25" width="10.6640625" style="1" hidden="1" customWidth="1"/>
    <col min="26" max="26" width="9.109375" style="1" hidden="1" customWidth="1"/>
    <col min="27" max="27" width="9.109375" style="1"/>
    <col min="28" max="28" width="9.109375" style="9"/>
    <col min="29" max="16384" width="9.109375" style="1"/>
  </cols>
  <sheetData>
    <row r="1" spans="1:37" ht="15.6" x14ac:dyDescent="0.3">
      <c r="A1" s="32" t="s">
        <v>67</v>
      </c>
      <c r="B1" s="33"/>
      <c r="C1" s="34"/>
      <c r="D1" s="34"/>
      <c r="E1" s="34"/>
      <c r="F1" s="34"/>
      <c r="G1" s="33"/>
      <c r="H1" s="33"/>
      <c r="I1" s="35"/>
      <c r="J1" s="2"/>
      <c r="K1" s="7" t="s">
        <v>4</v>
      </c>
      <c r="N1" s="7"/>
      <c r="AA1" s="184" t="s">
        <v>373</v>
      </c>
    </row>
    <row r="2" spans="1:37" x14ac:dyDescent="0.25">
      <c r="A2" s="36" t="s">
        <v>50</v>
      </c>
      <c r="B2" s="37"/>
      <c r="C2" s="38"/>
      <c r="D2" s="37"/>
      <c r="E2" s="37"/>
      <c r="F2" s="37"/>
      <c r="G2" s="39"/>
      <c r="H2" s="39"/>
      <c r="I2" s="40"/>
      <c r="J2" s="2"/>
      <c r="AB2" s="134" t="s">
        <v>109</v>
      </c>
      <c r="AC2" s="129"/>
    </row>
    <row r="3" spans="1:37" x14ac:dyDescent="0.25">
      <c r="A3" s="136" t="s">
        <v>162</v>
      </c>
      <c r="B3" s="41"/>
      <c r="C3" s="41"/>
      <c r="D3" s="41"/>
      <c r="E3" s="41"/>
      <c r="F3" s="41"/>
      <c r="G3" s="42"/>
      <c r="H3" s="42"/>
      <c r="I3" s="43"/>
      <c r="J3" s="2"/>
      <c r="L3" s="25" t="s">
        <v>55</v>
      </c>
      <c r="M3" s="21"/>
      <c r="N3" s="25" t="s">
        <v>84</v>
      </c>
      <c r="O3" s="6"/>
      <c r="P3" s="21"/>
      <c r="Q3" s="25" t="s">
        <v>24</v>
      </c>
      <c r="R3" s="21"/>
      <c r="S3" s="25" t="s">
        <v>25</v>
      </c>
      <c r="T3" s="22"/>
      <c r="AB3" s="130" t="s">
        <v>110</v>
      </c>
      <c r="AC3" s="130" t="s">
        <v>113</v>
      </c>
    </row>
    <row r="4" spans="1:37" x14ac:dyDescent="0.25">
      <c r="A4" s="44" t="s">
        <v>2</v>
      </c>
      <c r="B4" s="125"/>
      <c r="C4" s="121"/>
      <c r="D4" s="121"/>
      <c r="E4" s="121"/>
      <c r="F4" s="127" t="s">
        <v>108</v>
      </c>
      <c r="G4" s="126"/>
      <c r="H4" s="123"/>
      <c r="I4" s="124"/>
      <c r="J4" s="5"/>
      <c r="K4" s="13" t="s">
        <v>56</v>
      </c>
      <c r="L4" s="14" t="s">
        <v>87</v>
      </c>
      <c r="M4" s="14" t="s">
        <v>88</v>
      </c>
      <c r="N4" s="23" t="s">
        <v>95</v>
      </c>
      <c r="O4" s="23" t="s">
        <v>96</v>
      </c>
      <c r="P4" s="23" t="s">
        <v>97</v>
      </c>
      <c r="Q4" s="15" t="s">
        <v>18</v>
      </c>
      <c r="R4" s="15" t="s">
        <v>19</v>
      </c>
      <c r="S4" s="15" t="s">
        <v>20</v>
      </c>
      <c r="T4" s="15" t="s">
        <v>21</v>
      </c>
      <c r="AB4" s="27">
        <v>3</v>
      </c>
      <c r="AC4" s="133">
        <v>7</v>
      </c>
    </row>
    <row r="5" spans="1:37" x14ac:dyDescent="0.25">
      <c r="A5" s="44" t="s">
        <v>3</v>
      </c>
      <c r="B5" s="122"/>
      <c r="C5" s="123"/>
      <c r="D5" s="123"/>
      <c r="E5" s="124"/>
      <c r="F5" s="120" t="s">
        <v>107</v>
      </c>
      <c r="G5" s="178"/>
      <c r="H5" s="179" t="s">
        <v>106</v>
      </c>
      <c r="I5" s="180"/>
      <c r="J5" s="5"/>
      <c r="K5" s="9">
        <v>1</v>
      </c>
      <c r="L5" s="16">
        <f>IF($C$9&gt;=1,$C12+0.000001-$L$35,"")</f>
        <v>-1.2191990000000001</v>
      </c>
      <c r="M5" s="16">
        <f>IF($C$9&gt;=1,$B12+0.000001-$L$34,"")</f>
        <v>-1.8287990000000003</v>
      </c>
      <c r="N5" s="29">
        <f>IF($C$9&gt;=1,$L5^2,"")</f>
        <v>1.4864462016010003</v>
      </c>
      <c r="O5" s="29">
        <f>IF($C$9&gt;=1,$M5^2,"")</f>
        <v>3.3445057824010012</v>
      </c>
      <c r="P5" s="29">
        <f>IF($C$9&gt;=1,$L5*$M5,"")</f>
        <v>2.2296699120010004</v>
      </c>
      <c r="Q5" s="17">
        <f>IF($C$9&gt;=1,$B12-$L$34,"")</f>
        <v>-1.8288000000000002</v>
      </c>
      <c r="R5" s="17">
        <f>IF($C$9&gt;=1,$C12-$L$35,"")</f>
        <v>-1.2192000000000001</v>
      </c>
      <c r="S5" s="18">
        <f>IF($C$9&gt;=1,(-$P$43/$C$9+($P$47*$L$36--$P$46*$L$39)/($L$36*$L$37-$L$39^2)*$Q5+(-$P$46*$L$37-$P$47*$L$39)/($L$36*$L$37-$L$39^2)*$R5),"")</f>
        <v>537.4922822041915</v>
      </c>
      <c r="T5" s="18">
        <f>IF($C$9&gt;=1,((($P$44/$C$9+$P$48*-$R5/$L$38)^2+($P$45/$C$9+$P$48*$Q5/$L$38)^2)^(1/2)),"")</f>
        <v>26.730487509411631</v>
      </c>
      <c r="AE5" s="139" t="s">
        <v>169</v>
      </c>
      <c r="AF5" s="137"/>
      <c r="AG5" s="137"/>
      <c r="AH5" s="137"/>
    </row>
    <row r="6" spans="1:37" x14ac:dyDescent="0.25">
      <c r="A6" s="45"/>
      <c r="B6" s="93"/>
      <c r="C6" s="93"/>
      <c r="D6" s="93"/>
      <c r="E6" s="93"/>
      <c r="F6" s="93"/>
      <c r="G6" s="93"/>
      <c r="H6" s="185"/>
      <c r="I6" s="191"/>
      <c r="J6" s="2"/>
      <c r="K6" s="9">
        <v>2</v>
      </c>
      <c r="L6" s="16">
        <f>IF($C$9&gt;=2,$C13-$L$35,"")</f>
        <v>-1.2192000000000001</v>
      </c>
      <c r="M6" s="16">
        <f>IF($C$9&gt;=2,$B13-$L$34,"")</f>
        <v>0</v>
      </c>
      <c r="N6" s="29">
        <f>IF($C$9&gt;=2,$L6^2,"")</f>
        <v>1.4864486400000001</v>
      </c>
      <c r="O6" s="29">
        <f>IF($C$9&gt;=2,$M6^2,"")</f>
        <v>0</v>
      </c>
      <c r="P6" s="29">
        <f>IF($C$9&gt;=2,$L6*$M6,"")</f>
        <v>0</v>
      </c>
      <c r="Q6" s="17">
        <f>IF($C$9&gt;=2,$B13-$L$34,"")</f>
        <v>0</v>
      </c>
      <c r="R6" s="17">
        <f>IF($C$9&gt;=2,$C13-$L$35,"")</f>
        <v>-1.2192000000000001</v>
      </c>
      <c r="S6" s="18">
        <f>IF($C$9&gt;=2,(-$P$43/$C$9+($P$47*$L$36--$P$46*$L$39)/($L$36*$L$37-$L$39^2)*$Q6+(-$P$46*$L$37-$P$47*$L$39)/($L$36*$L$37-$L$39^2)*$R6),"")</f>
        <v>491.15724110209493</v>
      </c>
      <c r="T6" s="18">
        <f>IF($C$9&gt;=2,((($P$44/$C$9+$P$48*-$R6/$L$38)^2+($P$45/$C$9+$P$48*$Q6/$L$38)^2)^(1/2)),"")</f>
        <v>26.730487509411631</v>
      </c>
      <c r="AE6" s="137" t="s">
        <v>170</v>
      </c>
      <c r="AF6" s="137"/>
      <c r="AG6" s="137"/>
      <c r="AH6" s="137"/>
    </row>
    <row r="7" spans="1:37" x14ac:dyDescent="0.25">
      <c r="A7" s="47" t="s">
        <v>1</v>
      </c>
      <c r="B7" s="93"/>
      <c r="C7" s="94"/>
      <c r="D7" s="93"/>
      <c r="E7" s="93"/>
      <c r="F7" s="93"/>
      <c r="G7" s="93"/>
      <c r="H7" s="185"/>
      <c r="I7" s="189"/>
      <c r="J7" s="2"/>
      <c r="K7" s="9">
        <v>3</v>
      </c>
      <c r="L7" s="16">
        <f>IF($C$9&gt;=3,$C14-$L$35,"")</f>
        <v>-1.2192000000000001</v>
      </c>
      <c r="M7" s="16">
        <f>IF($C$9&gt;=3,$B14-$L$34,"")</f>
        <v>1.8288000000000002</v>
      </c>
      <c r="N7" s="29">
        <f>IF($C$9&gt;=3,$L7^2,"")</f>
        <v>1.4864486400000001</v>
      </c>
      <c r="O7" s="29">
        <f>IF($C$9&gt;=3,$M7^2,"")</f>
        <v>3.3445094400000008</v>
      </c>
      <c r="P7" s="29">
        <f>IF($C$9&gt;=3,$L7*$M7,"")</f>
        <v>-2.2296729600000003</v>
      </c>
      <c r="Q7" s="17">
        <f>IF($C$9&gt;=3,$B14-$L$34,"")</f>
        <v>1.8288000000000002</v>
      </c>
      <c r="R7" s="17">
        <f>IF($C$9&gt;=3,$C14-$L$35,"")</f>
        <v>-1.2192000000000001</v>
      </c>
      <c r="S7" s="18">
        <f>IF($C$9&gt;=3,(-$P$43/$C$9+($P$47*$L$36--$P$46*$L$39)/($L$36*$L$37-$L$39^2)*$Q7+(-$P$46*$L$37-$P$47*$L$39)/($L$36*$L$37-$L$39^2)*$R7),"")</f>
        <v>444.82219999999836</v>
      </c>
      <c r="T7" s="18">
        <f>IF($C$9&gt;=3,((($P$44/$C$9+$P$48*-$R7/$L$38)^2+($P$45/$C$9+$P$48*$Q7/$L$38)^2)^(1/2)),"")</f>
        <v>26.730487509411631</v>
      </c>
      <c r="AE7" s="137" t="s">
        <v>172</v>
      </c>
      <c r="AF7" s="137"/>
      <c r="AG7" s="137"/>
      <c r="AH7" s="137"/>
    </row>
    <row r="8" spans="1:37" x14ac:dyDescent="0.25">
      <c r="A8" s="48"/>
      <c r="B8" s="128"/>
      <c r="C8" s="93"/>
      <c r="D8" s="93"/>
      <c r="E8" s="49" t="s">
        <v>41</v>
      </c>
      <c r="F8" s="53"/>
      <c r="G8" s="132"/>
      <c r="H8" s="77"/>
      <c r="I8" s="183"/>
      <c r="J8" s="2"/>
      <c r="K8" s="9">
        <v>4</v>
      </c>
      <c r="L8" s="16">
        <f>IF($C$9&gt;=4,$C15-$L$35,"")</f>
        <v>1.2192000000000001</v>
      </c>
      <c r="M8" s="16">
        <f>IF($C$9&gt;=4,$B15-$L$34,"")</f>
        <v>-1.8288000000000002</v>
      </c>
      <c r="N8" s="29">
        <f>IF($C$9&gt;=4,$L8^2,"")</f>
        <v>1.4864486400000001</v>
      </c>
      <c r="O8" s="29">
        <f>IF($C$9&gt;=4,$M8^2,"")</f>
        <v>3.3445094400000008</v>
      </c>
      <c r="P8" s="29">
        <f>IF($C$9&gt;=4,$L8*$M8,"")</f>
        <v>-2.2296729600000003</v>
      </c>
      <c r="Q8" s="17">
        <f>IF($C$9&gt;=4,$B15-$L$34,"")</f>
        <v>-1.8288000000000002</v>
      </c>
      <c r="R8" s="17">
        <f>IF($C$9&gt;=4,$C15-$L$35,"")</f>
        <v>1.2192000000000001</v>
      </c>
      <c r="S8" s="18">
        <f>IF($C$9&gt;=4,(-$P$43/$C$9+($P$47*$L$36--$P$46*$L$39)/($L$36*$L$37-$L$39^2)*$Q8+(-$P$46*$L$37-$P$47*$L$39)/($L$36*$L$37-$L$39^2)*$R8),"")</f>
        <v>444.82220000000177</v>
      </c>
      <c r="T8" s="18">
        <f>IF($C$9&gt;=4,((($P$44/$C$9+$P$48*-$R8/$L$38)^2+($P$45/$C$9+$P$48*$Q8/$L$38)^2)^(1/2)),"")</f>
        <v>26.730487509411631</v>
      </c>
      <c r="AE8" s="137" t="s">
        <v>171</v>
      </c>
      <c r="AF8" s="137"/>
      <c r="AG8" s="137"/>
      <c r="AH8" s="137"/>
    </row>
    <row r="9" spans="1:37" x14ac:dyDescent="0.25">
      <c r="A9" s="48"/>
      <c r="B9" s="50" t="s">
        <v>57</v>
      </c>
      <c r="C9" s="27">
        <v>6</v>
      </c>
      <c r="D9" s="51"/>
      <c r="E9" s="52"/>
      <c r="F9" s="53"/>
      <c r="G9" s="54"/>
      <c r="H9" s="54"/>
      <c r="I9" s="60" t="s">
        <v>0</v>
      </c>
      <c r="J9" s="2"/>
      <c r="K9" s="9">
        <v>5</v>
      </c>
      <c r="L9" s="16">
        <f>IF($C$9&gt;=5,$C16-$L$35,"")</f>
        <v>1.2192000000000001</v>
      </c>
      <c r="M9" s="16">
        <f>IF($C$9&gt;=5,$B16-$L$34,"")</f>
        <v>0</v>
      </c>
      <c r="N9" s="29">
        <f>IF($C$9&gt;=5,$L9^2,"")</f>
        <v>1.4864486400000001</v>
      </c>
      <c r="O9" s="29">
        <f>IF($C$9&gt;=5,$M9^2,"")</f>
        <v>0</v>
      </c>
      <c r="P9" s="29">
        <f>IF($C$9&gt;=5,$L9*$M9,"")</f>
        <v>0</v>
      </c>
      <c r="Q9" s="17">
        <f>IF($C$9&gt;=5,$B16-$L$34,"")</f>
        <v>0</v>
      </c>
      <c r="R9" s="17">
        <f>IF($C$9&gt;=5,$C16-$L$35,"")</f>
        <v>1.2192000000000001</v>
      </c>
      <c r="S9" s="18">
        <f>IF($C$9&gt;=5,(-$P$43/$C$9+($P$47*$L$36--$P$46*$L$39)/($L$36*$L$37-$L$39^2)*$Q9+(-$P$46*$L$37-$P$47*$L$39)/($L$36*$L$37-$L$39^2)*$R9),"")</f>
        <v>398.4871588979052</v>
      </c>
      <c r="T9" s="18">
        <f>IF($C$9&gt;=5,((($P$44/$C$9+$P$48*-$R9/$L$38)^2+($P$45/$C$9+$P$48*$Q9/$L$38)^2)^(1/2)),"")</f>
        <v>26.730487509411631</v>
      </c>
    </row>
    <row r="10" spans="1:37" x14ac:dyDescent="0.25">
      <c r="A10" s="48"/>
      <c r="B10" s="56" t="s">
        <v>53</v>
      </c>
      <c r="C10" s="57"/>
      <c r="D10" s="54"/>
      <c r="E10" s="58" t="s">
        <v>126</v>
      </c>
      <c r="F10" s="59"/>
      <c r="G10" s="54"/>
      <c r="H10" s="54"/>
      <c r="I10" s="60"/>
      <c r="K10" s="9">
        <v>6</v>
      </c>
      <c r="L10" s="16">
        <f>IF($C$9&gt;=6,$C17-$L$35,"")</f>
        <v>1.2192000000000001</v>
      </c>
      <c r="M10" s="16">
        <f>IF($C$9&gt;=6,$B17-$L$34,"")</f>
        <v>1.8288000000000002</v>
      </c>
      <c r="N10" s="29">
        <f>IF($C$9&gt;=6,$L10^2,"")</f>
        <v>1.4864486400000001</v>
      </c>
      <c r="O10" s="29">
        <f>IF($C$9&gt;=6,$M10^2,"")</f>
        <v>3.3445094400000008</v>
      </c>
      <c r="P10" s="29">
        <f>IF($C$9&gt;=6,$L10*$M10,"")</f>
        <v>2.2296729600000003</v>
      </c>
      <c r="Q10" s="17">
        <f>IF($C$9&gt;=6,$B17-$L$34,"")</f>
        <v>1.8288000000000002</v>
      </c>
      <c r="R10" s="17">
        <f>IF($C$9&gt;=6,$C17-$L$35,"")</f>
        <v>1.2192000000000001</v>
      </c>
      <c r="S10" s="18">
        <f>IF($C$9&gt;=6,(-$P$43/$C$9+($P$47*$L$36--$P$46*$L$39)/($L$36*$L$37-$L$39^2)*$Q10+(-$P$46*$L$37-$P$47*$L$39)/($L$36*$L$37-$L$39^2)*$R10),"")</f>
        <v>352.15211779580864</v>
      </c>
      <c r="T10" s="18">
        <f>IF($C$9&gt;=6,((($P$44/$C$9+$P$48*-$R10/$L$38)^2+($P$45/$C$9+$P$48*$Q10/$L$38)^2)^(1/2)),"")</f>
        <v>26.730487509411631</v>
      </c>
      <c r="AD10" s="239" t="s">
        <v>165</v>
      </c>
      <c r="AE10" s="22"/>
      <c r="AF10" s="22"/>
      <c r="AG10" s="22"/>
      <c r="AH10" s="8"/>
      <c r="AI10" s="8"/>
      <c r="AJ10" s="8"/>
      <c r="AK10" s="8"/>
    </row>
    <row r="11" spans="1:37" x14ac:dyDescent="0.25">
      <c r="A11" s="48"/>
      <c r="B11" s="61" t="s">
        <v>127</v>
      </c>
      <c r="C11" s="61" t="s">
        <v>128</v>
      </c>
      <c r="D11" s="54"/>
      <c r="E11" s="62" t="s">
        <v>20</v>
      </c>
      <c r="F11" s="63" t="s">
        <v>21</v>
      </c>
      <c r="G11" s="54"/>
      <c r="H11" s="54"/>
      <c r="I11" s="60"/>
      <c r="K11" s="9">
        <v>7</v>
      </c>
      <c r="L11" s="16" t="str">
        <f>IF($C$9&gt;=7,$C18-$L$35,"")</f>
        <v/>
      </c>
      <c r="M11" s="16" t="str">
        <f>IF($C$9&gt;=7,$B18-$L$34,"")</f>
        <v/>
      </c>
      <c r="N11" s="29" t="str">
        <f>IF($C$9&gt;=7,$L11^2,"")</f>
        <v/>
      </c>
      <c r="O11" s="29" t="str">
        <f>IF($C$9&gt;=7,$M11^2,"")</f>
        <v/>
      </c>
      <c r="P11" s="29" t="str">
        <f>IF($C$9&gt;=7,$L11*$M11,"")</f>
        <v/>
      </c>
      <c r="Q11" s="17" t="str">
        <f>IF($C$9&gt;=7,$B18-$L$34,"")</f>
        <v/>
      </c>
      <c r="R11" s="17" t="str">
        <f>IF($C$9&gt;=7,$C18-$L$35,"")</f>
        <v/>
      </c>
      <c r="S11" s="18" t="str">
        <f>IF($C$9&gt;=7,(-$P$43/$C$9+($P$47*$L$36--$P$46*$L$39)/($L$36*$L$37-$L$39^2)*$Q11+(-$P$46*$L$37-$P$47*$L$39)/($L$36*$L$37-$L$39^2)*$R11),"")</f>
        <v/>
      </c>
      <c r="T11" s="18" t="str">
        <f>IF($C$9&gt;=7,((($P$44/$C$9+$P$48*-$R11/$L$38)^2+($P$45/$C$9+$P$48*$Q11/$L$38)^2)^(1/2)),"")</f>
        <v/>
      </c>
      <c r="AD11" s="194"/>
      <c r="AE11" s="196" t="s">
        <v>196</v>
      </c>
      <c r="AF11" s="196" t="s">
        <v>197</v>
      </c>
      <c r="AG11" s="8"/>
      <c r="AH11" s="8"/>
      <c r="AI11" s="8"/>
      <c r="AJ11" s="8"/>
      <c r="AK11" s="8"/>
    </row>
    <row r="12" spans="1:37" x14ac:dyDescent="0.25">
      <c r="A12" s="260" t="str">
        <f>IF($C$9&gt;=1,"#1:","")</f>
        <v>#1:</v>
      </c>
      <c r="B12" s="141">
        <v>0</v>
      </c>
      <c r="C12" s="142">
        <v>0</v>
      </c>
      <c r="D12" s="280" t="str">
        <f>IF($C$9&gt;=1,"#1:","")</f>
        <v>#1:</v>
      </c>
      <c r="E12" s="143">
        <f t="shared" ref="E12:E36" si="0">$S5</f>
        <v>537.4922822041915</v>
      </c>
      <c r="F12" s="144">
        <f t="shared" ref="F12:F36" si="1">$T5</f>
        <v>26.730487509411631</v>
      </c>
      <c r="G12" s="54"/>
      <c r="H12" s="54"/>
      <c r="I12" s="60"/>
      <c r="K12" s="9">
        <v>8</v>
      </c>
      <c r="L12" s="16" t="str">
        <f>IF($C$9&gt;=8,$C19-$L$35,"")</f>
        <v/>
      </c>
      <c r="M12" s="16" t="str">
        <f>IF($C$9&gt;=8,$B19-$L$34,"")</f>
        <v/>
      </c>
      <c r="N12" s="29" t="str">
        <f>IF($C$9&gt;=8,$L12^2,"")</f>
        <v/>
      </c>
      <c r="O12" s="29" t="str">
        <f>IF($C$9&gt;=8,$M12^2,"")</f>
        <v/>
      </c>
      <c r="P12" s="29" t="str">
        <f>IF($C$9&gt;=8,$L12*$M12,"")</f>
        <v/>
      </c>
      <c r="Q12" s="17" t="str">
        <f>IF($C$9&gt;=8,$B19-$L$34,"")</f>
        <v/>
      </c>
      <c r="R12" s="17" t="str">
        <f>IF($C$9&gt;=8,$C19-$L$35,"")</f>
        <v/>
      </c>
      <c r="S12" s="18" t="str">
        <f>IF($C$9&gt;=8,(-$P$43/$C$9+($P$47*$L$36--$P$46*$L$39)/($L$36*$L$37-$L$39^2)*$Q12+(-$P$46*$L$37-$P$47*$L$39)/($L$36*$L$37-$L$39^2)*$R12),"")</f>
        <v/>
      </c>
      <c r="T12" s="18" t="str">
        <f>IF($C$9&gt;=8,((($P$44/$C$9+$P$48*-$R12/$L$38)^2+($P$45/$C$9+$P$48*$Q12/$L$38)^2)^(1/2)),"")</f>
        <v/>
      </c>
      <c r="AD12" s="262" t="str">
        <f>IF($C$9&gt;=1,"#1:","")</f>
        <v>#1:</v>
      </c>
      <c r="AE12" s="216">
        <f>IF($C$9&gt;=1,$B12*3.28084,"")</f>
        <v>0</v>
      </c>
      <c r="AF12" s="228">
        <f>IF($C$9&gt;=1,$C12*3.28084,"")</f>
        <v>0</v>
      </c>
      <c r="AG12" s="8"/>
      <c r="AH12" s="8"/>
      <c r="AI12" s="8"/>
      <c r="AJ12" s="8"/>
      <c r="AK12" s="8"/>
    </row>
    <row r="13" spans="1:37" x14ac:dyDescent="0.25">
      <c r="A13" s="260" t="str">
        <f>IF($C$9&gt;=2,"#2:","")</f>
        <v>#2:</v>
      </c>
      <c r="B13" s="145">
        <v>1.8288000000000002</v>
      </c>
      <c r="C13" s="146">
        <v>0</v>
      </c>
      <c r="D13" s="280" t="str">
        <f>IF($C$9&gt;=2,"#2:","")</f>
        <v>#2:</v>
      </c>
      <c r="E13" s="147">
        <f t="shared" si="0"/>
        <v>491.15724110209493</v>
      </c>
      <c r="F13" s="148">
        <f t="shared" si="1"/>
        <v>26.730487509411631</v>
      </c>
      <c r="G13" s="54"/>
      <c r="H13" s="54"/>
      <c r="I13" s="60"/>
      <c r="K13" s="9">
        <v>9</v>
      </c>
      <c r="L13" s="16" t="str">
        <f>IF($C$9&gt;=9,$C20-$L$35,"")</f>
        <v/>
      </c>
      <c r="M13" s="16" t="str">
        <f>IF($C$9&gt;=9,$B20-$L$34,"")</f>
        <v/>
      </c>
      <c r="N13" s="29" t="str">
        <f>IF($C$9&gt;=9,$L13^2,"")</f>
        <v/>
      </c>
      <c r="O13" s="29" t="str">
        <f>IF($C$9&gt;=9,$M13^2,"")</f>
        <v/>
      </c>
      <c r="P13" s="29" t="str">
        <f>IF($C$9&gt;=9,$L13*$M13,"")</f>
        <v/>
      </c>
      <c r="Q13" s="17" t="str">
        <f>IF($C$9&gt;=9,$B20-$L$34,"")</f>
        <v/>
      </c>
      <c r="R13" s="17" t="str">
        <f>IF($C$9&gt;=9,$C20-$L$35,"")</f>
        <v/>
      </c>
      <c r="S13" s="18" t="str">
        <f>IF($C$9&gt;=9,(-$P$43/$C$9+($P$47*$L$36--$P$46*$L$39)/($L$36*$L$37-$L$39^2)*$Q13+(-$P$46*$L$37-$P$47*$L$39)/($L$36*$L$37-$L$39^2)*$R13),"")</f>
        <v/>
      </c>
      <c r="T13" s="18" t="str">
        <f>IF($C$9&gt;=9,((($P$44/$C$9+$P$48*-$R13/$L$38)^2+($P$45/$C$9+$P$48*$Q13/$L$38)^2)^(1/2)),"")</f>
        <v/>
      </c>
      <c r="AD13" s="262" t="str">
        <f>IF($C$9&gt;=2,"#2:","")</f>
        <v>#2:</v>
      </c>
      <c r="AE13" s="217">
        <f>IF($C$9&gt;=2,$B13*3.28084,"")</f>
        <v>6.0000001920000008</v>
      </c>
      <c r="AF13" s="229">
        <f>IF($C$9&gt;=2,$C13*3.28084,"")</f>
        <v>0</v>
      </c>
      <c r="AG13" s="8"/>
      <c r="AH13" s="8"/>
      <c r="AI13" s="8"/>
      <c r="AJ13" s="8"/>
      <c r="AK13" s="8"/>
    </row>
    <row r="14" spans="1:37" x14ac:dyDescent="0.25">
      <c r="A14" s="260" t="str">
        <f>IF($C$9&gt;=3,"#3:","")</f>
        <v>#3:</v>
      </c>
      <c r="B14" s="145">
        <v>3.6576000000000004</v>
      </c>
      <c r="C14" s="146">
        <v>0</v>
      </c>
      <c r="D14" s="280" t="str">
        <f>IF($C$9&gt;=3,"#3:","")</f>
        <v>#3:</v>
      </c>
      <c r="E14" s="147">
        <f t="shared" si="0"/>
        <v>444.82219999999836</v>
      </c>
      <c r="F14" s="148">
        <f t="shared" si="1"/>
        <v>26.730487509411631</v>
      </c>
      <c r="G14" s="54"/>
      <c r="H14" s="54"/>
      <c r="I14" s="60"/>
      <c r="K14" s="9">
        <v>10</v>
      </c>
      <c r="L14" s="16" t="str">
        <f>IF($C$9&gt;=10,$C21-$L$35,"")</f>
        <v/>
      </c>
      <c r="M14" s="16" t="str">
        <f>IF($C$9&gt;=10,$B21-$L$34,"")</f>
        <v/>
      </c>
      <c r="N14" s="29" t="str">
        <f>IF($C$9&gt;=10,$L14^2,"")</f>
        <v/>
      </c>
      <c r="O14" s="29" t="str">
        <f>IF($C$9&gt;=10,$M14^2,"")</f>
        <v/>
      </c>
      <c r="P14" s="29" t="str">
        <f>IF($C$9&gt;=10,$L14*$M14,"")</f>
        <v/>
      </c>
      <c r="Q14" s="17" t="str">
        <f>IF($C$9&gt;=10,$B21-$L$34,"")</f>
        <v/>
      </c>
      <c r="R14" s="17" t="str">
        <f>IF($C$9&gt;=10,$C21-$L$35,"")</f>
        <v/>
      </c>
      <c r="S14" s="18" t="str">
        <f>IF($C$9&gt;=10,(-$P$43/$C$9+($P$47*$L$36--$P$46*$L$39)/($L$36*$L$37-$L$39^2)*$Q14+(-$P$46*$L$37-$P$47*$L$39)/($L$36*$L$37-$L$39^2)*$R14),"")</f>
        <v/>
      </c>
      <c r="T14" s="18" t="str">
        <f>IF($C$9&gt;=10,((($P$44/$C$9+$P$48*-$R14/$L$38)^2+($P$45/$C$9+$P$48*$Q14/$L$38)^2)^(1/2)),"")</f>
        <v/>
      </c>
      <c r="AD14" s="262" t="str">
        <f>IF($C$9&gt;=3,"#3:","")</f>
        <v>#3:</v>
      </c>
      <c r="AE14" s="217">
        <f>IF($C$9&gt;=3,$B14*3.28084,"")</f>
        <v>12.000000384000002</v>
      </c>
      <c r="AF14" s="229">
        <f>IF($C$9&gt;=3,$C14*3.28084,"")</f>
        <v>0</v>
      </c>
      <c r="AG14" s="8"/>
      <c r="AH14" s="8"/>
      <c r="AI14" s="8"/>
      <c r="AJ14" s="8"/>
      <c r="AK14" s="8"/>
    </row>
    <row r="15" spans="1:37" x14ac:dyDescent="0.25">
      <c r="A15" s="260" t="str">
        <f>IF($C$9&gt;=4,"#4:","")</f>
        <v>#4:</v>
      </c>
      <c r="B15" s="145">
        <v>0</v>
      </c>
      <c r="C15" s="146">
        <v>2.4384000000000001</v>
      </c>
      <c r="D15" s="280" t="str">
        <f>IF($C$9&gt;=4,"#4:","")</f>
        <v>#4:</v>
      </c>
      <c r="E15" s="147">
        <f t="shared" si="0"/>
        <v>444.82220000000177</v>
      </c>
      <c r="F15" s="148">
        <f t="shared" si="1"/>
        <v>26.730487509411631</v>
      </c>
      <c r="G15" s="54"/>
      <c r="H15" s="54"/>
      <c r="I15" s="60"/>
      <c r="K15" s="9">
        <v>11</v>
      </c>
      <c r="L15" s="16" t="str">
        <f>IF($C$9&gt;=11,$C22-$L$35,"")</f>
        <v/>
      </c>
      <c r="M15" s="16" t="str">
        <f>IF($C$9&gt;=11,$B22-$L$34,"")</f>
        <v/>
      </c>
      <c r="N15" s="29" t="str">
        <f>IF($C$9&gt;=11,$L15^2,"")</f>
        <v/>
      </c>
      <c r="O15" s="29" t="str">
        <f>IF($C$9&gt;=11,$M15^2,"")</f>
        <v/>
      </c>
      <c r="P15" s="29" t="str">
        <f>IF($C$9&gt;=11,$L15*$M15,"")</f>
        <v/>
      </c>
      <c r="Q15" s="17" t="str">
        <f>IF($C$9&gt;=11,$B22-$L$34,"")</f>
        <v/>
      </c>
      <c r="R15" s="17" t="str">
        <f>IF($C$9&gt;=11,$C22-$L$35,"")</f>
        <v/>
      </c>
      <c r="S15" s="18" t="str">
        <f>IF($C$9&gt;=11,(-$P$43/$C$9+($P$47*$L$36--$P$46*$L$39)/($L$36*$L$37-$L$39^2)*$Q15+(-$P$46*$L$37-$P$47*$L$39)/($L$36*$L$37-$L$39^2)*$R15),"")</f>
        <v/>
      </c>
      <c r="T15" s="18" t="str">
        <f>IF($C$9&gt;=11,((($P$44/$C$9+$P$48*-$R15/$L$38)^2+($P$45/$C$9+$P$48*$Q15/$L$38)^2)^(1/2)),"")</f>
        <v/>
      </c>
      <c r="AD15" s="262" t="str">
        <f>IF($C$9&gt;=4,"#4:","")</f>
        <v>#4:</v>
      </c>
      <c r="AE15" s="217">
        <f>IF($C$9&gt;=4,$B15*3.28084,"")</f>
        <v>0</v>
      </c>
      <c r="AF15" s="229">
        <f>IF($C$9&gt;=4,$C15*3.28084,"")</f>
        <v>8.0000002559999999</v>
      </c>
      <c r="AG15" s="8"/>
      <c r="AH15" s="8"/>
      <c r="AI15" s="8"/>
      <c r="AJ15" s="8"/>
      <c r="AK15" s="8"/>
    </row>
    <row r="16" spans="1:37" x14ac:dyDescent="0.25">
      <c r="A16" s="260" t="str">
        <f>IF($C$9&gt;=5,"#5:","")</f>
        <v>#5:</v>
      </c>
      <c r="B16" s="145">
        <v>1.8288000000000002</v>
      </c>
      <c r="C16" s="146">
        <v>2.4384000000000001</v>
      </c>
      <c r="D16" s="280" t="str">
        <f>IF($C$9&gt;=5,"#5:","")</f>
        <v>#5:</v>
      </c>
      <c r="E16" s="147">
        <f t="shared" si="0"/>
        <v>398.4871588979052</v>
      </c>
      <c r="F16" s="148">
        <f t="shared" si="1"/>
        <v>26.730487509411631</v>
      </c>
      <c r="G16" s="54"/>
      <c r="H16" s="54"/>
      <c r="I16" s="60"/>
      <c r="K16" s="9">
        <v>12</v>
      </c>
      <c r="L16" s="16" t="str">
        <f>IF($C$9&gt;=12,$C23-$L$35,"")</f>
        <v/>
      </c>
      <c r="M16" s="16" t="str">
        <f>IF($C$9&gt;=12,$B23-$L$34,"")</f>
        <v/>
      </c>
      <c r="N16" s="29" t="str">
        <f>IF($C$9&gt;=12,$L16^2,"")</f>
        <v/>
      </c>
      <c r="O16" s="29" t="str">
        <f>IF($C$9&gt;=12,$M16^2,"")</f>
        <v/>
      </c>
      <c r="P16" s="29" t="str">
        <f>IF($C$9&gt;=12,$L16*$M16,"")</f>
        <v/>
      </c>
      <c r="Q16" s="17" t="str">
        <f>IF($C$9&gt;=12,$B23-$L$34,"")</f>
        <v/>
      </c>
      <c r="R16" s="17" t="str">
        <f>IF($C$9&gt;=12,$C23-$L$35,"")</f>
        <v/>
      </c>
      <c r="S16" s="18" t="str">
        <f>IF($C$9&gt;=12,(-$P$43/$C$9+($P$47*$L$36--$P$46*$L$39)/($L$36*$L$37-$L$39^2)*$Q16+(-$P$46*$L$37-$P$47*$L$39)/($L$36*$L$37-$L$39^2)*$R16),"")</f>
        <v/>
      </c>
      <c r="T16" s="18" t="str">
        <f>IF($C$9&gt;=12,((($P$44/$C$9+$P$48*-$R16/$L$38)^2+($P$45/$C$9+$P$48*$Q16/$L$38)^2)^(1/2)),"")</f>
        <v/>
      </c>
      <c r="AD16" s="262" t="str">
        <f>IF($C$9&gt;=5,"#5:","")</f>
        <v>#5:</v>
      </c>
      <c r="AE16" s="217">
        <f>IF($C$9&gt;=5,$B16*3.28084,"")</f>
        <v>6.0000001920000008</v>
      </c>
      <c r="AF16" s="229">
        <f>IF($C$9&gt;=5,$C16*3.28084,"")</f>
        <v>8.0000002559999999</v>
      </c>
      <c r="AG16" s="8"/>
      <c r="AH16" s="8"/>
      <c r="AI16" s="8"/>
      <c r="AJ16" s="8"/>
      <c r="AK16" s="8"/>
    </row>
    <row r="17" spans="1:37" x14ac:dyDescent="0.25">
      <c r="A17" s="260" t="str">
        <f>IF($C$9&gt;=6,"#6:","")</f>
        <v>#6:</v>
      </c>
      <c r="B17" s="145">
        <v>3.6576000000000004</v>
      </c>
      <c r="C17" s="146">
        <v>2.4384000000000001</v>
      </c>
      <c r="D17" s="280" t="str">
        <f>IF($C$9&gt;=6,"#6:","")</f>
        <v>#6:</v>
      </c>
      <c r="E17" s="147">
        <f t="shared" si="0"/>
        <v>352.15211779580864</v>
      </c>
      <c r="F17" s="148">
        <f t="shared" si="1"/>
        <v>26.730487509411631</v>
      </c>
      <c r="G17" s="54"/>
      <c r="H17" s="54"/>
      <c r="I17" s="60"/>
      <c r="K17" s="9">
        <v>13</v>
      </c>
      <c r="L17" s="16" t="str">
        <f>IF($C$9&gt;=13,$C24-$L$35,"")</f>
        <v/>
      </c>
      <c r="M17" s="16" t="str">
        <f>IF($C$9&gt;=13,$B24-$L$34,"")</f>
        <v/>
      </c>
      <c r="N17" s="29" t="str">
        <f>IF($C$9&gt;=13,$L17^2,"")</f>
        <v/>
      </c>
      <c r="O17" s="29" t="str">
        <f>IF($C$9&gt;=13,$M17^2,"")</f>
        <v/>
      </c>
      <c r="P17" s="29" t="str">
        <f>IF($C$9&gt;=13,$L17*$M17,"")</f>
        <v/>
      </c>
      <c r="Q17" s="17" t="str">
        <f>IF($C$9&gt;=13,$B24-$L$34,"")</f>
        <v/>
      </c>
      <c r="R17" s="17" t="str">
        <f>IF($C$9&gt;=13,$C24-$L$35,"")</f>
        <v/>
      </c>
      <c r="S17" s="18" t="str">
        <f>IF($C$9&gt;=13,(-$P$43/$C$9+($P$47*$L$36--$P$46*$L$39)/($L$36*$L$37-$L$39^2)*$Q17+(-$P$46*$L$37-$P$47*$L$39)/($L$36*$L$37-$L$39^2)*$R17),"")</f>
        <v/>
      </c>
      <c r="T17" s="18" t="str">
        <f>IF($C$9&gt;=13,((($P$44/$C$9+$P$48*-$R17/$L$38)^2+($P$45/$C$9+$P$48*$Q17/$L$38)^2)^(1/2)),"")</f>
        <v/>
      </c>
      <c r="AD17" s="262" t="str">
        <f>IF($C$9&gt;=6,"#6:","")</f>
        <v>#6:</v>
      </c>
      <c r="AE17" s="217">
        <f>IF($C$9&gt;=6,$B17*3.28084,"")</f>
        <v>12.000000384000002</v>
      </c>
      <c r="AF17" s="229">
        <f>IF($C$9&gt;=6,$C17*3.28084,"")</f>
        <v>8.0000002559999999</v>
      </c>
      <c r="AG17" s="8"/>
      <c r="AH17" s="8"/>
      <c r="AI17" s="8"/>
      <c r="AJ17" s="8"/>
      <c r="AK17" s="8"/>
    </row>
    <row r="18" spans="1:37" x14ac:dyDescent="0.25">
      <c r="A18" s="260" t="str">
        <f>IF($C$9&gt;=7,"#7:","")</f>
        <v/>
      </c>
      <c r="B18" s="145"/>
      <c r="C18" s="146"/>
      <c r="D18" s="280" t="str">
        <f>IF($C$9&gt;=7,"#7:","")</f>
        <v/>
      </c>
      <c r="E18" s="147" t="str">
        <f t="shared" si="0"/>
        <v/>
      </c>
      <c r="F18" s="148" t="str">
        <f t="shared" si="1"/>
        <v/>
      </c>
      <c r="G18" s="54"/>
      <c r="H18" s="54"/>
      <c r="I18" s="60"/>
      <c r="K18" s="9">
        <v>14</v>
      </c>
      <c r="L18" s="16" t="str">
        <f>IF($C$9&gt;=14,$C25-$L$35,"")</f>
        <v/>
      </c>
      <c r="M18" s="16" t="str">
        <f>IF($C$9&gt;=14,$B25-$L$34,"")</f>
        <v/>
      </c>
      <c r="N18" s="29" t="str">
        <f>IF($C$9&gt;=14,$L18^2,"")</f>
        <v/>
      </c>
      <c r="O18" s="29" t="str">
        <f>IF($C$9&gt;=14,$M18^2,"")</f>
        <v/>
      </c>
      <c r="P18" s="29" t="str">
        <f>IF($C$9&gt;=14,$L18*$M18,"")</f>
        <v/>
      </c>
      <c r="Q18" s="17" t="str">
        <f>IF($C$9&gt;=14,$B25-$L$34,"")</f>
        <v/>
      </c>
      <c r="R18" s="17" t="str">
        <f>IF($C$9&gt;=14,$C25-$L$35,"")</f>
        <v/>
      </c>
      <c r="S18" s="18" t="str">
        <f>IF($C$9&gt;=14,(-$P$43/$C$9+($P$47*$L$36--$P$46*$L$39)/($L$36*$L$37-$L$39^2)*$Q18+(-$P$46*$L$37-$P$47*$L$39)/($L$36*$L$37-$L$39^2)*$R18),"")</f>
        <v/>
      </c>
      <c r="T18" s="18" t="str">
        <f>IF($C$9&gt;=14,((($P$44/$C$9+$P$48*-$R18/$L$38)^2+($P$45/$C$9+$P$48*$Q18/$L$38)^2)^(1/2)),"")</f>
        <v/>
      </c>
      <c r="AD18" s="262" t="str">
        <f>IF($C$9&gt;=7,"#7:","")</f>
        <v/>
      </c>
      <c r="AE18" s="217" t="str">
        <f>IF($C$9&gt;=7,$B18*3.28084,"")</f>
        <v/>
      </c>
      <c r="AF18" s="229" t="str">
        <f>IF($C$9&gt;=7,$C18*3.28084,"")</f>
        <v/>
      </c>
      <c r="AG18" s="8"/>
      <c r="AH18" s="8"/>
      <c r="AI18" s="8"/>
      <c r="AJ18" s="8"/>
      <c r="AK18" s="8"/>
    </row>
    <row r="19" spans="1:37" x14ac:dyDescent="0.25">
      <c r="A19" s="260" t="str">
        <f>IF($C$9&gt;=8,"#8:","")</f>
        <v/>
      </c>
      <c r="B19" s="145"/>
      <c r="C19" s="146"/>
      <c r="D19" s="280" t="str">
        <f>IF($C$9&gt;=8,"#8:","")</f>
        <v/>
      </c>
      <c r="E19" s="147" t="str">
        <f t="shared" si="0"/>
        <v/>
      </c>
      <c r="F19" s="148" t="str">
        <f t="shared" si="1"/>
        <v/>
      </c>
      <c r="G19" s="54"/>
      <c r="H19" s="54"/>
      <c r="I19" s="60"/>
      <c r="K19" s="9">
        <v>15</v>
      </c>
      <c r="L19" s="16" t="str">
        <f>IF($C$9&gt;=15,$C26-$L$35,"")</f>
        <v/>
      </c>
      <c r="M19" s="16" t="str">
        <f>IF($C$9&gt;=15,$B26-$L$34,"")</f>
        <v/>
      </c>
      <c r="N19" s="29" t="str">
        <f>IF($C$9&gt;=15,$L19^2,"")</f>
        <v/>
      </c>
      <c r="O19" s="29" t="str">
        <f>IF($C$9&gt;=15,$M19^2,"")</f>
        <v/>
      </c>
      <c r="P19" s="29" t="str">
        <f>IF($C$9&gt;=15,$L19*$M19,"")</f>
        <v/>
      </c>
      <c r="Q19" s="17" t="str">
        <f>IF($C$9&gt;=15,$B26-$L$34,"")</f>
        <v/>
      </c>
      <c r="R19" s="17" t="str">
        <f>IF($C$9&gt;=15,$C26-$L$35,"")</f>
        <v/>
      </c>
      <c r="S19" s="18" t="str">
        <f>IF($C$9&gt;=15,(-$P$43/$C$9+($P$47*$L$36--$P$46*$L$39)/($L$36*$L$37-$L$39^2)*$Q19+(-$P$46*$L$37-$P$47*$L$39)/($L$36*$L$37-$L$39^2)*$R19),"")</f>
        <v/>
      </c>
      <c r="T19" s="18" t="str">
        <f>IF($C$9&gt;=15,((($P$44/$C$9+$P$48*-$R19/$L$38)^2+($P$45/$C$9+$P$48*$Q19/$L$38)^2)^(1/2)),"")</f>
        <v/>
      </c>
      <c r="AD19" s="262" t="str">
        <f>IF($C$9&gt;=8,"#8:","")</f>
        <v/>
      </c>
      <c r="AE19" s="217" t="str">
        <f>IF($C$9&gt;=8,$B19*3.28084,"")</f>
        <v/>
      </c>
      <c r="AF19" s="229" t="str">
        <f>IF($C$9&gt;=8,$C19*3.28084,"")</f>
        <v/>
      </c>
      <c r="AG19" s="8"/>
      <c r="AH19" s="8"/>
      <c r="AI19" s="8"/>
      <c r="AJ19" s="8"/>
      <c r="AK19" s="8"/>
    </row>
    <row r="20" spans="1:37" x14ac:dyDescent="0.25">
      <c r="A20" s="260" t="str">
        <f>IF($C$9&gt;=9,"#9:","")</f>
        <v/>
      </c>
      <c r="B20" s="145"/>
      <c r="C20" s="146"/>
      <c r="D20" s="280" t="str">
        <f>IF($C$9&gt;=9,"#9:","")</f>
        <v/>
      </c>
      <c r="E20" s="147" t="str">
        <f t="shared" si="0"/>
        <v/>
      </c>
      <c r="F20" s="148" t="str">
        <f t="shared" si="1"/>
        <v/>
      </c>
      <c r="G20" s="54"/>
      <c r="H20" s="54"/>
      <c r="I20" s="60"/>
      <c r="K20" s="9">
        <v>16</v>
      </c>
      <c r="L20" s="16" t="str">
        <f>IF($C$9&gt;=16,$C27-$L$35,"")</f>
        <v/>
      </c>
      <c r="M20" s="16" t="str">
        <f>IF($C$9&gt;=16,$B27-$L$34,"")</f>
        <v/>
      </c>
      <c r="N20" s="29" t="str">
        <f>IF($C$9&gt;=16,$L20^2,"")</f>
        <v/>
      </c>
      <c r="O20" s="29" t="str">
        <f>IF($C$9&gt;=16,$M20^2,"")</f>
        <v/>
      </c>
      <c r="P20" s="29" t="str">
        <f>IF($C$9&gt;=16,$L20*$M20,"")</f>
        <v/>
      </c>
      <c r="Q20" s="17" t="str">
        <f>IF($C$9&gt;=16,$B27-$L$34,"")</f>
        <v/>
      </c>
      <c r="R20" s="17" t="str">
        <f>IF($C$9&gt;=16,$C27-$L$35,"")</f>
        <v/>
      </c>
      <c r="S20" s="18" t="str">
        <f>IF($C$9&gt;=16,(-$P$43/$C$9+($P$47*$L$36--$P$46*$L$39)/($L$36*$L$37-$L$39^2)*$Q20+(-$P$46*$L$37-$P$47*$L$39)/($L$36*$L$37-$L$39^2)*$R20),"")</f>
        <v/>
      </c>
      <c r="T20" s="18" t="str">
        <f>IF($C$9&gt;=16,((($P$44/$C$9+$P$48*-$R20/$L$38)^2+($P$45/$C$9+$P$48*$Q20/$L$38)^2)^(1/2)),"")</f>
        <v/>
      </c>
      <c r="AD20" s="262" t="str">
        <f>IF($C$9&gt;=9,"#9:","")</f>
        <v/>
      </c>
      <c r="AE20" s="217" t="str">
        <f>IF($C$9&gt;=9,$B20*3.28084,"")</f>
        <v/>
      </c>
      <c r="AF20" s="229" t="str">
        <f>IF($C$9&gt;=9,$C20*3.28084,"")</f>
        <v/>
      </c>
      <c r="AG20" s="8"/>
      <c r="AH20" s="8"/>
      <c r="AI20" s="8"/>
      <c r="AJ20" s="8"/>
      <c r="AK20" s="8"/>
    </row>
    <row r="21" spans="1:37" x14ac:dyDescent="0.25">
      <c r="A21" s="260" t="str">
        <f>IF($C$9&gt;=10,"#10:","")</f>
        <v/>
      </c>
      <c r="B21" s="145"/>
      <c r="C21" s="146"/>
      <c r="D21" s="280" t="str">
        <f>IF($C$9&gt;=10,"#10:","")</f>
        <v/>
      </c>
      <c r="E21" s="147" t="str">
        <f t="shared" si="0"/>
        <v/>
      </c>
      <c r="F21" s="148" t="str">
        <f t="shared" si="1"/>
        <v/>
      </c>
      <c r="G21" s="54"/>
      <c r="H21" s="54"/>
      <c r="I21" s="60"/>
      <c r="K21" s="9">
        <v>17</v>
      </c>
      <c r="L21" s="16" t="str">
        <f>IF($C$9&gt;=17,$C28-$L$35,"")</f>
        <v/>
      </c>
      <c r="M21" s="16" t="str">
        <f>IF($C$9&gt;=17,$B28-$L$34,"")</f>
        <v/>
      </c>
      <c r="N21" s="29" t="str">
        <f>IF($C$9&gt;=17,$L21^2,"")</f>
        <v/>
      </c>
      <c r="O21" s="29" t="str">
        <f>IF($C$9&gt;=17,$M21^2,"")</f>
        <v/>
      </c>
      <c r="P21" s="29" t="str">
        <f>IF($C$9&gt;=17,$L21*$M21,"")</f>
        <v/>
      </c>
      <c r="Q21" s="17" t="str">
        <f>IF($C$9&gt;=17,$B28-$L$34,"")</f>
        <v/>
      </c>
      <c r="R21" s="17" t="str">
        <f>IF($C$9&gt;=17,$C28-$L$35,"")</f>
        <v/>
      </c>
      <c r="S21" s="18" t="str">
        <f>IF($C$9&gt;=17,(-$P$43/$C$9+($P$47*$L$36--$P$46*$L$39)/($L$36*$L$37-$L$39^2)*$Q21+(-$P$46*$L$37-$P$47*$L$39)/($L$36*$L$37-$L$39^2)*$R21),"")</f>
        <v/>
      </c>
      <c r="T21" s="18" t="str">
        <f>IF($C$9&gt;=17,((($P$44/$C$9+$P$48*-$R21/$L$38)^2+($P$45/$C$9+$P$48*$Q21/$L$38)^2)^(1/2)),"")</f>
        <v/>
      </c>
      <c r="AD21" s="262" t="str">
        <f>IF($C$9&gt;=10,"#10:","")</f>
        <v/>
      </c>
      <c r="AE21" s="217" t="str">
        <f>IF($C$9&gt;=10,$B21*3.28084,"")</f>
        <v/>
      </c>
      <c r="AF21" s="229" t="str">
        <f>IF($C$9&gt;=10,$C21*3.28084,"")</f>
        <v/>
      </c>
      <c r="AG21" s="8"/>
      <c r="AH21" s="8"/>
      <c r="AI21" s="8"/>
      <c r="AJ21" s="8"/>
      <c r="AK21" s="8"/>
    </row>
    <row r="22" spans="1:37" x14ac:dyDescent="0.25">
      <c r="A22" s="260" t="str">
        <f>IF($C$9&gt;=11,"#11:","")</f>
        <v/>
      </c>
      <c r="B22" s="145"/>
      <c r="C22" s="146"/>
      <c r="D22" s="280" t="str">
        <f>IF($C$9&gt;=11,"#11:","")</f>
        <v/>
      </c>
      <c r="E22" s="147" t="str">
        <f t="shared" si="0"/>
        <v/>
      </c>
      <c r="F22" s="148" t="str">
        <f t="shared" si="1"/>
        <v/>
      </c>
      <c r="G22" s="54"/>
      <c r="H22" s="54"/>
      <c r="I22" s="60"/>
      <c r="K22" s="9">
        <v>18</v>
      </c>
      <c r="L22" s="16" t="str">
        <f>IF($C$9&gt;=18,$C29-$L$35,"")</f>
        <v/>
      </c>
      <c r="M22" s="16" t="str">
        <f>IF($C$9&gt;=18,$B29-$L$34,"")</f>
        <v/>
      </c>
      <c r="N22" s="29" t="str">
        <f>IF($C$9&gt;=18,$L22^2,"")</f>
        <v/>
      </c>
      <c r="O22" s="29" t="str">
        <f>IF($C$9&gt;=18,$M22^2,"")</f>
        <v/>
      </c>
      <c r="P22" s="29" t="str">
        <f>IF($C$9&gt;=18,$L22*$M22,"")</f>
        <v/>
      </c>
      <c r="Q22" s="17" t="str">
        <f>IF($C$9&gt;=18,$B29-$L$34,"")</f>
        <v/>
      </c>
      <c r="R22" s="17" t="str">
        <f>IF($C$9&gt;=18,$C29-$L$35,"")</f>
        <v/>
      </c>
      <c r="S22" s="18" t="str">
        <f>IF($C$9&gt;=18,(-$P$43/$C$9+($P$47*$L$36--$P$46*$L$39)/($L$36*$L$37-$L$39^2)*$Q22+(-$P$46*$L$37-$P$47*$L$39)/($L$36*$L$37-$L$39^2)*$R22),"")</f>
        <v/>
      </c>
      <c r="T22" s="18" t="str">
        <f>IF($C$9&gt;=18,((($P$44/$C$9+$P$48*-$R22/$L$38)^2+($P$45/$C$9+$P$48*$Q22/$L$38)^2)^(1/2)),"")</f>
        <v/>
      </c>
      <c r="AD22" s="262" t="str">
        <f>IF($C$9&gt;=11,"#11:","")</f>
        <v/>
      </c>
      <c r="AE22" s="217" t="str">
        <f>IF($C$9&gt;=11,$B22*3.28084,"")</f>
        <v/>
      </c>
      <c r="AF22" s="229" t="str">
        <f>IF($C$9&gt;=11,$C22*3.28084,"")</f>
        <v/>
      </c>
      <c r="AG22" s="8"/>
      <c r="AH22" s="8"/>
      <c r="AI22" s="8"/>
      <c r="AJ22" s="8"/>
      <c r="AK22" s="8"/>
    </row>
    <row r="23" spans="1:37" x14ac:dyDescent="0.25">
      <c r="A23" s="260" t="str">
        <f>IF($C$9&gt;=12,"#12:","")</f>
        <v/>
      </c>
      <c r="B23" s="145"/>
      <c r="C23" s="146"/>
      <c r="D23" s="280" t="str">
        <f>IF($C$9&gt;=12,"#12:","")</f>
        <v/>
      </c>
      <c r="E23" s="147" t="str">
        <f t="shared" si="0"/>
        <v/>
      </c>
      <c r="F23" s="148" t="str">
        <f t="shared" si="1"/>
        <v/>
      </c>
      <c r="G23" s="54"/>
      <c r="H23" s="54"/>
      <c r="I23" s="60"/>
      <c r="K23" s="9">
        <v>19</v>
      </c>
      <c r="L23" s="16" t="str">
        <f>IF($C$9&gt;=19,$C30-$L$35,"")</f>
        <v/>
      </c>
      <c r="M23" s="16" t="str">
        <f>IF($C$9&gt;=19,$B30-$L$34,"")</f>
        <v/>
      </c>
      <c r="N23" s="29" t="str">
        <f>IF($C$9&gt;=19,$L23^2,"")</f>
        <v/>
      </c>
      <c r="O23" s="29" t="str">
        <f>IF($C$9&gt;=19,$M23^2,"")</f>
        <v/>
      </c>
      <c r="P23" s="29" t="str">
        <f>IF($C$9&gt;=19,$L23*$M23,"")</f>
        <v/>
      </c>
      <c r="Q23" s="17" t="str">
        <f>IF($C$9&gt;=19,$B30-$L$34,"")</f>
        <v/>
      </c>
      <c r="R23" s="17" t="str">
        <f>IF($C$9&gt;=19,$C30-$L$35,"")</f>
        <v/>
      </c>
      <c r="S23" s="18" t="str">
        <f>IF($C$9&gt;=19,(-$P$43/$C$9+($P$47*$L$36--$P$46*$L$39)/($L$36*$L$37-$L$39^2)*$Q23+(-$P$46*$L$37-$P$47*$L$39)/($L$36*$L$37-$L$39^2)*$R23),"")</f>
        <v/>
      </c>
      <c r="T23" s="18" t="str">
        <f>IF($C$9&gt;=19,((($P$44/$C$9+$P$48*-$R23/$L$38)^2+($P$45/$C$9+$P$48*$Q23/$L$38)^2)^(1/2)),"")</f>
        <v/>
      </c>
      <c r="AD23" s="262" t="str">
        <f>IF($C$9&gt;=12,"#12:","")</f>
        <v/>
      </c>
      <c r="AE23" s="217" t="str">
        <f>IF($C$9&gt;=12,$B23*3.28084,"")</f>
        <v/>
      </c>
      <c r="AF23" s="229" t="str">
        <f>IF($C$9&gt;=12,$C23*3.28084,"")</f>
        <v/>
      </c>
      <c r="AG23" s="8"/>
      <c r="AH23" s="8"/>
      <c r="AI23" s="8"/>
      <c r="AJ23" s="8"/>
      <c r="AK23" s="8"/>
    </row>
    <row r="24" spans="1:37" x14ac:dyDescent="0.25">
      <c r="A24" s="260" t="str">
        <f>IF($C$9&gt;=13,"#13:","")</f>
        <v/>
      </c>
      <c r="B24" s="145"/>
      <c r="C24" s="146"/>
      <c r="D24" s="280" t="str">
        <f>IF($C$9&gt;=13,"#13:","")</f>
        <v/>
      </c>
      <c r="E24" s="147" t="str">
        <f t="shared" si="0"/>
        <v/>
      </c>
      <c r="F24" s="148" t="str">
        <f t="shared" si="1"/>
        <v/>
      </c>
      <c r="G24" s="54"/>
      <c r="H24" s="54"/>
      <c r="I24" s="60"/>
      <c r="K24" s="9">
        <v>20</v>
      </c>
      <c r="L24" s="16" t="str">
        <f>IF($C$9&gt;=20,$C31-$L$35,"")</f>
        <v/>
      </c>
      <c r="M24" s="16" t="str">
        <f>IF($C$9&gt;=20,$B31-$L$34,"")</f>
        <v/>
      </c>
      <c r="N24" s="29" t="str">
        <f>IF($C$9&gt;=20,$L24^2,"")</f>
        <v/>
      </c>
      <c r="O24" s="29" t="str">
        <f>IF($C$9&gt;=20,$M24^2,"")</f>
        <v/>
      </c>
      <c r="P24" s="29" t="str">
        <f>IF($C$9&gt;=20,$L24*$M24,"")</f>
        <v/>
      </c>
      <c r="Q24" s="17" t="str">
        <f>IF($C$9&gt;=20,$B31-$L$34,"")</f>
        <v/>
      </c>
      <c r="R24" s="17" t="str">
        <f>IF($C$9&gt;=20,$C31-$L$35,"")</f>
        <v/>
      </c>
      <c r="S24" s="18" t="str">
        <f>IF($C$9&gt;=20,(-$P$43/$C$9+($P$47*$L$36--$P$46*$L$39)/($L$36*$L$37-$L$39^2)*$Q24+(-$P$46*$L$37-$P$47*$L$39)/($L$36*$L$37-$L$39^2)*$R24),"")</f>
        <v/>
      </c>
      <c r="T24" s="18" t="str">
        <f>IF($C$9&gt;=20,((($P$44/$C$9+$P$48*-$R24/$L$38)^2+($P$45/$C$9+$P$48*$Q24/$L$38)^2)^(1/2)),"")</f>
        <v/>
      </c>
      <c r="AD24" s="262" t="str">
        <f>IF($C$9&gt;=13,"#13:","")</f>
        <v/>
      </c>
      <c r="AE24" s="217" t="str">
        <f>IF($C$9&gt;=13,$B24*3.28084,"")</f>
        <v/>
      </c>
      <c r="AF24" s="229" t="str">
        <f>IF($C$9&gt;=13,$C24*3.28084,"")</f>
        <v/>
      </c>
      <c r="AG24" s="8"/>
      <c r="AH24" s="8"/>
      <c r="AI24" s="8"/>
      <c r="AJ24" s="8"/>
      <c r="AK24" s="8"/>
    </row>
    <row r="25" spans="1:37" x14ac:dyDescent="0.25">
      <c r="A25" s="260" t="str">
        <f>IF($C$9&gt;=14,"#14:","")</f>
        <v/>
      </c>
      <c r="B25" s="145"/>
      <c r="C25" s="146"/>
      <c r="D25" s="280" t="str">
        <f>IF($C$9&gt;=14,"#14:","")</f>
        <v/>
      </c>
      <c r="E25" s="147" t="str">
        <f t="shared" si="0"/>
        <v/>
      </c>
      <c r="F25" s="148" t="str">
        <f t="shared" si="1"/>
        <v/>
      </c>
      <c r="G25" s="54"/>
      <c r="H25" s="54"/>
      <c r="I25" s="60"/>
      <c r="K25" s="9">
        <v>21</v>
      </c>
      <c r="L25" s="16" t="str">
        <f>IF($C$9&gt;=21,$C32-$L$35,"")</f>
        <v/>
      </c>
      <c r="M25" s="16" t="str">
        <f>IF($C$9&gt;=21,$B32-$L$34,"")</f>
        <v/>
      </c>
      <c r="N25" s="29" t="str">
        <f>IF($C$9&gt;=21,$L25^2,"")</f>
        <v/>
      </c>
      <c r="O25" s="29" t="str">
        <f>IF($C$9&gt;=21,$M25^2,"")</f>
        <v/>
      </c>
      <c r="P25" s="29" t="str">
        <f>IF($C$9&gt;=21,$L25*$M25,"")</f>
        <v/>
      </c>
      <c r="Q25" s="17" t="str">
        <f>IF($C$9&gt;=21,$B32-$L$34,"")</f>
        <v/>
      </c>
      <c r="R25" s="17" t="str">
        <f>IF($C$9&gt;=21,$C32-$L$35,"")</f>
        <v/>
      </c>
      <c r="S25" s="18" t="str">
        <f>IF($C$9&gt;=21,(-$P$43/$C$9+($P$47*$L$36--$P$46*$L$39)/($L$36*$L$37-$L$39^2)*$Q25+(-$P$46*$L$37-$P$47*$L$39)/($L$36*$L$37-$L$39^2)*$R25),"")</f>
        <v/>
      </c>
      <c r="T25" s="18" t="str">
        <f>IF($C$9&gt;=21,((($P$44/$C$9+$P$48*-$R25/$L$38)^2+($P$45/$C$9+$P$48*$Q25/$L$38)^2)^(1/2)),"")</f>
        <v/>
      </c>
      <c r="AD25" s="262" t="str">
        <f>IF($C$9&gt;=14,"#14:","")</f>
        <v/>
      </c>
      <c r="AE25" s="217" t="str">
        <f>IF($C$9&gt;=14,$B25*3.28084,"")</f>
        <v/>
      </c>
      <c r="AF25" s="229" t="str">
        <f>IF($C$9&gt;=14,$C25*3.28084,"")</f>
        <v/>
      </c>
      <c r="AG25" s="8"/>
      <c r="AH25" s="8"/>
      <c r="AI25" s="8"/>
      <c r="AJ25" s="8"/>
      <c r="AK25" s="8"/>
    </row>
    <row r="26" spans="1:37" x14ac:dyDescent="0.25">
      <c r="A26" s="260" t="str">
        <f>IF($C$9&gt;=15,"#15:","")</f>
        <v/>
      </c>
      <c r="B26" s="145"/>
      <c r="C26" s="146"/>
      <c r="D26" s="280" t="str">
        <f>IF($C$9&gt;=15,"#15:","")</f>
        <v/>
      </c>
      <c r="E26" s="147" t="str">
        <f t="shared" si="0"/>
        <v/>
      </c>
      <c r="F26" s="148" t="str">
        <f t="shared" si="1"/>
        <v/>
      </c>
      <c r="G26" s="54"/>
      <c r="H26" s="54"/>
      <c r="I26" s="60"/>
      <c r="K26" s="9">
        <v>22</v>
      </c>
      <c r="L26" s="16" t="str">
        <f>IF($C$9&gt;=22,$C33-$L$35,"")</f>
        <v/>
      </c>
      <c r="M26" s="16" t="str">
        <f>IF($C$9&gt;=22,$B33-$L$34,"")</f>
        <v/>
      </c>
      <c r="N26" s="29" t="str">
        <f>IF($C$9&gt;=22,$L26^2,"")</f>
        <v/>
      </c>
      <c r="O26" s="29" t="str">
        <f>IF($C$9&gt;=22,$M26^2,"")</f>
        <v/>
      </c>
      <c r="P26" s="29" t="str">
        <f>IF($C$9&gt;=22,$L26*$M26,"")</f>
        <v/>
      </c>
      <c r="Q26" s="17" t="str">
        <f>IF($C$9&gt;=22,$B33-$L$34,"")</f>
        <v/>
      </c>
      <c r="R26" s="17" t="str">
        <f>IF($C$9&gt;=22,$C33-$L$35,"")</f>
        <v/>
      </c>
      <c r="S26" s="18" t="str">
        <f>IF($C$9&gt;=22,(-$P$43/$C$9+($P$47*$L$36--$P$46*$L$39)/($L$36*$L$37-$L$39^2)*$Q26+(-$P$46*$L$37-$P$47*$L$39)/($L$36*$L$37-$L$39^2)*$R26),"")</f>
        <v/>
      </c>
      <c r="T26" s="18" t="str">
        <f>IF($C$9&gt;=22,((($P$44/$C$9+$P$48*-$R26/$L$38)^2+($P$45/$C$9+$P$48*$Q26/$L$38)^2)^(1/2)),"")</f>
        <v/>
      </c>
      <c r="AD26" s="262" t="str">
        <f>IF($C$9&gt;=15,"#15:","")</f>
        <v/>
      </c>
      <c r="AE26" s="217" t="str">
        <f>IF($C$9&gt;=15,$B26*3.28084,"")</f>
        <v/>
      </c>
      <c r="AF26" s="229" t="str">
        <f>IF($C$9&gt;=15,$C26*3.28084,"")</f>
        <v/>
      </c>
      <c r="AG26" s="8"/>
      <c r="AH26" s="8"/>
      <c r="AI26" s="8"/>
      <c r="AJ26" s="8"/>
      <c r="AK26" s="8"/>
    </row>
    <row r="27" spans="1:37" x14ac:dyDescent="0.25">
      <c r="A27" s="260" t="str">
        <f>IF($C$9&gt;=16,"#16:","")</f>
        <v/>
      </c>
      <c r="B27" s="145"/>
      <c r="C27" s="146"/>
      <c r="D27" s="280" t="str">
        <f>IF($C$9&gt;=16,"#16:","")</f>
        <v/>
      </c>
      <c r="E27" s="147" t="str">
        <f t="shared" si="0"/>
        <v/>
      </c>
      <c r="F27" s="148" t="str">
        <f t="shared" si="1"/>
        <v/>
      </c>
      <c r="G27" s="54"/>
      <c r="H27" s="54"/>
      <c r="I27" s="60"/>
      <c r="K27" s="9">
        <v>23</v>
      </c>
      <c r="L27" s="16" t="str">
        <f>IF($C$9&gt;=23,$C34-$L$35,"")</f>
        <v/>
      </c>
      <c r="M27" s="16" t="str">
        <f>IF($C$9&gt;=23,$B34-$L$34,"")</f>
        <v/>
      </c>
      <c r="N27" s="29" t="str">
        <f>IF($C$9&gt;=23,$L27^2,"")</f>
        <v/>
      </c>
      <c r="O27" s="29" t="str">
        <f>IF($C$9&gt;=23,$M27^2,"")</f>
        <v/>
      </c>
      <c r="P27" s="29" t="str">
        <f>IF($C$9&gt;=23,$L27*$M27,"")</f>
        <v/>
      </c>
      <c r="Q27" s="17" t="str">
        <f>IF($C$9&gt;=23,$B34-$L$34,"")</f>
        <v/>
      </c>
      <c r="R27" s="17" t="str">
        <f>IF($C$9&gt;=23,$C34-$L$35,"")</f>
        <v/>
      </c>
      <c r="S27" s="18" t="str">
        <f>IF($C$9&gt;=23,(-$P$43/$C$9+($P$47*$L$36--$P$46*$L$39)/($L$36*$L$37-$L$39^2)*$Q27+(-$P$46*$L$37-$P$47*$L$39)/($L$36*$L$37-$L$39^2)*$R27),"")</f>
        <v/>
      </c>
      <c r="T27" s="18" t="str">
        <f>IF($C$9&gt;=23,((($P$44/$C$9+$P$48*-$R27/$L$38)^2+($P$45/$C$9+$P$48*$Q27/$L$38)^2)^(1/2)),"")</f>
        <v/>
      </c>
      <c r="AD27" s="262" t="str">
        <f>IF($C$9&gt;=16,"#16:","")</f>
        <v/>
      </c>
      <c r="AE27" s="217" t="str">
        <f>IF($C$9&gt;=16,$B27*3.28084,"")</f>
        <v/>
      </c>
      <c r="AF27" s="229" t="str">
        <f>IF($C$9&gt;=16,$C27*3.28084,"")</f>
        <v/>
      </c>
      <c r="AG27" s="8"/>
      <c r="AH27" s="8"/>
      <c r="AI27" s="8"/>
      <c r="AJ27" s="8"/>
      <c r="AK27" s="8"/>
    </row>
    <row r="28" spans="1:37" x14ac:dyDescent="0.25">
      <c r="A28" s="260" t="str">
        <f>IF($C$9&gt;=17,"#17:","")</f>
        <v/>
      </c>
      <c r="B28" s="145"/>
      <c r="C28" s="146"/>
      <c r="D28" s="280" t="str">
        <f>IF($C$9&gt;=17,"#17:","")</f>
        <v/>
      </c>
      <c r="E28" s="147" t="str">
        <f t="shared" si="0"/>
        <v/>
      </c>
      <c r="F28" s="148" t="str">
        <f t="shared" si="1"/>
        <v/>
      </c>
      <c r="G28" s="54"/>
      <c r="H28" s="54"/>
      <c r="I28" s="60"/>
      <c r="K28" s="9">
        <v>24</v>
      </c>
      <c r="L28" s="16" t="str">
        <f>IF($C$9&gt;=24,$C35-$L$35,"")</f>
        <v/>
      </c>
      <c r="M28" s="16" t="str">
        <f>IF($C$9&gt;=24,$B35-$L$34,"")</f>
        <v/>
      </c>
      <c r="N28" s="29" t="str">
        <f>IF($C$9&gt;=24,$L28^2,"")</f>
        <v/>
      </c>
      <c r="O28" s="29" t="str">
        <f>IF($C$9&gt;=24,$M28^2,"")</f>
        <v/>
      </c>
      <c r="P28" s="29" t="str">
        <f>IF($C$9&gt;=24,$L28*$M28,"")</f>
        <v/>
      </c>
      <c r="Q28" s="17" t="str">
        <f>IF($C$9&gt;=24,$B35-$L$34,"")</f>
        <v/>
      </c>
      <c r="R28" s="17" t="str">
        <f>IF($C$9&gt;=24,$C35-$L$35,"")</f>
        <v/>
      </c>
      <c r="S28" s="18" t="str">
        <f>IF($C$9&gt;=24,(-$P$43/$C$9+($P$47*$L$36--$P$46*$L$39)/($L$36*$L$37-$L$39^2)*$Q28+(-$P$46*$L$37-$P$47*$L$39)/($L$36*$L$37-$L$39^2)*$R28),"")</f>
        <v/>
      </c>
      <c r="T28" s="18" t="str">
        <f>IF($C$9&gt;=24,((($P$44/$C$9+$P$48*-$R28/$L$38)^2+($P$45/$C$9+$P$48*$Q28/$L$38)^2)^(1/2)),"")</f>
        <v/>
      </c>
      <c r="AD28" s="262" t="str">
        <f>IF($C$9&gt;=17,"#17:","")</f>
        <v/>
      </c>
      <c r="AE28" s="217" t="str">
        <f>IF($C$9&gt;=17,$B28*3.28084,"")</f>
        <v/>
      </c>
      <c r="AF28" s="229" t="str">
        <f>IF($C$9&gt;=17,$C28*3.28084,"")</f>
        <v/>
      </c>
      <c r="AG28" s="8"/>
      <c r="AH28" s="8"/>
      <c r="AI28" s="8"/>
      <c r="AJ28" s="8"/>
      <c r="AK28" s="8"/>
    </row>
    <row r="29" spans="1:37" x14ac:dyDescent="0.25">
      <c r="A29" s="260" t="str">
        <f>IF($C$9&gt;=18,"#18:","")</f>
        <v/>
      </c>
      <c r="B29" s="145"/>
      <c r="C29" s="146"/>
      <c r="D29" s="280" t="str">
        <f>IF($C$9&gt;=18,"#18:","")</f>
        <v/>
      </c>
      <c r="E29" s="147" t="str">
        <f t="shared" si="0"/>
        <v/>
      </c>
      <c r="F29" s="148" t="str">
        <f t="shared" si="1"/>
        <v/>
      </c>
      <c r="G29" s="49" t="s">
        <v>32</v>
      </c>
      <c r="H29" s="53"/>
      <c r="I29" s="64"/>
      <c r="K29" s="9">
        <v>25</v>
      </c>
      <c r="L29" s="16" t="str">
        <f>IF($C$9=25,$C36-$L$35,"")</f>
        <v/>
      </c>
      <c r="M29" s="16" t="str">
        <f>IF($C$9=25,$B36-$L$34,"")</f>
        <v/>
      </c>
      <c r="N29" s="29" t="str">
        <f>IF($C$9=25,$L29^2,"")</f>
        <v/>
      </c>
      <c r="O29" s="29" t="str">
        <f>IF($C$9=25,$M29^2,"")</f>
        <v/>
      </c>
      <c r="P29" s="29" t="str">
        <f>IF($C$9=25,$L29*$M29,"")</f>
        <v/>
      </c>
      <c r="Q29" s="17" t="str">
        <f>IF($C$9=25,$B36-$L$34,"")</f>
        <v/>
      </c>
      <c r="R29" s="17" t="str">
        <f>IF($C$9=25,$C36-$L$35,"")</f>
        <v/>
      </c>
      <c r="S29" s="18" t="str">
        <f>IF($C$9=25,(-$P$43/$C$9+($P$47*$L$36--$P$46*$L$39)/($L$36*$L$37-$L$39^2)*$Q29+(-$P$46*$L$37-$P$47*$L$39)/($L$36*$L$37-$L$39^2)*$R29),"")</f>
        <v/>
      </c>
      <c r="T29" s="18" t="str">
        <f>IF($C$9=25,((($P$44/$C$9+$P$48*-$R29/$L$38)^2+($P$45/$C$9+$P$48*$Q29/$L$38)^2)^(1/2)),"")</f>
        <v/>
      </c>
      <c r="AD29" s="262" t="str">
        <f>IF($C$9&gt;=18,"#18:","")</f>
        <v/>
      </c>
      <c r="AE29" s="217" t="str">
        <f>IF($C$9&gt;=18,$B29*3.28084,"")</f>
        <v/>
      </c>
      <c r="AF29" s="229" t="str">
        <f>IF($C$9&gt;=18,$C29*3.28084,"")</f>
        <v/>
      </c>
      <c r="AG29" s="8"/>
      <c r="AH29" s="8"/>
      <c r="AI29" s="8"/>
      <c r="AJ29" s="8"/>
      <c r="AK29" s="8"/>
    </row>
    <row r="30" spans="1:37" x14ac:dyDescent="0.25">
      <c r="A30" s="260" t="str">
        <f>IF($C$9&gt;=19,"#19:","")</f>
        <v/>
      </c>
      <c r="B30" s="145"/>
      <c r="C30" s="146"/>
      <c r="D30" s="280" t="str">
        <f>IF($C$9&gt;=19,"#19:","")</f>
        <v/>
      </c>
      <c r="E30" s="147" t="str">
        <f t="shared" si="0"/>
        <v/>
      </c>
      <c r="F30" s="148" t="str">
        <f t="shared" si="1"/>
        <v/>
      </c>
      <c r="G30" s="65" t="s">
        <v>5</v>
      </c>
      <c r="H30" s="149">
        <f t="shared" ref="H30:H36" si="2">$L34</f>
        <v>1.8288000000000002</v>
      </c>
      <c r="I30" s="96" t="s">
        <v>115</v>
      </c>
      <c r="AD30" s="262" t="str">
        <f>IF($C$9&gt;=19,"#19:","")</f>
        <v/>
      </c>
      <c r="AE30" s="217" t="str">
        <f>IF($C$9&gt;=19,$B30*3.28084,"")</f>
        <v/>
      </c>
      <c r="AF30" s="229" t="str">
        <f>IF($C$9&gt;=19,$C30*3.28084,"")</f>
        <v/>
      </c>
      <c r="AG30" s="8"/>
      <c r="AH30" s="8"/>
      <c r="AI30" s="8"/>
      <c r="AJ30" s="8"/>
      <c r="AK30" s="8"/>
    </row>
    <row r="31" spans="1:37" x14ac:dyDescent="0.25">
      <c r="A31" s="260" t="str">
        <f>IF($C$9&gt;=20,"#20:","")</f>
        <v/>
      </c>
      <c r="B31" s="145"/>
      <c r="C31" s="146"/>
      <c r="D31" s="280" t="str">
        <f>IF($C$9&gt;=20,"#20:","")</f>
        <v/>
      </c>
      <c r="E31" s="147" t="str">
        <f t="shared" si="0"/>
        <v/>
      </c>
      <c r="F31" s="148" t="str">
        <f t="shared" si="1"/>
        <v/>
      </c>
      <c r="G31" s="65" t="s">
        <v>6</v>
      </c>
      <c r="H31" s="150">
        <f t="shared" si="2"/>
        <v>1.2192000000000001</v>
      </c>
      <c r="I31" s="96" t="s">
        <v>115</v>
      </c>
      <c r="J31" s="2"/>
      <c r="K31" s="12" t="s">
        <v>32</v>
      </c>
      <c r="L31" s="8"/>
      <c r="M31" s="8"/>
      <c r="N31" s="3"/>
      <c r="O31" s="31" t="s">
        <v>7</v>
      </c>
      <c r="R31" s="21"/>
      <c r="S31" s="21"/>
      <c r="T31" s="24"/>
      <c r="AD31" s="262" t="str">
        <f>IF($C$9&gt;=20,"#20:","")</f>
        <v/>
      </c>
      <c r="AE31" s="217" t="str">
        <f>IF($C$9&gt;=20,$B31*3.28084,"")</f>
        <v/>
      </c>
      <c r="AF31" s="229" t="str">
        <f>IF($C$9&gt;=20,$C31*3.28084,"")</f>
        <v/>
      </c>
      <c r="AG31" s="8"/>
      <c r="AH31" s="8"/>
      <c r="AI31" s="8"/>
      <c r="AJ31" s="8"/>
      <c r="AK31" s="8"/>
    </row>
    <row r="32" spans="1:37" x14ac:dyDescent="0.25">
      <c r="A32" s="260" t="str">
        <f>IF($C$9&gt;=21,"#21:","")</f>
        <v/>
      </c>
      <c r="B32" s="145"/>
      <c r="C32" s="146"/>
      <c r="D32" s="280" t="str">
        <f>IF($C$9&gt;=21,"#21:","")</f>
        <v/>
      </c>
      <c r="E32" s="147" t="str">
        <f t="shared" si="0"/>
        <v/>
      </c>
      <c r="F32" s="148" t="str">
        <f t="shared" si="1"/>
        <v/>
      </c>
      <c r="G32" s="67" t="s">
        <v>92</v>
      </c>
      <c r="H32" s="151">
        <f t="shared" si="2"/>
        <v>8.9186894016010001</v>
      </c>
      <c r="I32" s="95" t="s">
        <v>262</v>
      </c>
      <c r="K32" s="11" t="s">
        <v>85</v>
      </c>
      <c r="L32" s="4">
        <f>SUM($B$12:$B$36)</f>
        <v>10.972800000000001</v>
      </c>
      <c r="O32" s="8"/>
      <c r="P32" s="23" t="s">
        <v>8</v>
      </c>
      <c r="Q32" s="23" t="s">
        <v>9</v>
      </c>
      <c r="R32" s="23" t="s">
        <v>10</v>
      </c>
      <c r="S32" s="23" t="s">
        <v>11</v>
      </c>
      <c r="T32" s="24"/>
      <c r="AD32" s="262" t="str">
        <f>IF($C$9&gt;=21,"#21:","")</f>
        <v/>
      </c>
      <c r="AE32" s="217" t="str">
        <f>IF($C$9&gt;=21,$B32*3.28084,"")</f>
        <v/>
      </c>
      <c r="AF32" s="229" t="str">
        <f>IF($C$9&gt;=21,$C32*3.28084,"")</f>
        <v/>
      </c>
      <c r="AG32" s="8"/>
      <c r="AH32" s="8"/>
      <c r="AI32" s="8"/>
      <c r="AJ32" s="8"/>
      <c r="AK32" s="8"/>
    </row>
    <row r="33" spans="1:37" x14ac:dyDescent="0.25">
      <c r="A33" s="260" t="str">
        <f>IF($C$9&gt;=22,"#22:","")</f>
        <v/>
      </c>
      <c r="B33" s="145"/>
      <c r="C33" s="146"/>
      <c r="D33" s="280" t="str">
        <f>IF($C$9&gt;=22,"#22:","")</f>
        <v/>
      </c>
      <c r="E33" s="147" t="str">
        <f t="shared" si="0"/>
        <v/>
      </c>
      <c r="F33" s="148" t="str">
        <f t="shared" si="1"/>
        <v/>
      </c>
      <c r="G33" s="67" t="s">
        <v>93</v>
      </c>
      <c r="H33" s="151">
        <f t="shared" si="2"/>
        <v>13.378034102401005</v>
      </c>
      <c r="I33" s="95" t="s">
        <v>262</v>
      </c>
      <c r="K33" s="11" t="s">
        <v>86</v>
      </c>
      <c r="L33" s="4">
        <f>SUM($C$12:$C$36)</f>
        <v>7.3152000000000008</v>
      </c>
      <c r="O33" s="4" t="s">
        <v>88</v>
      </c>
      <c r="P33" s="4">
        <f>IF($C$38&gt;=1,$C$41-$L$34,"")</f>
        <v>0</v>
      </c>
      <c r="Q33" s="4" t="str">
        <f>IF($C$38&gt;=2,$D$41-$L$34,"")</f>
        <v/>
      </c>
      <c r="R33" s="4" t="str">
        <f>IF($C$38&gt;=3,$E$41-$L$34,"")</f>
        <v/>
      </c>
      <c r="S33" s="4" t="str">
        <f>IF($C$38=4,$F$41-$L$34,"")</f>
        <v/>
      </c>
      <c r="T33" s="24"/>
      <c r="AD33" s="262" t="str">
        <f>IF($C$9&gt;=22,"#22:","")</f>
        <v/>
      </c>
      <c r="AE33" s="217" t="str">
        <f>IF($C$9&gt;=22,$B33*3.28084,"")</f>
        <v/>
      </c>
      <c r="AF33" s="229" t="str">
        <f>IF($C$9&gt;=22,$C33*3.28084,"")</f>
        <v/>
      </c>
      <c r="AG33" s="8"/>
      <c r="AH33" s="8"/>
      <c r="AI33" s="8"/>
      <c r="AJ33" s="8"/>
      <c r="AK33" s="8"/>
    </row>
    <row r="34" spans="1:37" x14ac:dyDescent="0.25">
      <c r="A34" s="260" t="str">
        <f>IF($C$9&gt;=23,"#23:","")</f>
        <v/>
      </c>
      <c r="B34" s="145"/>
      <c r="C34" s="146"/>
      <c r="D34" s="280" t="str">
        <f>IF($C$9&gt;=23,"#23:","")</f>
        <v/>
      </c>
      <c r="E34" s="147" t="str">
        <f t="shared" si="0"/>
        <v/>
      </c>
      <c r="F34" s="148" t="str">
        <f t="shared" si="1"/>
        <v/>
      </c>
      <c r="G34" s="67" t="s">
        <v>22</v>
      </c>
      <c r="H34" s="151">
        <f t="shared" si="2"/>
        <v>22.296723504002003</v>
      </c>
      <c r="I34" s="95" t="s">
        <v>262</v>
      </c>
      <c r="K34" s="19" t="s">
        <v>5</v>
      </c>
      <c r="L34" s="16">
        <f>$L$32/$C$9</f>
        <v>1.8288000000000002</v>
      </c>
      <c r="O34" s="4" t="s">
        <v>87</v>
      </c>
      <c r="P34" s="4">
        <f>IF($C$38&gt;=1,$C$42-$L$35,"")</f>
        <v>0</v>
      </c>
      <c r="Q34" s="4" t="str">
        <f>IF($C$38&gt;=2,$D$42-$L$35,"")</f>
        <v/>
      </c>
      <c r="R34" s="4" t="str">
        <f>IF($C$38&gt;=3,$E$42-$L$35,"")</f>
        <v/>
      </c>
      <c r="S34" s="4" t="str">
        <f>IF($C$38=4,$F$42-$L$35,"")</f>
        <v/>
      </c>
      <c r="T34" s="24"/>
      <c r="AD34" s="262" t="str">
        <f>IF($C$9&gt;=23,"#23:","")</f>
        <v/>
      </c>
      <c r="AE34" s="217" t="str">
        <f>IF($C$9&gt;=23,$B34*3.28084,"")</f>
        <v/>
      </c>
      <c r="AF34" s="229" t="str">
        <f>IF($C$9&gt;=23,$C34*3.28084,"")</f>
        <v/>
      </c>
      <c r="AG34" s="8"/>
      <c r="AH34" s="8"/>
      <c r="AI34" s="8"/>
      <c r="AJ34" s="8"/>
      <c r="AK34" s="8"/>
    </row>
    <row r="35" spans="1:37" x14ac:dyDescent="0.25">
      <c r="A35" s="260" t="str">
        <f>IF($C$9&gt;=24,"#24:","")</f>
        <v/>
      </c>
      <c r="B35" s="145"/>
      <c r="C35" s="146"/>
      <c r="D35" s="280" t="str">
        <f>IF($C$9&gt;=24,"#24:","")</f>
        <v/>
      </c>
      <c r="E35" s="147" t="str">
        <f t="shared" si="0"/>
        <v/>
      </c>
      <c r="F35" s="148" t="str">
        <f t="shared" si="1"/>
        <v/>
      </c>
      <c r="G35" s="67" t="s">
        <v>94</v>
      </c>
      <c r="H35" s="151">
        <f t="shared" si="2"/>
        <v>0</v>
      </c>
      <c r="I35" s="95" t="s">
        <v>262</v>
      </c>
      <c r="K35" s="19" t="s">
        <v>6</v>
      </c>
      <c r="L35" s="16">
        <f>$L$33/$C$9</f>
        <v>1.2192000000000001</v>
      </c>
      <c r="O35" s="23" t="s">
        <v>12</v>
      </c>
      <c r="P35" s="3">
        <f>IF($C$38&gt;=1,$C$44*$P$34,"")</f>
        <v>0</v>
      </c>
      <c r="Q35" s="3" t="str">
        <f>IF($C$38&gt;=2,$D$44*$Q$34,"")</f>
        <v/>
      </c>
      <c r="R35" s="3" t="str">
        <f>IF($C$38&gt;=3,$E$44*$R$34,"")</f>
        <v/>
      </c>
      <c r="S35" s="3" t="str">
        <f>IF($C$38=4,$F$44*$S$34,"")</f>
        <v/>
      </c>
      <c r="T35" s="24"/>
      <c r="AD35" s="262" t="str">
        <f>IF($C$9&gt;=24,"#24:","")</f>
        <v/>
      </c>
      <c r="AE35" s="217" t="str">
        <f>IF($C$9&gt;=24,$B35*3.28084,"")</f>
        <v/>
      </c>
      <c r="AF35" s="229" t="str">
        <f>IF($C$9&gt;=24,$C35*3.28084,"")</f>
        <v/>
      </c>
      <c r="AG35" s="8"/>
      <c r="AH35" s="8"/>
      <c r="AI35" s="8"/>
      <c r="AJ35" s="8"/>
      <c r="AK35" s="8"/>
    </row>
    <row r="36" spans="1:37" x14ac:dyDescent="0.25">
      <c r="A36" s="260" t="str">
        <f>IF($C$9=25,"#25:","")</f>
        <v/>
      </c>
      <c r="B36" s="152"/>
      <c r="C36" s="153"/>
      <c r="D36" s="280" t="str">
        <f>IF($C$9=25,"#25:","")</f>
        <v/>
      </c>
      <c r="E36" s="154" t="str">
        <f t="shared" si="0"/>
        <v/>
      </c>
      <c r="F36" s="155" t="str">
        <f t="shared" si="1"/>
        <v/>
      </c>
      <c r="G36" s="68" t="s">
        <v>43</v>
      </c>
      <c r="H36" s="156">
        <f t="shared" si="2"/>
        <v>0</v>
      </c>
      <c r="I36" s="95" t="s">
        <v>44</v>
      </c>
      <c r="K36" s="20" t="s">
        <v>92</v>
      </c>
      <c r="L36" s="30">
        <f>SUM($N$5:$N$29)</f>
        <v>8.9186894016010001</v>
      </c>
      <c r="O36" s="23" t="s">
        <v>13</v>
      </c>
      <c r="P36" s="3">
        <f>IF($C$38&gt;=1,$C$44*-$P$33,"")</f>
        <v>0</v>
      </c>
      <c r="Q36" s="3" t="str">
        <f>IF($C$38&gt;=2,$D$44*-$Q$33,"")</f>
        <v/>
      </c>
      <c r="R36" s="3" t="str">
        <f>IF($C$38&gt;=3,$E$44*-$R$33,"")</f>
        <v/>
      </c>
      <c r="S36" s="3" t="str">
        <f>IF($C$38=4,$F$44*-$S$33,"")</f>
        <v/>
      </c>
      <c r="T36" s="24"/>
      <c r="AD36" s="262" t="str">
        <f>IF($C$9=25,"#25:","")</f>
        <v/>
      </c>
      <c r="AE36" s="222" t="str">
        <f>IF($C$9=25,$B36*3.28084,"")</f>
        <v/>
      </c>
      <c r="AF36" s="230" t="str">
        <f>IF($C$9=25,$C36*3.28084,"")</f>
        <v/>
      </c>
      <c r="AG36" s="8"/>
      <c r="AH36" s="8"/>
      <c r="AI36" s="8"/>
      <c r="AJ36" s="8"/>
      <c r="AK36" s="8"/>
    </row>
    <row r="37" spans="1:37" x14ac:dyDescent="0.25">
      <c r="A37" s="48"/>
      <c r="B37" s="54"/>
      <c r="C37" s="54"/>
      <c r="D37" s="54"/>
      <c r="E37" s="54"/>
      <c r="F37" s="54"/>
      <c r="G37" s="54"/>
      <c r="H37" s="54"/>
      <c r="I37" s="60"/>
      <c r="K37" s="20" t="s">
        <v>93</v>
      </c>
      <c r="L37" s="30">
        <f>SUM($O$5:$O$29)</f>
        <v>13.378034102401005</v>
      </c>
      <c r="O37" s="23" t="s">
        <v>14</v>
      </c>
      <c r="P37" s="3">
        <f>IF($C$38&gt;=1,$C$43*-$C$46,"")</f>
        <v>203.37270984000003</v>
      </c>
      <c r="Q37" s="3" t="str">
        <f>IF($C$38&gt;=2,$D$43*-$D$46,"")</f>
        <v/>
      </c>
      <c r="R37" s="3" t="str">
        <f>IF($C$38&gt;=3,$E$43*-$E$46,"")</f>
        <v/>
      </c>
      <c r="S37" s="3" t="str">
        <f>IF($C$38=4,$F$43*-$F$46,"")</f>
        <v/>
      </c>
      <c r="T37" s="24"/>
      <c r="AD37" s="8"/>
      <c r="AE37" s="8"/>
      <c r="AF37" s="8"/>
      <c r="AG37" s="8"/>
      <c r="AH37" s="8"/>
      <c r="AI37" s="8"/>
      <c r="AJ37" s="8"/>
      <c r="AK37" s="8"/>
    </row>
    <row r="38" spans="1:37" ht="12.75" customHeight="1" x14ac:dyDescent="0.25">
      <c r="A38" s="48"/>
      <c r="B38" s="50" t="s">
        <v>83</v>
      </c>
      <c r="C38" s="27">
        <v>1</v>
      </c>
      <c r="D38" s="76"/>
      <c r="E38" s="54"/>
      <c r="F38" s="54"/>
      <c r="G38" s="69" t="s">
        <v>104</v>
      </c>
      <c r="H38" s="53"/>
      <c r="I38" s="64"/>
      <c r="K38" s="20" t="s">
        <v>22</v>
      </c>
      <c r="L38" s="30">
        <f>$L$36+$L$37</f>
        <v>22.296723504002003</v>
      </c>
      <c r="O38" s="23" t="s">
        <v>15</v>
      </c>
      <c r="P38" s="3">
        <f>IF($C$38&gt;=1,$C$43*$C$45,"")</f>
        <v>-135.58180656000002</v>
      </c>
      <c r="Q38" s="3" t="str">
        <f>IF($C$38&gt;=2,$D$43*$D$45,"")</f>
        <v/>
      </c>
      <c r="R38" s="3" t="str">
        <f>IF($C$38&gt;=3,$E$43*$E$45,"")</f>
        <v/>
      </c>
      <c r="S38" s="3" t="str">
        <f>IF($C$38=4,$F$43*$F$45,"")</f>
        <v/>
      </c>
      <c r="T38" s="24"/>
      <c r="AD38" s="8"/>
      <c r="AE38" s="8"/>
      <c r="AF38" s="8"/>
      <c r="AG38" s="8"/>
      <c r="AH38" s="8"/>
      <c r="AI38" s="8"/>
      <c r="AJ38" s="8"/>
      <c r="AK38" s="8"/>
    </row>
    <row r="39" spans="1:37" x14ac:dyDescent="0.25">
      <c r="A39" s="48"/>
      <c r="B39" s="54"/>
      <c r="C39" s="192"/>
      <c r="D39" s="192"/>
      <c r="E39" s="192"/>
      <c r="F39" s="192"/>
      <c r="G39" s="68" t="s">
        <v>35</v>
      </c>
      <c r="H39" s="143">
        <f t="shared" ref="H39:H44" si="3">$P43</f>
        <v>-2668.9332000000004</v>
      </c>
      <c r="I39" s="95" t="s">
        <v>114</v>
      </c>
      <c r="K39" s="20" t="s">
        <v>94</v>
      </c>
      <c r="L39" s="3">
        <f>IF(ABS(SUM($P$5:$P$29))&lt;0.0005,0,SUM($P$5:$P$29))</f>
        <v>0</v>
      </c>
      <c r="O39" s="9" t="s">
        <v>16</v>
      </c>
      <c r="P39" s="28">
        <f>IF($C$38&gt;=1,$C$45*-$P$34,"")</f>
        <v>0</v>
      </c>
      <c r="Q39" s="3" t="str">
        <f>IF($C$38&gt;=2,$D$45*-$Q$34,"")</f>
        <v/>
      </c>
      <c r="R39" s="28" t="str">
        <f>IF($C$38&gt;=3,$E$45*-$R$34,"")</f>
        <v/>
      </c>
      <c r="S39" s="28" t="str">
        <f>IF($C$38=4,$F$45*-$S$34,"")</f>
        <v/>
      </c>
      <c r="T39" s="24"/>
      <c r="AD39" s="8"/>
      <c r="AE39" s="8"/>
      <c r="AF39" s="8"/>
      <c r="AG39" s="8"/>
      <c r="AH39" s="8"/>
      <c r="AI39" s="8"/>
      <c r="AJ39" s="8"/>
      <c r="AK39" s="8"/>
    </row>
    <row r="40" spans="1:37" x14ac:dyDescent="0.25">
      <c r="A40" s="48"/>
      <c r="B40" s="50" t="s">
        <v>52</v>
      </c>
      <c r="C40" s="77" t="str">
        <f>IF($C$38&gt;=1,"Pier #1","")</f>
        <v>Pier #1</v>
      </c>
      <c r="D40" s="77" t="str">
        <f>IF($C$38&gt;=2,"Pier #2","")</f>
        <v/>
      </c>
      <c r="E40" s="77" t="str">
        <f>IF($C$38&gt;=3,"Pier #3","")</f>
        <v/>
      </c>
      <c r="F40" s="77" t="str">
        <f>IF($C$38=4,"Pier #4","")</f>
        <v/>
      </c>
      <c r="G40" s="68" t="s">
        <v>36</v>
      </c>
      <c r="H40" s="147">
        <f t="shared" si="3"/>
        <v>-88.96444000000001</v>
      </c>
      <c r="I40" s="95" t="s">
        <v>114</v>
      </c>
      <c r="K40" s="11" t="s">
        <v>23</v>
      </c>
      <c r="L40" s="4">
        <f>IF(ABS($L$36-$L$37)&lt;0.0005,IF($L$39&gt;0,-45,IF($L$39&lt;0,45,0)),DEGREES(ATAN(-2*$L$39/($L$36-$L$37))/2))</f>
        <v>0</v>
      </c>
      <c r="O40" s="9" t="s">
        <v>17</v>
      </c>
      <c r="P40" s="28">
        <f>IF($C$38&gt;=1,$C$46*$P$33,"")</f>
        <v>0</v>
      </c>
      <c r="Q40" s="3" t="str">
        <f>IF($C$38&gt;=2,$D$46*$Q$33,"")</f>
        <v/>
      </c>
      <c r="R40" s="28" t="str">
        <f>IF($C$38&gt;=3,$E$46*$R$33,"")</f>
        <v/>
      </c>
      <c r="S40" s="28" t="str">
        <f>IF($C$38=4,$F$46*$S$33,"")</f>
        <v/>
      </c>
      <c r="T40" s="24"/>
      <c r="AD40" s="8"/>
      <c r="AE40" s="203" t="s">
        <v>166</v>
      </c>
      <c r="AF40" s="196" t="str">
        <f>IF($C$38&gt;=1,"Pier #1","")</f>
        <v>Pier #1</v>
      </c>
      <c r="AG40" s="196" t="str">
        <f>IF($C$38&gt;=2,"Pier #2","")</f>
        <v/>
      </c>
      <c r="AH40" s="196" t="str">
        <f>IF($C$38&gt;=3,"Pier #3","")</f>
        <v/>
      </c>
      <c r="AI40" s="196" t="str">
        <f>IF($C$38=4,"Pier #4","")</f>
        <v/>
      </c>
      <c r="AJ40" s="8"/>
      <c r="AK40" s="8"/>
    </row>
    <row r="41" spans="1:37" x14ac:dyDescent="0.25">
      <c r="A41" s="78"/>
      <c r="B41" s="72" t="s">
        <v>117</v>
      </c>
      <c r="C41" s="141">
        <v>1.8288000000000002</v>
      </c>
      <c r="D41" s="157"/>
      <c r="E41" s="141"/>
      <c r="F41" s="142"/>
      <c r="G41" s="68" t="s">
        <v>37</v>
      </c>
      <c r="H41" s="147">
        <f t="shared" si="3"/>
        <v>-133.44666000000001</v>
      </c>
      <c r="I41" s="95" t="s">
        <v>114</v>
      </c>
      <c r="O41" s="24"/>
      <c r="P41" s="24"/>
      <c r="Q41" s="24"/>
      <c r="R41" s="24"/>
      <c r="S41" s="24"/>
      <c r="T41" s="24"/>
      <c r="AD41" s="8"/>
      <c r="AE41" s="199" t="s">
        <v>218</v>
      </c>
      <c r="AF41" s="216">
        <f>IF($C$38&gt;=1,$C41*3.28084,"")</f>
        <v>6.0000001920000008</v>
      </c>
      <c r="AG41" s="231" t="str">
        <f>IF($C$38&gt;=2,$D41*3.28084,"")</f>
        <v/>
      </c>
      <c r="AH41" s="216" t="str">
        <f>IF($C$38&gt;=3,$E41*3.28084,"")</f>
        <v/>
      </c>
      <c r="AI41" s="228" t="str">
        <f>IF($C$38&gt;=4,$F41*3.28084,"")</f>
        <v/>
      </c>
      <c r="AJ41" s="8"/>
      <c r="AK41" s="8"/>
    </row>
    <row r="42" spans="1:37" x14ac:dyDescent="0.25">
      <c r="A42" s="48"/>
      <c r="B42" s="72" t="s">
        <v>118</v>
      </c>
      <c r="C42" s="145">
        <v>1.2192000000000001</v>
      </c>
      <c r="D42" s="158"/>
      <c r="E42" s="145"/>
      <c r="F42" s="146"/>
      <c r="G42" s="68" t="s">
        <v>38</v>
      </c>
      <c r="H42" s="147">
        <f t="shared" si="3"/>
        <v>338.95</v>
      </c>
      <c r="I42" s="95" t="s">
        <v>116</v>
      </c>
      <c r="O42" s="26" t="s">
        <v>98</v>
      </c>
      <c r="Q42" s="24"/>
      <c r="R42" s="24"/>
      <c r="S42" s="24"/>
      <c r="T42" s="24"/>
      <c r="AD42" s="8"/>
      <c r="AE42" s="199" t="s">
        <v>219</v>
      </c>
      <c r="AF42" s="217">
        <f>IF($C$38&gt;=1,$C42*3.28084,"")</f>
        <v>4.0000001279999999</v>
      </c>
      <c r="AG42" s="232" t="str">
        <f>IF($C$38&gt;=2,$D42*3.28084,"")</f>
        <v/>
      </c>
      <c r="AH42" s="217" t="str">
        <f>IF($C$38&gt;=3,$E42*3.28084,"")</f>
        <v/>
      </c>
      <c r="AI42" s="229" t="str">
        <f>IF($C$38&gt;=4,$F42*3.28084,"")</f>
        <v/>
      </c>
      <c r="AJ42" s="8"/>
      <c r="AK42" s="8"/>
    </row>
    <row r="43" spans="1:37" x14ac:dyDescent="0.25">
      <c r="A43" s="45"/>
      <c r="B43" s="72" t="s">
        <v>119</v>
      </c>
      <c r="C43" s="145">
        <v>1.524</v>
      </c>
      <c r="D43" s="158"/>
      <c r="E43" s="145"/>
      <c r="F43" s="146"/>
      <c r="G43" s="68" t="s">
        <v>39</v>
      </c>
      <c r="H43" s="147">
        <f t="shared" si="3"/>
        <v>-338.95</v>
      </c>
      <c r="I43" s="95" t="s">
        <v>116</v>
      </c>
      <c r="J43" s="10"/>
      <c r="O43" s="11" t="s">
        <v>26</v>
      </c>
      <c r="P43" s="3">
        <f>SUM($C$44:$F$44)</f>
        <v>-2668.9332000000004</v>
      </c>
      <c r="Q43" s="24" t="s">
        <v>114</v>
      </c>
      <c r="R43" s="24"/>
      <c r="S43" s="24"/>
      <c r="T43" s="24"/>
      <c r="AD43" s="8"/>
      <c r="AE43" s="199" t="s">
        <v>220</v>
      </c>
      <c r="AF43" s="217">
        <f>IF($C$38&gt;=1,$C43*3.28084,"")</f>
        <v>5.0000001599999999</v>
      </c>
      <c r="AG43" s="232" t="str">
        <f>IF($C$38&gt;=2,$D43*3.28084,"")</f>
        <v/>
      </c>
      <c r="AH43" s="217" t="str">
        <f>IF($C$38&gt;=3,$E43*3.28084,"")</f>
        <v/>
      </c>
      <c r="AI43" s="229" t="str">
        <f>IF($C$38&gt;=4,$F43*3.28084,"")</f>
        <v/>
      </c>
      <c r="AJ43" s="8"/>
      <c r="AK43" s="8"/>
    </row>
    <row r="44" spans="1:37" x14ac:dyDescent="0.25">
      <c r="A44" s="78"/>
      <c r="B44" s="72" t="s">
        <v>120</v>
      </c>
      <c r="C44" s="159">
        <v>-2668.9332000000004</v>
      </c>
      <c r="D44" s="160"/>
      <c r="E44" s="159"/>
      <c r="F44" s="161"/>
      <c r="G44" s="68" t="s">
        <v>40</v>
      </c>
      <c r="H44" s="154">
        <f t="shared" si="3"/>
        <v>0</v>
      </c>
      <c r="I44" s="95" t="s">
        <v>116</v>
      </c>
      <c r="O44" s="11" t="s">
        <v>27</v>
      </c>
      <c r="P44" s="3">
        <f>SUM($C$45:$F$45)</f>
        <v>-88.96444000000001</v>
      </c>
      <c r="Q44" s="24" t="s">
        <v>114</v>
      </c>
      <c r="R44" s="24"/>
      <c r="S44" s="24"/>
      <c r="T44" s="24"/>
      <c r="AD44" s="8"/>
      <c r="AE44" s="199" t="s">
        <v>221</v>
      </c>
      <c r="AF44" s="233">
        <f>IF($C$38&gt;=1,$C44*0.224809,"")</f>
        <v>-600.00020375880013</v>
      </c>
      <c r="AG44" s="234" t="str">
        <f>IF($C$38&gt;=2,$D44*0.224809,"")</f>
        <v/>
      </c>
      <c r="AH44" s="233" t="str">
        <f>IF($C$38&gt;=3,$E44*0.224809,"")</f>
        <v/>
      </c>
      <c r="AI44" s="235" t="str">
        <f>IF($C$38&gt;=4,$F44*0.224809,"")</f>
        <v/>
      </c>
      <c r="AJ44" s="8"/>
      <c r="AK44" s="8"/>
    </row>
    <row r="45" spans="1:37" x14ac:dyDescent="0.25">
      <c r="A45" s="48"/>
      <c r="B45" s="72" t="s">
        <v>121</v>
      </c>
      <c r="C45" s="159">
        <v>-88.96444000000001</v>
      </c>
      <c r="D45" s="160"/>
      <c r="E45" s="159"/>
      <c r="F45" s="161"/>
      <c r="G45" s="54"/>
      <c r="H45" s="54"/>
      <c r="I45" s="60"/>
      <c r="J45" s="2"/>
      <c r="O45" s="11" t="s">
        <v>28</v>
      </c>
      <c r="P45" s="3">
        <f>SUM($C$46:$F$46)</f>
        <v>-133.44666000000001</v>
      </c>
      <c r="Q45" s="24" t="s">
        <v>114</v>
      </c>
      <c r="R45" s="24"/>
      <c r="S45" s="24"/>
      <c r="T45" s="24"/>
      <c r="AD45" s="8"/>
      <c r="AE45" s="199" t="s">
        <v>222</v>
      </c>
      <c r="AF45" s="233">
        <f>IF($C$38&gt;=1,$C45*0.224809,"")</f>
        <v>-20.000006791960004</v>
      </c>
      <c r="AG45" s="234" t="str">
        <f>IF($C$38&gt;=2,$D45*0.224809,"")</f>
        <v/>
      </c>
      <c r="AH45" s="233" t="str">
        <f>IF($C$38&gt;=3,$E45*0.224809,"")</f>
        <v/>
      </c>
      <c r="AI45" s="235" t="str">
        <f>IF($C$38&gt;=4,$F45*0.224809,"")</f>
        <v/>
      </c>
      <c r="AJ45" s="8"/>
      <c r="AK45" s="8"/>
    </row>
    <row r="46" spans="1:37" x14ac:dyDescent="0.25">
      <c r="A46" s="47"/>
      <c r="B46" s="72" t="s">
        <v>122</v>
      </c>
      <c r="C46" s="159">
        <v>-133.44666000000001</v>
      </c>
      <c r="D46" s="160"/>
      <c r="E46" s="159"/>
      <c r="F46" s="161"/>
      <c r="G46" s="52" t="s">
        <v>99</v>
      </c>
      <c r="H46" s="70"/>
      <c r="I46" s="71"/>
      <c r="J46" s="2"/>
      <c r="O46" s="11" t="s">
        <v>29</v>
      </c>
      <c r="P46" s="18">
        <f>ROUND(SUM($C$47:$F$47)+SUM($P$35:$S$35)+SUM($P$37:$S$37),2)</f>
        <v>338.95</v>
      </c>
      <c r="Q46" s="24" t="s">
        <v>137</v>
      </c>
      <c r="R46" s="24"/>
      <c r="S46" s="24"/>
      <c r="T46" s="24"/>
      <c r="AD46" s="8"/>
      <c r="AE46" s="199" t="s">
        <v>223</v>
      </c>
      <c r="AF46" s="233">
        <f>IF($C$38&gt;=1,$C46*0.224809,"")</f>
        <v>-30.000010187940003</v>
      </c>
      <c r="AG46" s="234" t="str">
        <f>IF($C$38&gt;=2,$D46*0.224809,"")</f>
        <v/>
      </c>
      <c r="AH46" s="233" t="str">
        <f>IF($C$38&gt;=3,$E46*0.224809,"")</f>
        <v/>
      </c>
      <c r="AI46" s="235" t="str">
        <f>IF($C$38&gt;=4,$F46*0.224809,"")</f>
        <v/>
      </c>
      <c r="AJ46" s="8"/>
      <c r="AK46" s="8"/>
    </row>
    <row r="47" spans="1:37" x14ac:dyDescent="0.25">
      <c r="A47" s="48"/>
      <c r="B47" s="72" t="s">
        <v>123</v>
      </c>
      <c r="C47" s="159">
        <v>135.58179999999999</v>
      </c>
      <c r="D47" s="160"/>
      <c r="E47" s="159"/>
      <c r="F47" s="161"/>
      <c r="G47" s="72" t="s">
        <v>100</v>
      </c>
      <c r="H47" s="143">
        <f>MAX($S$5:$S$29)</f>
        <v>537.4922822041915</v>
      </c>
      <c r="I47" s="95" t="s">
        <v>114</v>
      </c>
      <c r="J47" s="2"/>
      <c r="O47" s="11" t="s">
        <v>30</v>
      </c>
      <c r="P47" s="18">
        <f>ROUND(SUM($C$48:$F$48)+SUM($P$36:$S$36)+SUM($P$38:$S$38),2)</f>
        <v>-338.95</v>
      </c>
      <c r="Q47" s="24" t="s">
        <v>116</v>
      </c>
      <c r="R47" s="24"/>
      <c r="S47" s="24"/>
      <c r="T47" s="24"/>
      <c r="AD47" s="8"/>
      <c r="AE47" s="199" t="s">
        <v>224</v>
      </c>
      <c r="AF47" s="233">
        <f>IF($C$38&gt;=1,$C47*0.737562,"")</f>
        <v>99.999983571599998</v>
      </c>
      <c r="AG47" s="234" t="str">
        <f>IF($C$38&gt;=2,$D47*0.737562,"")</f>
        <v/>
      </c>
      <c r="AH47" s="233" t="str">
        <f>IF($C$38&gt;=3,$E47*0.737562,"")</f>
        <v/>
      </c>
      <c r="AI47" s="235" t="str">
        <f>IF($C$38&gt;=4,$F47*0.737562,"")</f>
        <v/>
      </c>
      <c r="AJ47" s="8"/>
      <c r="AK47" s="8"/>
    </row>
    <row r="48" spans="1:37" x14ac:dyDescent="0.25">
      <c r="A48" s="78"/>
      <c r="B48" s="72" t="s">
        <v>124</v>
      </c>
      <c r="C48" s="159">
        <v>-203.37270000000001</v>
      </c>
      <c r="D48" s="160"/>
      <c r="E48" s="159"/>
      <c r="F48" s="161"/>
      <c r="G48" s="72" t="s">
        <v>101</v>
      </c>
      <c r="H48" s="147">
        <f>MIN($S$5:$S$29)</f>
        <v>352.15211779580864</v>
      </c>
      <c r="I48" s="95" t="s">
        <v>114</v>
      </c>
      <c r="J48" s="2"/>
      <c r="O48" s="11" t="s">
        <v>31</v>
      </c>
      <c r="P48" s="29">
        <f>ROUND(SUM($C$49:$F$49)+SUM($P$39:$S$39)+SUM($P$40:$S$40),2)</f>
        <v>0</v>
      </c>
      <c r="Q48" s="24" t="s">
        <v>116</v>
      </c>
      <c r="R48" s="24"/>
      <c r="S48" s="24"/>
      <c r="T48" s="24"/>
      <c r="AD48" s="8"/>
      <c r="AE48" s="199" t="s">
        <v>225</v>
      </c>
      <c r="AF48" s="233">
        <f>IF($C$38&gt;=1,$C48*0.737562,"")</f>
        <v>-149.99997535740002</v>
      </c>
      <c r="AG48" s="234" t="str">
        <f>IF($C$38&gt;=2,$D48*0.737562,"")</f>
        <v/>
      </c>
      <c r="AH48" s="233" t="str">
        <f>IF($C$38&gt;=3,$E48*0.737562,"")</f>
        <v/>
      </c>
      <c r="AI48" s="235" t="str">
        <f>IF($C$38&gt;=4,$F48*0.737562,"")</f>
        <v/>
      </c>
      <c r="AJ48" s="8"/>
      <c r="AK48" s="8"/>
    </row>
    <row r="49" spans="1:37" x14ac:dyDescent="0.25">
      <c r="A49" s="48"/>
      <c r="B49" s="72" t="s">
        <v>125</v>
      </c>
      <c r="C49" s="162">
        <v>0</v>
      </c>
      <c r="D49" s="163"/>
      <c r="E49" s="162"/>
      <c r="F49" s="164"/>
      <c r="G49" s="73" t="s">
        <v>102</v>
      </c>
      <c r="H49" s="154">
        <f>MAX($T$5:$T$29)</f>
        <v>26.730487509411631</v>
      </c>
      <c r="I49" s="95" t="s">
        <v>114</v>
      </c>
      <c r="AD49" s="8"/>
      <c r="AE49" s="199" t="s">
        <v>226</v>
      </c>
      <c r="AF49" s="236">
        <f>IF($C$38&gt;=1,$C49*0.737562,"")</f>
        <v>0</v>
      </c>
      <c r="AG49" s="237" t="str">
        <f>IF($C$38&gt;=2,$D49*0.737562,"")</f>
        <v/>
      </c>
      <c r="AH49" s="236" t="str">
        <f>IF($C$38&gt;=3,$E49*0.737562,"")</f>
        <v/>
      </c>
      <c r="AI49" s="238" t="str">
        <f>IF($C$38&gt;=4,$F49*0.737562,"")</f>
        <v/>
      </c>
      <c r="AJ49" s="8"/>
      <c r="AK49" s="8"/>
    </row>
    <row r="50" spans="1:37" x14ac:dyDescent="0.25">
      <c r="A50" s="79"/>
      <c r="B50" s="106"/>
      <c r="C50" s="106"/>
      <c r="D50" s="106"/>
      <c r="E50" s="106"/>
      <c r="F50" s="106"/>
      <c r="G50" s="106"/>
      <c r="H50" s="106"/>
      <c r="I50" s="118"/>
      <c r="AD50" s="8"/>
      <c r="AE50" s="8"/>
      <c r="AF50" s="8"/>
      <c r="AG50" s="8"/>
      <c r="AH50" s="8"/>
      <c r="AI50" s="8"/>
      <c r="AJ50" s="8"/>
      <c r="AK50" s="8"/>
    </row>
    <row r="51" spans="1:37" x14ac:dyDescent="0.25">
      <c r="A51" s="54"/>
      <c r="B51" s="54"/>
      <c r="C51" s="54"/>
      <c r="D51" s="54"/>
      <c r="E51" s="54"/>
      <c r="F51" s="54"/>
      <c r="G51" s="54"/>
      <c r="H51" s="54"/>
      <c r="I51" s="54"/>
      <c r="AD51" s="8"/>
      <c r="AE51" s="8"/>
      <c r="AF51" s="8"/>
      <c r="AG51" s="8"/>
      <c r="AH51" s="8"/>
      <c r="AI51" s="8"/>
      <c r="AJ51" s="8"/>
      <c r="AK51" s="8"/>
    </row>
    <row r="52" spans="1:37" x14ac:dyDescent="0.25">
      <c r="A52" s="80"/>
      <c r="B52" s="81"/>
      <c r="C52" s="82"/>
      <c r="D52" s="82"/>
      <c r="E52" s="54"/>
      <c r="F52" s="54"/>
      <c r="G52" s="54"/>
      <c r="H52" s="83"/>
      <c r="I52" s="54"/>
      <c r="AD52" s="197" t="s">
        <v>181</v>
      </c>
      <c r="AE52" s="198"/>
      <c r="AF52" s="198"/>
      <c r="AG52" s="198"/>
      <c r="AH52" s="198"/>
      <c r="AI52" s="198"/>
    </row>
    <row r="53" spans="1:37" x14ac:dyDescent="0.25">
      <c r="A53" s="84"/>
      <c r="B53" s="54"/>
      <c r="C53" s="54"/>
      <c r="D53" s="54"/>
      <c r="E53" s="54"/>
      <c r="F53" s="54"/>
      <c r="G53" s="54"/>
      <c r="H53" s="54"/>
      <c r="I53" s="54"/>
      <c r="AD53" s="201"/>
      <c r="AE53" s="201"/>
      <c r="AF53" s="201"/>
      <c r="AG53" s="201"/>
      <c r="AH53" s="201"/>
      <c r="AI53" s="201"/>
    </row>
    <row r="54" spans="1:37" x14ac:dyDescent="0.25">
      <c r="A54" s="74"/>
      <c r="B54" s="85"/>
      <c r="C54" s="54"/>
      <c r="D54" s="54"/>
      <c r="E54" s="54"/>
      <c r="F54" s="54"/>
      <c r="G54" s="54"/>
      <c r="H54" s="72"/>
      <c r="I54" s="54"/>
      <c r="AD54" s="223" t="s">
        <v>236</v>
      </c>
      <c r="AE54" s="204"/>
      <c r="AF54" s="205"/>
      <c r="AG54" s="205"/>
      <c r="AH54" s="205"/>
      <c r="AI54" s="205"/>
    </row>
    <row r="55" spans="1:37" x14ac:dyDescent="0.25">
      <c r="A55" s="74"/>
      <c r="B55" s="85"/>
      <c r="C55" s="54"/>
      <c r="D55" s="54"/>
      <c r="E55" s="54"/>
      <c r="F55" s="54"/>
      <c r="G55" s="54"/>
      <c r="H55" s="54"/>
      <c r="I55" s="74"/>
      <c r="AD55" s="241" t="s">
        <v>237</v>
      </c>
      <c r="AE55" s="204"/>
      <c r="AF55" s="202"/>
      <c r="AG55" s="202"/>
      <c r="AH55" s="202"/>
      <c r="AI55" s="202"/>
    </row>
    <row r="56" spans="1:37" x14ac:dyDescent="0.25">
      <c r="A56" s="74"/>
      <c r="B56" s="74"/>
      <c r="C56" s="74"/>
      <c r="D56" s="74"/>
      <c r="E56" s="74"/>
      <c r="F56" s="74"/>
      <c r="G56" s="74"/>
      <c r="H56" s="74"/>
      <c r="I56" s="74"/>
      <c r="AD56" s="200"/>
      <c r="AE56" s="200"/>
      <c r="AF56" s="200"/>
      <c r="AG56" s="200"/>
      <c r="AH56" s="200"/>
      <c r="AI56" s="200"/>
    </row>
    <row r="57" spans="1:37" x14ac:dyDescent="0.25">
      <c r="A57" s="74"/>
      <c r="B57" s="74"/>
      <c r="C57" s="74"/>
      <c r="D57" s="74"/>
      <c r="E57" s="74"/>
      <c r="F57" s="74"/>
      <c r="G57" s="74"/>
      <c r="H57" s="74"/>
      <c r="I57" s="54"/>
      <c r="AD57" s="223" t="s">
        <v>191</v>
      </c>
      <c r="AE57" s="200"/>
      <c r="AF57" s="200"/>
      <c r="AG57" s="200"/>
      <c r="AH57" s="200"/>
      <c r="AI57" s="200"/>
    </row>
    <row r="58" spans="1:37" x14ac:dyDescent="0.25">
      <c r="A58" s="74"/>
      <c r="B58" s="74"/>
      <c r="C58" s="74"/>
      <c r="D58" s="74"/>
      <c r="E58" s="74"/>
      <c r="F58" s="74"/>
      <c r="G58" s="74"/>
      <c r="H58" s="54"/>
      <c r="I58" s="54"/>
      <c r="AD58" s="202"/>
      <c r="AE58" s="206"/>
      <c r="AF58" s="199" t="s">
        <v>182</v>
      </c>
      <c r="AG58" s="207">
        <v>8</v>
      </c>
      <c r="AH58" s="200"/>
      <c r="AI58" s="200"/>
    </row>
    <row r="59" spans="1:37" x14ac:dyDescent="0.25">
      <c r="A59" s="54"/>
      <c r="B59" s="54"/>
      <c r="C59" s="54"/>
      <c r="D59" s="54"/>
      <c r="E59" s="54"/>
      <c r="F59" s="54"/>
      <c r="G59" s="54"/>
      <c r="H59" s="54"/>
      <c r="I59" s="54"/>
      <c r="AD59" s="202"/>
      <c r="AE59" s="200"/>
      <c r="AF59" s="208" t="s">
        <v>183</v>
      </c>
      <c r="AG59" s="209">
        <v>8</v>
      </c>
      <c r="AH59" s="210" t="s">
        <v>115</v>
      </c>
      <c r="AI59" s="200"/>
    </row>
    <row r="60" spans="1:37" x14ac:dyDescent="0.25">
      <c r="A60" s="86"/>
      <c r="B60" s="54"/>
      <c r="C60" s="54"/>
      <c r="D60" s="54"/>
      <c r="E60" s="54"/>
      <c r="F60" s="54"/>
      <c r="G60" s="54"/>
      <c r="H60" s="54"/>
      <c r="I60" s="54"/>
      <c r="AD60" s="200"/>
      <c r="AE60" s="200"/>
      <c r="AF60" s="208" t="s">
        <v>175</v>
      </c>
      <c r="AG60" s="209">
        <v>4</v>
      </c>
      <c r="AH60" s="210" t="s">
        <v>115</v>
      </c>
      <c r="AI60" s="200" t="str">
        <f>IF($AG$60&lt;$AG$59/2,"Xo MUST BE &gt;= Dc/2","")</f>
        <v/>
      </c>
    </row>
    <row r="61" spans="1:37" x14ac:dyDescent="0.25">
      <c r="A61" s="54"/>
      <c r="B61" s="54"/>
      <c r="C61" s="54"/>
      <c r="D61" s="54"/>
      <c r="E61" s="54"/>
      <c r="F61" s="54"/>
      <c r="G61" s="54"/>
      <c r="H61" s="54"/>
      <c r="I61" s="54"/>
      <c r="AD61" s="200"/>
      <c r="AE61" s="200"/>
      <c r="AF61" s="208" t="s">
        <v>176</v>
      </c>
      <c r="AG61" s="209">
        <v>4</v>
      </c>
      <c r="AH61" s="210" t="s">
        <v>115</v>
      </c>
      <c r="AI61" s="200" t="str">
        <f>IF($AG$61&lt;$AG$59/2,"Yo MUST BE &gt;= Dc/2","")</f>
        <v/>
      </c>
    </row>
    <row r="62" spans="1:37" x14ac:dyDescent="0.25">
      <c r="A62" s="87"/>
      <c r="B62" s="53"/>
      <c r="C62" s="53"/>
      <c r="D62" s="53"/>
      <c r="E62" s="88"/>
      <c r="F62" s="54"/>
      <c r="G62" s="54"/>
      <c r="H62" s="54"/>
      <c r="I62" s="54"/>
      <c r="AD62" s="200"/>
      <c r="AE62" s="200"/>
      <c r="AF62" s="211" t="s">
        <v>184</v>
      </c>
      <c r="AG62" s="212">
        <v>0</v>
      </c>
      <c r="AH62" s="210" t="s">
        <v>44</v>
      </c>
      <c r="AI62" s="200"/>
    </row>
    <row r="63" spans="1:37" x14ac:dyDescent="0.25">
      <c r="A63" s="54"/>
      <c r="B63" s="54"/>
      <c r="C63" s="54"/>
      <c r="D63" s="54"/>
      <c r="E63" s="54"/>
      <c r="F63" s="54"/>
      <c r="G63" s="54"/>
      <c r="H63" s="54"/>
      <c r="I63" s="54"/>
      <c r="AD63" s="200"/>
      <c r="AE63" s="200"/>
      <c r="AF63" s="200"/>
      <c r="AG63" s="200"/>
      <c r="AH63" s="200"/>
      <c r="AI63" s="200"/>
    </row>
    <row r="64" spans="1:37" x14ac:dyDescent="0.25">
      <c r="A64" s="54"/>
      <c r="B64" s="54"/>
      <c r="C64" s="54"/>
      <c r="D64" s="54"/>
      <c r="E64" s="54"/>
      <c r="F64" s="54"/>
      <c r="G64" s="54"/>
      <c r="H64" s="54"/>
      <c r="I64" s="54"/>
      <c r="AD64" s="196"/>
      <c r="AE64" s="201"/>
      <c r="AF64" s="213" t="s">
        <v>53</v>
      </c>
      <c r="AG64" s="214"/>
      <c r="AH64" s="202"/>
      <c r="AI64" s="202"/>
    </row>
    <row r="65" spans="1:35" x14ac:dyDescent="0.25">
      <c r="A65" s="54"/>
      <c r="B65" s="54"/>
      <c r="C65" s="54"/>
      <c r="D65" s="54"/>
      <c r="E65" s="54"/>
      <c r="F65" s="54"/>
      <c r="G65" s="54"/>
      <c r="H65" s="54"/>
      <c r="I65" s="54"/>
      <c r="AD65" s="196"/>
      <c r="AE65" s="201"/>
      <c r="AF65" s="195" t="s">
        <v>192</v>
      </c>
      <c r="AG65" s="195" t="s">
        <v>193</v>
      </c>
      <c r="AH65" s="202"/>
      <c r="AI65" s="202"/>
    </row>
    <row r="66" spans="1:35" x14ac:dyDescent="0.25">
      <c r="A66" s="72"/>
      <c r="B66" s="81"/>
      <c r="C66" s="54"/>
      <c r="D66" s="82"/>
      <c r="E66" s="81"/>
      <c r="F66" s="54"/>
      <c r="G66" s="76"/>
      <c r="H66" s="54"/>
      <c r="I66" s="54"/>
      <c r="AD66" s="208"/>
      <c r="AE66" s="215">
        <f>IF($AG$58&gt;=1,1,"")</f>
        <v>1</v>
      </c>
      <c r="AF66" s="216">
        <f t="shared" ref="AF66:AF90" si="4">IF($AE66&lt;&gt;"",$AG$60+($AG$59)*COS( PI()/180*($AG$62+($AE66-1)*360/$AG$58))/2,"")</f>
        <v>8</v>
      </c>
      <c r="AG66" s="216">
        <f t="shared" ref="AG66:AG90" si="5">IF($AE66&lt;&gt;"",$AG$61+($AG$59)*SIN( PI()/180*($AG$62+($AE66-1)*360/$AG$58))/2,"")</f>
        <v>4</v>
      </c>
      <c r="AH66" s="202"/>
      <c r="AI66" s="202"/>
    </row>
    <row r="67" spans="1:35" x14ac:dyDescent="0.25">
      <c r="A67" s="54"/>
      <c r="B67" s="54"/>
      <c r="C67" s="54"/>
      <c r="D67" s="54"/>
      <c r="E67" s="54"/>
      <c r="F67" s="54"/>
      <c r="G67" s="54"/>
      <c r="H67" s="54"/>
      <c r="I67" s="54"/>
      <c r="AD67" s="208"/>
      <c r="AE67" s="215">
        <f>IF($AG$58&gt;=2,2,"")</f>
        <v>2</v>
      </c>
      <c r="AF67" s="217">
        <f t="shared" si="4"/>
        <v>6.8284271247461898</v>
      </c>
      <c r="AG67" s="217">
        <f t="shared" si="5"/>
        <v>6.8284271247461898</v>
      </c>
      <c r="AH67" s="202"/>
      <c r="AI67" s="202"/>
    </row>
    <row r="68" spans="1:35" x14ac:dyDescent="0.25">
      <c r="A68" s="86"/>
      <c r="B68" s="54"/>
      <c r="C68" s="54"/>
      <c r="D68" s="54"/>
      <c r="E68" s="54"/>
      <c r="F68" s="54"/>
      <c r="G68" s="54"/>
      <c r="H68" s="54"/>
      <c r="I68" s="54"/>
      <c r="AD68" s="208"/>
      <c r="AE68" s="215">
        <f>IF($AG$58&gt;=3,3,"")</f>
        <v>3</v>
      </c>
      <c r="AF68" s="217">
        <f t="shared" si="4"/>
        <v>4</v>
      </c>
      <c r="AG68" s="217">
        <f t="shared" si="5"/>
        <v>8</v>
      </c>
      <c r="AH68" s="202"/>
      <c r="AI68" s="202"/>
    </row>
    <row r="69" spans="1:35" x14ac:dyDescent="0.25">
      <c r="A69" s="89"/>
      <c r="B69" s="54"/>
      <c r="C69" s="54"/>
      <c r="D69" s="54"/>
      <c r="E69" s="54"/>
      <c r="F69" s="54"/>
      <c r="G69" s="54"/>
      <c r="H69" s="54"/>
      <c r="I69" s="54"/>
      <c r="AD69" s="208"/>
      <c r="AE69" s="215">
        <f>IF($AG$58&gt;=4,4,"")</f>
        <v>4</v>
      </c>
      <c r="AF69" s="217">
        <f t="shared" si="4"/>
        <v>1.1715728752538102</v>
      </c>
      <c r="AG69" s="217">
        <f t="shared" si="5"/>
        <v>6.8284271247461898</v>
      </c>
      <c r="AH69" s="202"/>
      <c r="AI69" s="202"/>
    </row>
    <row r="70" spans="1:35" x14ac:dyDescent="0.25">
      <c r="A70" s="72"/>
      <c r="B70" s="54"/>
      <c r="C70" s="54"/>
      <c r="D70" s="88"/>
      <c r="E70" s="54"/>
      <c r="F70" s="54"/>
      <c r="G70" s="54"/>
      <c r="H70" s="54"/>
      <c r="I70" s="54"/>
      <c r="AD70" s="208"/>
      <c r="AE70" s="215">
        <f>IF($AG$58&gt;=5,5,"")</f>
        <v>5</v>
      </c>
      <c r="AF70" s="217">
        <f t="shared" si="4"/>
        <v>0</v>
      </c>
      <c r="AG70" s="217">
        <f t="shared" si="5"/>
        <v>4.0000000000000009</v>
      </c>
      <c r="AH70" s="202"/>
      <c r="AI70" s="202"/>
    </row>
    <row r="71" spans="1:35" x14ac:dyDescent="0.25">
      <c r="A71" s="54"/>
      <c r="B71" s="54"/>
      <c r="C71" s="54"/>
      <c r="D71" s="54"/>
      <c r="E71" s="54"/>
      <c r="F71" s="54"/>
      <c r="G71" s="54"/>
      <c r="H71" s="54"/>
      <c r="I71" s="54"/>
      <c r="AD71" s="208"/>
      <c r="AE71" s="215">
        <f>IF($AG$58&gt;=6,6,"")</f>
        <v>6</v>
      </c>
      <c r="AF71" s="217">
        <f t="shared" si="4"/>
        <v>1.1715728752538093</v>
      </c>
      <c r="AG71" s="217">
        <f t="shared" si="5"/>
        <v>1.1715728752538102</v>
      </c>
      <c r="AH71" s="202"/>
      <c r="AI71" s="202"/>
    </row>
    <row r="72" spans="1:35" x14ac:dyDescent="0.25">
      <c r="A72" s="54"/>
      <c r="B72" s="54"/>
      <c r="C72" s="54"/>
      <c r="D72" s="54"/>
      <c r="E72" s="54"/>
      <c r="F72" s="54"/>
      <c r="G72" s="54"/>
      <c r="H72" s="54"/>
      <c r="I72" s="54"/>
      <c r="AD72" s="208"/>
      <c r="AE72" s="215">
        <f>IF($AG$58&gt;=7,7,"")</f>
        <v>7</v>
      </c>
      <c r="AF72" s="217">
        <f t="shared" si="4"/>
        <v>3.9999999999999991</v>
      </c>
      <c r="AG72" s="217">
        <f t="shared" si="5"/>
        <v>0</v>
      </c>
      <c r="AH72" s="202"/>
      <c r="AI72" s="202"/>
    </row>
    <row r="73" spans="1:35" x14ac:dyDescent="0.25">
      <c r="A73" s="54"/>
      <c r="B73" s="54"/>
      <c r="C73" s="54"/>
      <c r="D73" s="54"/>
      <c r="E73" s="54"/>
      <c r="F73" s="54"/>
      <c r="G73" s="54"/>
      <c r="H73" s="54"/>
      <c r="I73" s="54"/>
      <c r="AD73" s="208"/>
      <c r="AE73" s="215">
        <f>IF($AG$58&gt;=8,8,"")</f>
        <v>8</v>
      </c>
      <c r="AF73" s="217">
        <f t="shared" si="4"/>
        <v>6.8284271247461898</v>
      </c>
      <c r="AG73" s="217">
        <f t="shared" si="5"/>
        <v>1.1715728752538093</v>
      </c>
      <c r="AH73" s="202"/>
      <c r="AI73" s="200"/>
    </row>
    <row r="74" spans="1:35" x14ac:dyDescent="0.25">
      <c r="A74" s="54"/>
      <c r="B74" s="54"/>
      <c r="C74" s="54"/>
      <c r="D74" s="54"/>
      <c r="E74" s="54"/>
      <c r="F74" s="54"/>
      <c r="G74" s="54"/>
      <c r="H74" s="54"/>
      <c r="I74" s="54"/>
      <c r="AD74" s="208"/>
      <c r="AE74" s="215" t="str">
        <f>IF($AG$58&gt;=9,9,"")</f>
        <v/>
      </c>
      <c r="AF74" s="217" t="str">
        <f t="shared" si="4"/>
        <v/>
      </c>
      <c r="AG74" s="217" t="str">
        <f t="shared" si="5"/>
        <v/>
      </c>
      <c r="AH74" s="202"/>
      <c r="AI74" s="200"/>
    </row>
    <row r="75" spans="1:35" x14ac:dyDescent="0.25">
      <c r="A75" s="54"/>
      <c r="B75" s="54"/>
      <c r="C75" s="54"/>
      <c r="D75" s="54"/>
      <c r="E75" s="54"/>
      <c r="F75" s="54"/>
      <c r="G75" s="54"/>
      <c r="H75" s="54"/>
      <c r="I75" s="54"/>
      <c r="AD75" s="208"/>
      <c r="AE75" s="215" t="str">
        <f>IF($AG$58&gt;=10,10,"")</f>
        <v/>
      </c>
      <c r="AF75" s="217" t="str">
        <f t="shared" si="4"/>
        <v/>
      </c>
      <c r="AG75" s="217" t="str">
        <f t="shared" si="5"/>
        <v/>
      </c>
      <c r="AH75" s="202"/>
      <c r="AI75" s="202"/>
    </row>
    <row r="76" spans="1:35" x14ac:dyDescent="0.25">
      <c r="A76" s="54"/>
      <c r="B76" s="54"/>
      <c r="C76" s="54"/>
      <c r="D76" s="54"/>
      <c r="E76" s="54"/>
      <c r="F76" s="54"/>
      <c r="G76" s="54"/>
      <c r="H76" s="54"/>
      <c r="I76" s="54"/>
      <c r="AD76" s="208"/>
      <c r="AE76" s="215" t="str">
        <f>IF($AG$58&gt;=11,11,"")</f>
        <v/>
      </c>
      <c r="AF76" s="217" t="str">
        <f t="shared" si="4"/>
        <v/>
      </c>
      <c r="AG76" s="217" t="str">
        <f t="shared" si="5"/>
        <v/>
      </c>
      <c r="AH76" s="202"/>
      <c r="AI76" s="202"/>
    </row>
    <row r="77" spans="1:35" x14ac:dyDescent="0.25">
      <c r="A77" s="54"/>
      <c r="B77" s="54"/>
      <c r="C77" s="54"/>
      <c r="D77" s="54"/>
      <c r="E77" s="54"/>
      <c r="F77" s="54"/>
      <c r="G77" s="54"/>
      <c r="H77" s="54"/>
      <c r="I77" s="54"/>
      <c r="AD77" s="208"/>
      <c r="AE77" s="215" t="str">
        <f>IF($AG$58&gt;=12,12,"")</f>
        <v/>
      </c>
      <c r="AF77" s="217" t="str">
        <f t="shared" si="4"/>
        <v/>
      </c>
      <c r="AG77" s="217" t="str">
        <f t="shared" si="5"/>
        <v/>
      </c>
      <c r="AH77" s="202"/>
      <c r="AI77" s="194" t="s">
        <v>177</v>
      </c>
    </row>
    <row r="78" spans="1:35" x14ac:dyDescent="0.25">
      <c r="A78" s="54"/>
      <c r="B78" s="54"/>
      <c r="C78" s="54"/>
      <c r="D78" s="54"/>
      <c r="E78" s="54"/>
      <c r="F78" s="54"/>
      <c r="G78" s="54"/>
      <c r="H78" s="54"/>
      <c r="I78" s="54"/>
      <c r="AD78" s="208"/>
      <c r="AE78" s="215" t="str">
        <f>IF($AG$58&gt;=13,13,"")</f>
        <v/>
      </c>
      <c r="AF78" s="217" t="str">
        <f t="shared" si="4"/>
        <v/>
      </c>
      <c r="AG78" s="217" t="str">
        <f t="shared" si="5"/>
        <v/>
      </c>
      <c r="AH78" s="202"/>
      <c r="AI78" s="194" t="s">
        <v>178</v>
      </c>
    </row>
    <row r="79" spans="1:35" x14ac:dyDescent="0.25">
      <c r="A79" s="54"/>
      <c r="B79" s="54"/>
      <c r="C79" s="54"/>
      <c r="D79" s="54"/>
      <c r="E79" s="54"/>
      <c r="F79" s="54"/>
      <c r="G79" s="54"/>
      <c r="H79" s="54"/>
      <c r="I79" s="54"/>
      <c r="AD79" s="208"/>
      <c r="AE79" s="215" t="str">
        <f>IF($AG$58&gt;=14,14,"")</f>
        <v/>
      </c>
      <c r="AF79" s="217" t="str">
        <f t="shared" si="4"/>
        <v/>
      </c>
      <c r="AG79" s="217" t="str">
        <f t="shared" si="5"/>
        <v/>
      </c>
      <c r="AH79" s="202"/>
      <c r="AI79" s="202"/>
    </row>
    <row r="80" spans="1:35" x14ac:dyDescent="0.25">
      <c r="A80" s="54"/>
      <c r="B80" s="54"/>
      <c r="C80" s="54"/>
      <c r="D80" s="54"/>
      <c r="E80" s="54"/>
      <c r="F80" s="54"/>
      <c r="G80" s="54"/>
      <c r="H80" s="54"/>
      <c r="I80" s="54"/>
      <c r="AD80" s="208"/>
      <c r="AE80" s="215" t="str">
        <f>IF($AG$58&gt;=15,15,"")</f>
        <v/>
      </c>
      <c r="AF80" s="217" t="str">
        <f t="shared" si="4"/>
        <v/>
      </c>
      <c r="AG80" s="217" t="str">
        <f t="shared" si="5"/>
        <v/>
      </c>
      <c r="AH80" s="202"/>
      <c r="AI80" s="202"/>
    </row>
    <row r="81" spans="1:35" x14ac:dyDescent="0.25">
      <c r="A81" s="54"/>
      <c r="B81" s="54"/>
      <c r="C81" s="54"/>
      <c r="D81" s="54"/>
      <c r="E81" s="54"/>
      <c r="F81" s="54"/>
      <c r="G81" s="54"/>
      <c r="H81" s="54"/>
      <c r="I81" s="54"/>
      <c r="AD81" s="208"/>
      <c r="AE81" s="215" t="str">
        <f>IF($AG$58&gt;=16,16,"")</f>
        <v/>
      </c>
      <c r="AF81" s="217" t="str">
        <f t="shared" si="4"/>
        <v/>
      </c>
      <c r="AG81" s="217" t="str">
        <f t="shared" si="5"/>
        <v/>
      </c>
      <c r="AH81" s="202"/>
      <c r="AI81" s="202"/>
    </row>
    <row r="82" spans="1:35" x14ac:dyDescent="0.25">
      <c r="A82" s="54"/>
      <c r="B82" s="54"/>
      <c r="C82" s="54"/>
      <c r="D82" s="54"/>
      <c r="E82" s="54"/>
      <c r="F82" s="54"/>
      <c r="G82" s="54"/>
      <c r="H82" s="54"/>
      <c r="I82" s="54"/>
      <c r="AD82" s="208"/>
      <c r="AE82" s="215" t="str">
        <f>IF($AG$58&gt;=17,17,"")</f>
        <v/>
      </c>
      <c r="AF82" s="217" t="str">
        <f t="shared" si="4"/>
        <v/>
      </c>
      <c r="AG82" s="217" t="str">
        <f t="shared" si="5"/>
        <v/>
      </c>
      <c r="AH82" s="202"/>
      <c r="AI82" s="202"/>
    </row>
    <row r="83" spans="1:35" x14ac:dyDescent="0.25">
      <c r="A83" s="54"/>
      <c r="B83" s="54"/>
      <c r="C83" s="54"/>
      <c r="D83" s="54"/>
      <c r="E83" s="54"/>
      <c r="F83" s="54"/>
      <c r="G83" s="54"/>
      <c r="H83" s="54"/>
      <c r="I83" s="54"/>
      <c r="AD83" s="208"/>
      <c r="AE83" s="215" t="str">
        <f>IF($AG$58&gt;=18,18,"")</f>
        <v/>
      </c>
      <c r="AF83" s="217" t="str">
        <f t="shared" si="4"/>
        <v/>
      </c>
      <c r="AG83" s="217" t="str">
        <f t="shared" si="5"/>
        <v/>
      </c>
      <c r="AH83" s="200"/>
      <c r="AI83" s="200"/>
    </row>
    <row r="84" spans="1:35" x14ac:dyDescent="0.25">
      <c r="A84" s="54"/>
      <c r="B84" s="54"/>
      <c r="C84" s="54"/>
      <c r="D84" s="54"/>
      <c r="E84" s="54"/>
      <c r="F84" s="54"/>
      <c r="G84" s="54"/>
      <c r="H84" s="54"/>
      <c r="I84" s="54"/>
      <c r="AD84" s="208"/>
      <c r="AE84" s="215" t="str">
        <f>IF($AG$58&gt;=19,19,"")</f>
        <v/>
      </c>
      <c r="AF84" s="217" t="str">
        <f t="shared" si="4"/>
        <v/>
      </c>
      <c r="AG84" s="217" t="str">
        <f t="shared" si="5"/>
        <v/>
      </c>
      <c r="AH84" s="200"/>
      <c r="AI84" s="200"/>
    </row>
    <row r="85" spans="1:35" x14ac:dyDescent="0.25">
      <c r="A85" s="54"/>
      <c r="B85" s="54"/>
      <c r="C85" s="54"/>
      <c r="D85" s="54"/>
      <c r="E85" s="54"/>
      <c r="F85" s="54"/>
      <c r="G85" s="54"/>
      <c r="H85" s="54"/>
      <c r="I85" s="54"/>
      <c r="AD85" s="208"/>
      <c r="AE85" s="215" t="str">
        <f>IF($AG$58&gt;=20,20,"")</f>
        <v/>
      </c>
      <c r="AF85" s="217" t="str">
        <f t="shared" si="4"/>
        <v/>
      </c>
      <c r="AG85" s="217" t="str">
        <f t="shared" si="5"/>
        <v/>
      </c>
      <c r="AH85" s="200"/>
      <c r="AI85" s="200"/>
    </row>
    <row r="86" spans="1:35" x14ac:dyDescent="0.25">
      <c r="A86" s="54"/>
      <c r="B86" s="54"/>
      <c r="C86" s="54"/>
      <c r="D86" s="54"/>
      <c r="E86" s="54"/>
      <c r="F86" s="54"/>
      <c r="G86" s="54"/>
      <c r="H86" s="54"/>
      <c r="I86" s="54"/>
      <c r="AD86" s="208"/>
      <c r="AE86" s="215" t="str">
        <f>IF($AG$58&gt;=21,21,"")</f>
        <v/>
      </c>
      <c r="AF86" s="217" t="str">
        <f t="shared" si="4"/>
        <v/>
      </c>
      <c r="AG86" s="217" t="str">
        <f t="shared" si="5"/>
        <v/>
      </c>
      <c r="AH86" s="206"/>
      <c r="AI86" s="218"/>
    </row>
    <row r="87" spans="1:35" x14ac:dyDescent="0.25">
      <c r="A87" s="54"/>
      <c r="B87" s="54"/>
      <c r="C87" s="54"/>
      <c r="D87" s="54"/>
      <c r="E87" s="54"/>
      <c r="F87" s="54"/>
      <c r="G87" s="54"/>
      <c r="H87" s="54"/>
      <c r="I87" s="54"/>
      <c r="AD87" s="208"/>
      <c r="AE87" s="215" t="str">
        <f>IF($AG$58&gt;=22,22,"")</f>
        <v/>
      </c>
      <c r="AF87" s="217" t="str">
        <f t="shared" si="4"/>
        <v/>
      </c>
      <c r="AG87" s="217" t="str">
        <f t="shared" si="5"/>
        <v/>
      </c>
      <c r="AH87" s="219"/>
      <c r="AI87" s="220"/>
    </row>
    <row r="88" spans="1:35" x14ac:dyDescent="0.25">
      <c r="A88" s="54"/>
      <c r="B88" s="54"/>
      <c r="C88" s="54"/>
      <c r="D88" s="54"/>
      <c r="E88" s="54"/>
      <c r="F88" s="54"/>
      <c r="G88" s="54"/>
      <c r="H88" s="54"/>
      <c r="I88" s="54"/>
      <c r="AD88" s="208"/>
      <c r="AE88" s="215" t="str">
        <f>IF($AG$58&gt;=23,23,"")</f>
        <v/>
      </c>
      <c r="AF88" s="217" t="str">
        <f t="shared" si="4"/>
        <v/>
      </c>
      <c r="AG88" s="217" t="str">
        <f t="shared" si="5"/>
        <v/>
      </c>
      <c r="AH88" s="219"/>
      <c r="AI88" s="220"/>
    </row>
    <row r="89" spans="1:35" x14ac:dyDescent="0.25">
      <c r="A89" s="54"/>
      <c r="B89" s="54"/>
      <c r="C89" s="54"/>
      <c r="D89" s="54"/>
      <c r="E89" s="54"/>
      <c r="F89" s="54"/>
      <c r="G89" s="54"/>
      <c r="H89" s="54"/>
      <c r="I89" s="54"/>
      <c r="AD89" s="208"/>
      <c r="AE89" s="215" t="str">
        <f>IF($AG$58&gt;=24,24,"")</f>
        <v/>
      </c>
      <c r="AF89" s="221" t="str">
        <f t="shared" si="4"/>
        <v/>
      </c>
      <c r="AG89" s="221" t="str">
        <f t="shared" si="5"/>
        <v/>
      </c>
      <c r="AH89" s="200"/>
      <c r="AI89" s="200"/>
    </row>
    <row r="90" spans="1:35" x14ac:dyDescent="0.25">
      <c r="A90" s="54"/>
      <c r="B90" s="54"/>
      <c r="C90" s="54"/>
      <c r="D90" s="54"/>
      <c r="E90" s="54"/>
      <c r="F90" s="54"/>
      <c r="G90" s="54"/>
      <c r="H90" s="54"/>
      <c r="I90" s="54"/>
      <c r="AD90" s="208"/>
      <c r="AE90" s="215" t="str">
        <f>IF($AG$58=25,25,"")</f>
        <v/>
      </c>
      <c r="AF90" s="222" t="str">
        <f t="shared" si="4"/>
        <v/>
      </c>
      <c r="AG90" s="222" t="str">
        <f t="shared" si="5"/>
        <v/>
      </c>
      <c r="AH90" s="200"/>
      <c r="AI90" s="200"/>
    </row>
    <row r="91" spans="1:35" x14ac:dyDescent="0.25">
      <c r="A91" s="54"/>
      <c r="B91" s="54"/>
      <c r="C91" s="54"/>
      <c r="D91" s="54"/>
      <c r="E91" s="54"/>
      <c r="F91" s="54"/>
      <c r="G91" s="54"/>
      <c r="H91" s="54"/>
      <c r="I91" s="54"/>
      <c r="AD91" s="193"/>
      <c r="AE91" s="200"/>
      <c r="AF91" s="200"/>
      <c r="AG91" s="200"/>
      <c r="AH91" s="200"/>
      <c r="AI91" s="200"/>
    </row>
    <row r="92" spans="1:35" x14ac:dyDescent="0.25">
      <c r="A92" s="54"/>
      <c r="B92" s="54"/>
      <c r="C92" s="54"/>
      <c r="D92" s="54"/>
      <c r="E92" s="54"/>
      <c r="F92" s="54"/>
      <c r="G92" s="54"/>
      <c r="H92" s="54"/>
      <c r="I92" s="54"/>
      <c r="AD92" s="223" t="s">
        <v>194</v>
      </c>
      <c r="AE92" s="202"/>
      <c r="AF92" s="202"/>
      <c r="AG92" s="202"/>
      <c r="AH92" s="202"/>
      <c r="AI92" s="202"/>
    </row>
    <row r="93" spans="1:35" x14ac:dyDescent="0.25">
      <c r="A93" s="54"/>
      <c r="B93" s="54"/>
      <c r="C93" s="54"/>
      <c r="D93" s="54"/>
      <c r="E93" s="54"/>
      <c r="F93" s="54"/>
      <c r="G93" s="54"/>
      <c r="H93" s="54"/>
      <c r="I93" s="54"/>
      <c r="AD93" s="224" t="s">
        <v>179</v>
      </c>
      <c r="AE93" s="202"/>
      <c r="AF93" s="202"/>
      <c r="AG93" s="202"/>
      <c r="AH93" s="202"/>
      <c r="AI93" s="202"/>
    </row>
    <row r="94" spans="1:35" x14ac:dyDescent="0.25">
      <c r="A94" s="54"/>
      <c r="B94" s="54"/>
      <c r="C94" s="54"/>
      <c r="D94" s="54"/>
      <c r="E94" s="54"/>
      <c r="F94" s="54"/>
      <c r="G94" s="54"/>
      <c r="H94" s="54"/>
      <c r="I94" s="54"/>
      <c r="AD94" s="224" t="s">
        <v>187</v>
      </c>
      <c r="AE94" s="202"/>
      <c r="AF94" s="202"/>
      <c r="AG94" s="202"/>
      <c r="AH94" s="202"/>
      <c r="AI94" s="202"/>
    </row>
    <row r="95" spans="1:35" x14ac:dyDescent="0.25">
      <c r="A95" s="54"/>
      <c r="B95" s="54"/>
      <c r="C95" s="54"/>
      <c r="D95" s="54"/>
      <c r="E95" s="54"/>
      <c r="F95" s="54"/>
      <c r="G95" s="54"/>
      <c r="H95" s="54"/>
      <c r="I95" s="54"/>
      <c r="AD95" s="224" t="s">
        <v>188</v>
      </c>
      <c r="AE95" s="200"/>
      <c r="AF95" s="200"/>
      <c r="AG95" s="200"/>
      <c r="AH95" s="200"/>
      <c r="AI95" s="200"/>
    </row>
    <row r="96" spans="1:35" x14ac:dyDescent="0.25">
      <c r="A96" s="54"/>
      <c r="B96" s="54"/>
      <c r="C96" s="54"/>
      <c r="D96" s="54"/>
      <c r="E96" s="54"/>
      <c r="F96" s="54"/>
      <c r="G96" s="54"/>
      <c r="H96" s="54"/>
      <c r="I96" s="77"/>
      <c r="AD96" s="200" t="s">
        <v>189</v>
      </c>
      <c r="AE96" s="200"/>
      <c r="AF96" s="200"/>
      <c r="AG96" s="200"/>
      <c r="AH96" s="200"/>
      <c r="AI96" s="200"/>
    </row>
    <row r="97" spans="1:9" x14ac:dyDescent="0.25">
      <c r="A97" s="54"/>
      <c r="B97" s="54"/>
      <c r="C97" s="54"/>
      <c r="D97" s="54"/>
      <c r="E97" s="54"/>
      <c r="F97" s="54"/>
      <c r="G97" s="54"/>
      <c r="H97" s="77"/>
      <c r="I97" s="90"/>
    </row>
    <row r="98" spans="1:9" x14ac:dyDescent="0.25">
      <c r="A98" s="54"/>
      <c r="B98" s="54"/>
      <c r="C98" s="54"/>
      <c r="D98" s="54"/>
      <c r="E98" s="54"/>
      <c r="F98" s="54"/>
      <c r="G98" s="54"/>
      <c r="H98" s="77"/>
      <c r="I98" s="91"/>
    </row>
  </sheetData>
  <sheetProtection sheet="1" objects="1" scenarios="1"/>
  <phoneticPr fontId="41" type="noConversion"/>
  <conditionalFormatting sqref="E52">
    <cfRule type="cellIs" dxfId="7" priority="1" stopIfTrue="1" operator="notEqual">
      <formula>"OK"</formula>
    </cfRule>
  </conditionalFormatting>
  <dataValidations count="7">
    <dataValidation allowBlank="1" showInputMessage="1" showErrorMessage="1" prompt="'Dc' is the diameter of the pile circle." sqref="AG59"/>
    <dataValidation type="decimal" operator="greaterThanOrEqual" allowBlank="1" showInputMessage="1" showErrorMessage="1" prompt="The angle to Pile #1 is measured counterclockwise from the origin X-axis." sqref="AG62">
      <formula1>0</formula1>
    </dataValidation>
    <dataValidation type="decimal" operator="greaterThanOrEqual" allowBlank="1" showInputMessage="1" showErrorMessage="1" prompt="'Xo' is the x-coordinate location of the center of the pile circle from the origin Y-axis.  Xo &gt;=  Dc/2" sqref="AG60">
      <formula1>$AG$59/2</formula1>
    </dataValidation>
    <dataValidation type="decimal" operator="greaterThanOrEqual" allowBlank="1" showInputMessage="1" showErrorMessage="1" prompt="'Yo' is the y-coordinate location of the center of the pile circle from the origin X-axis.  Yo &gt;=  Dc/2" sqref="AG61">
      <formula1>$AG$59/2</formula1>
    </dataValidation>
    <dataValidation type="list" allowBlank="1" showInputMessage="1" showErrorMessage="1" errorTitle="Warning!" error="Invalid input for number of piles_x000a_(must input a value between 2 and 25)" sqref="C9">
      <formula1>$K$6:$K$29</formula1>
    </dataValidation>
    <dataValidation type="list" allowBlank="1" showInputMessage="1" showErrorMessage="1" errorTitle="Warning!" error="Invalid input for number of piers_x000a_(must input a value between 1 and 4)" sqref="C38">
      <formula1>$K$5:$K$8</formula1>
    </dataValidation>
    <dataValidation type="list" allowBlank="1" showInputMessage="1" showErrorMessage="1" errorTitle="Warning!" error="Invalid input for number of piles_x000a_(must input a value between 2 and 25)" sqref="AG58">
      <formula1>$K$7:$K$29</formula1>
    </dataValidation>
  </dataValidations>
  <pageMargins left="1" right="0.5" top="1" bottom="1" header="0.5" footer="0.5"/>
  <pageSetup scale="98" orientation="portrait" r:id="rId1"/>
  <headerFooter alignWithMargins="0">
    <oddHeader>&amp;R"PILEGRP.xls" Program
Version 3.6</oddHeader>
    <oddFooter>&amp;C&amp;P of &amp;N&amp;R&amp;D  &amp;T</oddFooter>
  </headerFooter>
  <drawing r:id="rId2"/>
  <mc:AlternateContent xmlns:mc="http://schemas.openxmlformats.org/markup-compatibility/2006">
    <mc:Choice Requires="v">
      <legacyDrawing r:id="rId3"/>
    </mc:Choice>
  </mc:AlternateContent>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dimension ref="A1:AO105"/>
  <sheetViews>
    <sheetView zoomScaleNormal="100" workbookViewId="0"/>
  </sheetViews>
  <sheetFormatPr defaultColWidth="9.109375" defaultRowHeight="13.2" x14ac:dyDescent="0.25"/>
  <cols>
    <col min="1" max="1" width="11.88671875" style="92" customWidth="1"/>
    <col min="2" max="2" width="10.6640625" style="92" customWidth="1"/>
    <col min="3" max="3" width="9.6640625" style="92" customWidth="1"/>
    <col min="4" max="4" width="9.5546875" style="92" customWidth="1"/>
    <col min="5" max="8" width="9.109375" style="92"/>
    <col min="9" max="9" width="12.109375" style="92" customWidth="1"/>
    <col min="10" max="11" width="9.109375" style="1" hidden="1" customWidth="1"/>
    <col min="12" max="12" width="10.6640625" style="1" hidden="1" customWidth="1"/>
    <col min="13" max="26" width="9.109375" style="1" hidden="1" customWidth="1"/>
    <col min="27" max="27" width="9.109375" style="1"/>
    <col min="28" max="28" width="9.109375" style="9"/>
    <col min="29" max="30" width="9.109375" style="1"/>
    <col min="31" max="31" width="9.33203125" style="1" bestFit="1" customWidth="1"/>
    <col min="32" max="32" width="9.6640625" style="1" bestFit="1" customWidth="1"/>
    <col min="33" max="16384" width="9.109375" style="1"/>
  </cols>
  <sheetData>
    <row r="1" spans="1:39" ht="15.6" x14ac:dyDescent="0.3">
      <c r="A1" s="32" t="s">
        <v>67</v>
      </c>
      <c r="B1" s="33"/>
      <c r="C1" s="34"/>
      <c r="D1" s="34"/>
      <c r="E1" s="34"/>
      <c r="F1" s="34"/>
      <c r="G1" s="33"/>
      <c r="H1" s="33"/>
      <c r="I1" s="35"/>
      <c r="J1" s="2"/>
      <c r="K1" s="7" t="s">
        <v>4</v>
      </c>
      <c r="N1" s="7"/>
      <c r="AA1" s="184" t="s">
        <v>373</v>
      </c>
    </row>
    <row r="2" spans="1:39" x14ac:dyDescent="0.25">
      <c r="A2" s="36" t="s">
        <v>51</v>
      </c>
      <c r="B2" s="37"/>
      <c r="C2" s="38"/>
      <c r="D2" s="37"/>
      <c r="E2" s="37"/>
      <c r="F2" s="37"/>
      <c r="G2" s="39"/>
      <c r="H2" s="39"/>
      <c r="I2" s="40"/>
      <c r="J2" s="2"/>
      <c r="AB2" s="134" t="s">
        <v>109</v>
      </c>
      <c r="AC2" s="129"/>
    </row>
    <row r="3" spans="1:39" x14ac:dyDescent="0.25">
      <c r="A3" s="136" t="s">
        <v>161</v>
      </c>
      <c r="B3" s="41"/>
      <c r="C3" s="41"/>
      <c r="D3" s="41"/>
      <c r="E3" s="41"/>
      <c r="F3" s="41"/>
      <c r="G3" s="42"/>
      <c r="H3" s="42"/>
      <c r="I3" s="43"/>
      <c r="J3" s="2"/>
      <c r="L3" s="25" t="s">
        <v>55</v>
      </c>
      <c r="M3" s="21"/>
      <c r="N3" s="25" t="s">
        <v>84</v>
      </c>
      <c r="O3" s="6"/>
      <c r="P3" s="21"/>
      <c r="Q3" s="25" t="s">
        <v>24</v>
      </c>
      <c r="R3" s="21"/>
      <c r="S3" s="25" t="s">
        <v>25</v>
      </c>
      <c r="T3" s="22"/>
      <c r="AB3" s="130" t="s">
        <v>110</v>
      </c>
      <c r="AC3" s="130" t="s">
        <v>111</v>
      </c>
    </row>
    <row r="4" spans="1:39" x14ac:dyDescent="0.25">
      <c r="A4" s="44" t="s">
        <v>2</v>
      </c>
      <c r="B4" s="125"/>
      <c r="C4" s="121"/>
      <c r="D4" s="121"/>
      <c r="E4" s="121"/>
      <c r="F4" s="127" t="s">
        <v>108</v>
      </c>
      <c r="G4" s="126"/>
      <c r="H4" s="123"/>
      <c r="I4" s="124"/>
      <c r="J4" s="5"/>
      <c r="K4" s="13" t="s">
        <v>56</v>
      </c>
      <c r="L4" s="14" t="s">
        <v>87</v>
      </c>
      <c r="M4" s="14" t="s">
        <v>88</v>
      </c>
      <c r="N4" s="23" t="s">
        <v>95</v>
      </c>
      <c r="O4" s="23" t="s">
        <v>96</v>
      </c>
      <c r="P4" s="23" t="s">
        <v>97</v>
      </c>
      <c r="Q4" s="15" t="s">
        <v>18</v>
      </c>
      <c r="R4" s="15" t="s">
        <v>19</v>
      </c>
      <c r="S4" s="15" t="s">
        <v>20</v>
      </c>
      <c r="T4" s="15" t="s">
        <v>21</v>
      </c>
      <c r="AB4" s="27">
        <v>28</v>
      </c>
      <c r="AC4" s="133">
        <v>28</v>
      </c>
    </row>
    <row r="5" spans="1:39" x14ac:dyDescent="0.25">
      <c r="A5" s="44" t="s">
        <v>3</v>
      </c>
      <c r="B5" s="122"/>
      <c r="C5" s="123"/>
      <c r="D5" s="123"/>
      <c r="E5" s="124"/>
      <c r="F5" s="120" t="s">
        <v>107</v>
      </c>
      <c r="G5" s="178"/>
      <c r="H5" s="179" t="s">
        <v>106</v>
      </c>
      <c r="I5" s="180"/>
      <c r="J5" s="5"/>
      <c r="K5" s="9">
        <v>1</v>
      </c>
      <c r="L5" s="16">
        <f>IF($C$9&gt;=1,$C12+0.000001-$L$85,"")</f>
        <v>-13.499999000000001</v>
      </c>
      <c r="M5" s="16">
        <f>IF($C$9&gt;=1,$B12+0.000001-$L$84,"")</f>
        <v>-4.4999989999999999</v>
      </c>
      <c r="N5" s="16">
        <f>IF($C$9&gt;=1,$L5^2,"")</f>
        <v>182.24997300000101</v>
      </c>
      <c r="O5" s="16">
        <f>IF($C$9&gt;=1,$M5^2,"")</f>
        <v>20.249991000001</v>
      </c>
      <c r="P5" s="16">
        <f>IF($C$9&gt;=1,$L5*$M5,"")</f>
        <v>60.749982000001005</v>
      </c>
      <c r="Q5" s="17">
        <f>IF($C$9&gt;=1,$B12-$L$84,"")</f>
        <v>-4.5</v>
      </c>
      <c r="R5" s="17">
        <f>IF($C$9&gt;=1,$C12-$L$85,"")</f>
        <v>-13.5</v>
      </c>
      <c r="S5" s="18">
        <f>IF($C$9&gt;=1,(-$P$93/$C$9+($P$97*$L$86--$P$96*$L$89)/($L$86*$L$87-$L$89^2)*$Q5+(-$P$96*$L$87-$P$97*$L$89)/($L$86*$L$87-$L$89^2)*$R5),"")</f>
        <v>82.272727393388422</v>
      </c>
      <c r="T5" s="18">
        <f>IF($C$9&gt;=1,((($P$94/$C$9+$P$98*-$R5/$L$88)^2+($P$95/$C$9+$P$98*$Q5/$L$88)^2)^(1/2)),"")</f>
        <v>1.8027756377319946</v>
      </c>
      <c r="AE5" s="139" t="s">
        <v>169</v>
      </c>
      <c r="AF5" s="137"/>
      <c r="AG5" s="137"/>
      <c r="AH5" s="137"/>
      <c r="AI5" s="138"/>
    </row>
    <row r="6" spans="1:39" x14ac:dyDescent="0.25">
      <c r="A6" s="45"/>
      <c r="B6" s="93"/>
      <c r="C6" s="93"/>
      <c r="D6" s="93"/>
      <c r="E6" s="93"/>
      <c r="F6" s="93"/>
      <c r="G6" s="93"/>
      <c r="H6" s="185"/>
      <c r="I6" s="188"/>
      <c r="J6" s="2"/>
      <c r="K6" s="9">
        <v>2</v>
      </c>
      <c r="L6" s="16">
        <f>IF($C$9&gt;=2,$C13-$L$85,"")</f>
        <v>-10.5</v>
      </c>
      <c r="M6" s="16">
        <f>IF($C$9&gt;=2,$B13-$L$84,"")</f>
        <v>-4.5</v>
      </c>
      <c r="N6" s="16">
        <f>IF($C$9&gt;=2,$L6^2,"")</f>
        <v>110.25</v>
      </c>
      <c r="O6" s="16">
        <f>IF($C$9&gt;=2,$M6^2,"")</f>
        <v>20.25</v>
      </c>
      <c r="P6" s="16">
        <f>IF($C$9&gt;=2,$L6*$M6,"")</f>
        <v>47.25</v>
      </c>
      <c r="Q6" s="17">
        <f>IF($C$9&gt;=2,$B13-$L$84,"")</f>
        <v>-4.5</v>
      </c>
      <c r="R6" s="17">
        <f>IF($C$9&gt;=2,$C13-$L$85,"")</f>
        <v>-10.5</v>
      </c>
      <c r="S6" s="18">
        <f>IF($C$9&gt;=2,(-$P$93/$C$9+($P$97*$L$86--$P$96*$L$89)/($L$86*$L$87-$L$89^2)*$Q6+(-$P$96*$L$87-$P$97*$L$89)/($L$86*$L$87-$L$89^2)*$R6),"")</f>
        <v>81.767676883746546</v>
      </c>
      <c r="T6" s="18">
        <f>IF($C$9&gt;=2,((($P$94/$C$9+$P$98*-$R6/$L$88)^2+($P$95/$C$9+$P$98*$Q6/$L$88)^2)^(1/2)),"")</f>
        <v>1.8027756377319946</v>
      </c>
      <c r="AE6" s="137" t="s">
        <v>167</v>
      </c>
      <c r="AF6" s="137"/>
      <c r="AG6" s="137"/>
      <c r="AH6" s="137"/>
      <c r="AI6" s="138"/>
    </row>
    <row r="7" spans="1:39" x14ac:dyDescent="0.25">
      <c r="A7" s="47" t="s">
        <v>1</v>
      </c>
      <c r="B7" s="93"/>
      <c r="C7" s="94"/>
      <c r="D7" s="93"/>
      <c r="E7" s="93"/>
      <c r="F7" s="93"/>
      <c r="G7" s="93"/>
      <c r="H7" s="185"/>
      <c r="I7" s="189"/>
      <c r="J7" s="2"/>
      <c r="K7" s="9">
        <v>3</v>
      </c>
      <c r="L7" s="16">
        <f>IF($C$9&gt;=3,$C14-$L$85,"")</f>
        <v>-7.5</v>
      </c>
      <c r="M7" s="16">
        <f>IF($C$9&gt;=3,$B14-$L$84,"")</f>
        <v>-4.5</v>
      </c>
      <c r="N7" s="16">
        <f>IF($C$9&gt;=3,$L7^2,"")</f>
        <v>56.25</v>
      </c>
      <c r="O7" s="16">
        <f>IF($C$9&gt;=3,$M7^2,"")</f>
        <v>20.25</v>
      </c>
      <c r="P7" s="16">
        <f>IF($C$9&gt;=3,$L7*$M7,"")</f>
        <v>33.75</v>
      </c>
      <c r="Q7" s="17">
        <f>IF($C$9&gt;=3,$B14-$L$84,"")</f>
        <v>-4.5</v>
      </c>
      <c r="R7" s="17">
        <f>IF($C$9&gt;=3,$C14-$L$85,"")</f>
        <v>-7.5</v>
      </c>
      <c r="S7" s="18">
        <f>IF($C$9&gt;=3,(-$P$93/$C$9+($P$97*$L$86--$P$96*$L$89)/($L$86*$L$87-$L$89^2)*$Q7+(-$P$96*$L$87-$P$97*$L$89)/($L$86*$L$87-$L$89^2)*$R7),"")</f>
        <v>81.26262637410467</v>
      </c>
      <c r="T7" s="18">
        <f>IF($C$9&gt;=3,((($P$94/$C$9+$P$98*-$R7/$L$88)^2+($P$95/$C$9+$P$98*$Q7/$L$88)^2)^(1/2)),"")</f>
        <v>1.8027756377319946</v>
      </c>
      <c r="AE7" s="137" t="s">
        <v>172</v>
      </c>
      <c r="AF7" s="137"/>
      <c r="AG7" s="137"/>
      <c r="AH7" s="137"/>
      <c r="AI7" s="138"/>
    </row>
    <row r="8" spans="1:39" x14ac:dyDescent="0.25">
      <c r="A8" s="48"/>
      <c r="B8" s="128"/>
      <c r="C8" s="93"/>
      <c r="D8" s="93"/>
      <c r="E8" s="93"/>
      <c r="F8" s="93"/>
      <c r="G8" s="93"/>
      <c r="H8" s="185"/>
      <c r="I8" s="183"/>
      <c r="J8" s="2"/>
      <c r="K8" s="9">
        <v>4</v>
      </c>
      <c r="L8" s="16">
        <f>IF($C$9&gt;=4,$C15-$L$85,"")</f>
        <v>-4.5</v>
      </c>
      <c r="M8" s="16">
        <f>IF($C$9&gt;=4,$B15-$L$84,"")</f>
        <v>-4.5</v>
      </c>
      <c r="N8" s="16">
        <f>IF($C$9&gt;=4,$L8^2,"")</f>
        <v>20.25</v>
      </c>
      <c r="O8" s="16">
        <f>IF($C$9&gt;=4,$M8^2,"")</f>
        <v>20.25</v>
      </c>
      <c r="P8" s="16">
        <f>IF($C$9&gt;=4,$L8*$M8,"")</f>
        <v>20.25</v>
      </c>
      <c r="Q8" s="17">
        <f>IF($C$9&gt;=4,$B15-$L$84,"")</f>
        <v>-4.5</v>
      </c>
      <c r="R8" s="17">
        <f>IF($C$9&gt;=4,$C15-$L$85,"")</f>
        <v>-4.5</v>
      </c>
      <c r="S8" s="18">
        <f>IF($C$9&gt;=4,(-$P$93/$C$9+($P$97*$L$86--$P$96*$L$89)/($L$86*$L$87-$L$89^2)*$Q8+(-$P$96*$L$87-$P$97*$L$89)/($L$86*$L$87-$L$89^2)*$R8),"")</f>
        <v>80.757575864462808</v>
      </c>
      <c r="T8" s="18">
        <f>IF($C$9&gt;=4,((($P$94/$C$9+$P$98*-$R8/$L$88)^2+($P$95/$C$9+$P$98*$Q8/$L$88)^2)^(1/2)),"")</f>
        <v>1.8027756377319946</v>
      </c>
      <c r="AE8" s="137" t="s">
        <v>168</v>
      </c>
      <c r="AF8" s="137"/>
      <c r="AG8" s="137"/>
      <c r="AH8" s="137"/>
      <c r="AI8" s="138"/>
    </row>
    <row r="9" spans="1:39" x14ac:dyDescent="0.25">
      <c r="A9" s="45"/>
      <c r="B9" s="50" t="s">
        <v>57</v>
      </c>
      <c r="C9" s="27">
        <v>40</v>
      </c>
      <c r="D9" s="54"/>
      <c r="E9" s="54"/>
      <c r="F9" s="53"/>
      <c r="G9" s="54"/>
      <c r="H9" s="54"/>
      <c r="I9" s="60" t="s">
        <v>0</v>
      </c>
      <c r="J9" s="2"/>
      <c r="K9" s="9">
        <v>5</v>
      </c>
      <c r="L9" s="16">
        <f>IF($C$9&gt;=5,$C16-$L$85,"")</f>
        <v>-1.5</v>
      </c>
      <c r="M9" s="16">
        <f>IF($C$9&gt;=5,$B16-$L$84,"")</f>
        <v>-4.5</v>
      </c>
      <c r="N9" s="16">
        <f>IF($C$9&gt;=5,$L9^2,"")</f>
        <v>2.25</v>
      </c>
      <c r="O9" s="16">
        <f>IF($C$9&gt;=5,$M9^2,"")</f>
        <v>20.25</v>
      </c>
      <c r="P9" s="16">
        <f>IF($C$9&gt;=5,$L9*$M9,"")</f>
        <v>6.75</v>
      </c>
      <c r="Q9" s="17">
        <f>IF($C$9&gt;=5,$B16-$L$84,"")</f>
        <v>-4.5</v>
      </c>
      <c r="R9" s="17">
        <f>IF($C$9&gt;=5,$C16-$L$85,"")</f>
        <v>-1.5</v>
      </c>
      <c r="S9" s="18">
        <f>IF($C$9&gt;=5,(-$P$93/$C$9+($P$97*$L$86--$P$96*$L$89)/($L$86*$L$87-$L$89^2)*$Q9+(-$P$96*$L$87-$P$97*$L$89)/($L$86*$L$87-$L$89^2)*$R9),"")</f>
        <v>80.252525354820932</v>
      </c>
      <c r="T9" s="18">
        <f>IF($C$9&gt;=5,((($P$94/$C$9+$P$98*-$R9/$L$88)^2+($P$95/$C$9+$P$98*$Q9/$L$88)^2)^(1/2)),"")</f>
        <v>1.8027756377319946</v>
      </c>
      <c r="AM9" s="2"/>
    </row>
    <row r="10" spans="1:39" x14ac:dyDescent="0.25">
      <c r="A10" s="97"/>
      <c r="B10" s="56" t="s">
        <v>53</v>
      </c>
      <c r="C10" s="53"/>
      <c r="D10" s="74"/>
      <c r="E10" s="56" t="s">
        <v>53</v>
      </c>
      <c r="F10" s="53"/>
      <c r="G10" s="74"/>
      <c r="H10" s="56" t="s">
        <v>54</v>
      </c>
      <c r="I10" s="64"/>
      <c r="K10" s="9">
        <v>6</v>
      </c>
      <c r="L10" s="16">
        <f>IF($C$9&gt;=6,$C17-$L$85,"")</f>
        <v>1.5</v>
      </c>
      <c r="M10" s="16">
        <f>IF($C$9&gt;=6,$B17-$L$84,"")</f>
        <v>-4.5</v>
      </c>
      <c r="N10" s="16">
        <f>IF($C$9&gt;=6,$L10^2,"")</f>
        <v>2.25</v>
      </c>
      <c r="O10" s="16">
        <f>IF($C$9&gt;=6,$M10^2,"")</f>
        <v>20.25</v>
      </c>
      <c r="P10" s="16">
        <f>IF($C$9&gt;=6,$L10*$M10,"")</f>
        <v>-6.75</v>
      </c>
      <c r="Q10" s="17">
        <f>IF($C$9&gt;=6,$B17-$L$84,"")</f>
        <v>-4.5</v>
      </c>
      <c r="R10" s="17">
        <f>IF($C$9&gt;=6,$C17-$L$85,"")</f>
        <v>1.5</v>
      </c>
      <c r="S10" s="18">
        <f>IF($C$9&gt;=6,(-$P$93/$C$9+($P$97*$L$86--$P$96*$L$89)/($L$86*$L$87-$L$89^2)*$Q10+(-$P$96*$L$87-$P$97*$L$89)/($L$86*$L$87-$L$89^2)*$R10),"")</f>
        <v>79.747474845179056</v>
      </c>
      <c r="T10" s="18">
        <f>IF($C$9&gt;=6,((($P$94/$C$9+$P$98*-$R10/$L$88)^2+($P$95/$C$9+$P$98*$Q10/$L$88)^2)^(1/2)),"")</f>
        <v>1.8027756377319946</v>
      </c>
      <c r="AD10" s="239" t="s">
        <v>163</v>
      </c>
      <c r="AE10" s="22"/>
      <c r="AF10" s="22"/>
      <c r="AG10" s="22"/>
      <c r="AH10" s="8"/>
      <c r="AI10" s="8"/>
      <c r="AJ10" s="8"/>
      <c r="AK10" s="213"/>
      <c r="AL10" s="226"/>
      <c r="AM10" s="240"/>
    </row>
    <row r="11" spans="1:39" x14ac:dyDescent="0.25">
      <c r="A11" s="45"/>
      <c r="B11" s="77" t="s">
        <v>140</v>
      </c>
      <c r="C11" s="77" t="s">
        <v>141</v>
      </c>
      <c r="D11" s="54"/>
      <c r="E11" s="77" t="s">
        <v>140</v>
      </c>
      <c r="F11" s="77" t="s">
        <v>141</v>
      </c>
      <c r="G11" s="54"/>
      <c r="H11" s="77" t="s">
        <v>140</v>
      </c>
      <c r="I11" s="98" t="s">
        <v>141</v>
      </c>
      <c r="K11" s="9">
        <v>7</v>
      </c>
      <c r="L11" s="16">
        <f>IF($C$9&gt;=7,$C18-$L$85,"")</f>
        <v>4.5</v>
      </c>
      <c r="M11" s="16">
        <f>IF($C$9&gt;=7,$B18-$L$84,"")</f>
        <v>-4.5</v>
      </c>
      <c r="N11" s="16">
        <f>IF($C$9&gt;=7,$L11^2,"")</f>
        <v>20.25</v>
      </c>
      <c r="O11" s="16">
        <f>IF($C$9&gt;=7,$M11^2,"")</f>
        <v>20.25</v>
      </c>
      <c r="P11" s="16">
        <f>IF($C$9&gt;=7,$L11*$M11,"")</f>
        <v>-20.25</v>
      </c>
      <c r="Q11" s="17">
        <f>IF($C$9&gt;=7,$B18-$L$84,"")</f>
        <v>-4.5</v>
      </c>
      <c r="R11" s="17">
        <f>IF($C$9&gt;=7,$C18-$L$85,"")</f>
        <v>4.5</v>
      </c>
      <c r="S11" s="18">
        <f>IF($C$9&gt;=7,(-$P$93/$C$9+($P$97*$L$86--$P$96*$L$89)/($L$86*$L$87-$L$89^2)*$Q11+(-$P$96*$L$87-$P$97*$L$89)/($L$86*$L$87-$L$89^2)*$R11),"")</f>
        <v>79.24242433553718</v>
      </c>
      <c r="T11" s="18">
        <f>IF($C$9&gt;=7,((($P$94/$C$9+$P$98*-$R11/$L$88)^2+($P$95/$C$9+$P$98*$Q11/$L$88)^2)^(1/2)),"")</f>
        <v>1.8027756377319946</v>
      </c>
      <c r="AD11" s="199"/>
      <c r="AE11" s="196" t="s">
        <v>207</v>
      </c>
      <c r="AF11" s="196" t="s">
        <v>208</v>
      </c>
      <c r="AG11" s="194"/>
      <c r="AH11" s="196" t="s">
        <v>207</v>
      </c>
      <c r="AI11" s="196" t="s">
        <v>208</v>
      </c>
      <c r="AJ11" s="194"/>
      <c r="AK11" s="196" t="s">
        <v>207</v>
      </c>
      <c r="AL11" s="196" t="s">
        <v>208</v>
      </c>
      <c r="AM11" s="5"/>
    </row>
    <row r="12" spans="1:39" x14ac:dyDescent="0.25">
      <c r="A12" s="260" t="str">
        <f>IF($C$9&gt;=1,"#1:","")</f>
        <v>#1:</v>
      </c>
      <c r="B12" s="141">
        <v>0</v>
      </c>
      <c r="C12" s="142">
        <v>0</v>
      </c>
      <c r="D12" s="260" t="str">
        <f>IF($C$9&gt;=26,"#26:","")</f>
        <v>#26:</v>
      </c>
      <c r="E12" s="141">
        <v>6</v>
      </c>
      <c r="F12" s="142">
        <v>15</v>
      </c>
      <c r="G12" s="260" t="str">
        <f>IF($C$9&gt;=51,"#51:","")</f>
        <v/>
      </c>
      <c r="H12" s="141"/>
      <c r="I12" s="142"/>
      <c r="K12" s="9">
        <v>8</v>
      </c>
      <c r="L12" s="16">
        <f>IF($C$9&gt;=8,$C19-$L$85,"")</f>
        <v>7.5</v>
      </c>
      <c r="M12" s="16">
        <f>IF($C$9&gt;=8,$B19-$L$84,"")</f>
        <v>-4.5</v>
      </c>
      <c r="N12" s="16">
        <f>IF($C$9&gt;=8,$L12^2,"")</f>
        <v>56.25</v>
      </c>
      <c r="O12" s="16">
        <f>IF($C$9&gt;=8,$M12^2,"")</f>
        <v>20.25</v>
      </c>
      <c r="P12" s="16">
        <f>IF($C$9&gt;=8,$L12*$M12,"")</f>
        <v>-33.75</v>
      </c>
      <c r="Q12" s="17">
        <f>IF($C$9&gt;=8,$B19-$L$84,"")</f>
        <v>-4.5</v>
      </c>
      <c r="R12" s="17">
        <f>IF($C$9&gt;=8,$C19-$L$85,"")</f>
        <v>7.5</v>
      </c>
      <c r="S12" s="18">
        <f>IF($C$9&gt;=8,(-$P$93/$C$9+($P$97*$L$86--$P$96*$L$89)/($L$86*$L$87-$L$89^2)*$Q12+(-$P$96*$L$87-$P$97*$L$89)/($L$86*$L$87-$L$89^2)*$R12),"")</f>
        <v>78.737373825895318</v>
      </c>
      <c r="T12" s="18">
        <f>IF($C$9&gt;=8,((($P$94/$C$9+$P$98*-$R12/$L$88)^2+($P$95/$C$9+$P$98*$Q12/$L$88)^2)^(1/2)),"")</f>
        <v>1.8027756377319946</v>
      </c>
      <c r="AD12" s="262" t="str">
        <f>IF($C$9&gt;=1,"#1:","")</f>
        <v>#1:</v>
      </c>
      <c r="AE12" s="216">
        <f>IF($C$9&gt;=1,$B12*0.3048,"")</f>
        <v>0</v>
      </c>
      <c r="AF12" s="228">
        <f>IF($C$9&gt;=1,$C12*0.3048,"")</f>
        <v>0</v>
      </c>
      <c r="AG12" s="279" t="str">
        <f>IF($C$9&gt;=26,"#26:","")</f>
        <v>#26:</v>
      </c>
      <c r="AH12" s="216">
        <f>IF($C$9&gt;=26,$E12*0.3048,"")</f>
        <v>1.8288000000000002</v>
      </c>
      <c r="AI12" s="228">
        <f>IF($C$9&gt;=26,$F12*0.3048,"")</f>
        <v>4.5720000000000001</v>
      </c>
      <c r="AJ12" s="279" t="str">
        <f>IF($C$9&gt;=51,"#51:","")</f>
        <v/>
      </c>
      <c r="AK12" s="216" t="str">
        <f>IF($C$9&gt;=51,$H12*0.3048,"")</f>
        <v/>
      </c>
      <c r="AL12" s="228" t="str">
        <f>IF($C$9&gt;=51,$I12*0.3048,"")</f>
        <v/>
      </c>
      <c r="AM12" s="8"/>
    </row>
    <row r="13" spans="1:39" x14ac:dyDescent="0.25">
      <c r="A13" s="260" t="str">
        <f>IF($C$9&gt;=2,"#2:","")</f>
        <v>#2:</v>
      </c>
      <c r="B13" s="145">
        <v>0</v>
      </c>
      <c r="C13" s="146">
        <v>3</v>
      </c>
      <c r="D13" s="260" t="str">
        <f>IF($C$9&gt;=27,"#27:","")</f>
        <v>#27:</v>
      </c>
      <c r="E13" s="145">
        <v>6</v>
      </c>
      <c r="F13" s="146">
        <v>18</v>
      </c>
      <c r="G13" s="260" t="str">
        <f>IF($C$9&gt;=52,"#52:","")</f>
        <v/>
      </c>
      <c r="H13" s="145"/>
      <c r="I13" s="146"/>
      <c r="K13" s="9">
        <v>9</v>
      </c>
      <c r="L13" s="16">
        <f>IF($C$9&gt;=9,$C20-$L$85,"")</f>
        <v>10.5</v>
      </c>
      <c r="M13" s="16">
        <f>IF($C$9&gt;=9,$B20-$L$84,"")</f>
        <v>-4.5</v>
      </c>
      <c r="N13" s="16">
        <f>IF($C$9&gt;=9,$L13^2,"")</f>
        <v>110.25</v>
      </c>
      <c r="O13" s="16">
        <f>IF($C$9&gt;=9,$M13^2,"")</f>
        <v>20.25</v>
      </c>
      <c r="P13" s="16">
        <f>IF($C$9&gt;=9,$L13*$M13,"")</f>
        <v>-47.25</v>
      </c>
      <c r="Q13" s="17">
        <f>IF($C$9&gt;=9,$B20-$L$84,"")</f>
        <v>-4.5</v>
      </c>
      <c r="R13" s="17">
        <f>IF($C$9&gt;=9,$C20-$L$85,"")</f>
        <v>10.5</v>
      </c>
      <c r="S13" s="18">
        <f>IF($C$9&gt;=9,(-$P$93/$C$9+($P$97*$L$86--$P$96*$L$89)/($L$86*$L$87-$L$89^2)*$Q13+(-$P$96*$L$87-$P$97*$L$89)/($L$86*$L$87-$L$89^2)*$R13),"")</f>
        <v>78.232323316253442</v>
      </c>
      <c r="T13" s="18">
        <f>IF($C$9&gt;=9,((($P$94/$C$9+$P$98*-$R13/$L$88)^2+($P$95/$C$9+$P$98*$Q13/$L$88)^2)^(1/2)),"")</f>
        <v>1.8027756377319946</v>
      </c>
      <c r="AD13" s="262" t="str">
        <f>IF($C$9&gt;=2,"#2:","")</f>
        <v>#2:</v>
      </c>
      <c r="AE13" s="217">
        <f>IF($C$9&gt;=2,$B13*0.3048,"")</f>
        <v>0</v>
      </c>
      <c r="AF13" s="229">
        <f>IF($C$9&gt;=2,$C13*0.3048,"")</f>
        <v>0.9144000000000001</v>
      </c>
      <c r="AG13" s="279" t="str">
        <f>IF($C$9&gt;=27,"#27:","")</f>
        <v>#27:</v>
      </c>
      <c r="AH13" s="217">
        <f>IF($C$9&gt;=27,$E13*0.3048,"")</f>
        <v>1.8288000000000002</v>
      </c>
      <c r="AI13" s="229">
        <f>IF($C$9&gt;=27,$F13*0.3048,"")</f>
        <v>5.4864000000000006</v>
      </c>
      <c r="AJ13" s="279" t="str">
        <f>IF($C$9&gt;=52,"#52:","")</f>
        <v/>
      </c>
      <c r="AK13" s="217" t="str">
        <f>IF($C$9&gt;=52,$H13*0.3048,"")</f>
        <v/>
      </c>
      <c r="AL13" s="229" t="str">
        <f>IF($C$9&gt;=52,$I13*0.3048,"")</f>
        <v/>
      </c>
      <c r="AM13" s="8"/>
    </row>
    <row r="14" spans="1:39" x14ac:dyDescent="0.25">
      <c r="A14" s="260" t="str">
        <f>IF($C$9&gt;=3,"#3:","")</f>
        <v>#3:</v>
      </c>
      <c r="B14" s="145">
        <v>0</v>
      </c>
      <c r="C14" s="146">
        <v>6</v>
      </c>
      <c r="D14" s="260" t="str">
        <f>IF($C$9&gt;=28,"#28:","")</f>
        <v>#28:</v>
      </c>
      <c r="E14" s="145">
        <v>6</v>
      </c>
      <c r="F14" s="146">
        <v>21</v>
      </c>
      <c r="G14" s="260" t="str">
        <f>IF($C$9&gt;=53,"#53:","")</f>
        <v/>
      </c>
      <c r="H14" s="145"/>
      <c r="I14" s="146"/>
      <c r="K14" s="9">
        <v>10</v>
      </c>
      <c r="L14" s="16">
        <f>IF($C$9&gt;=10,$C21-$L$85,"")</f>
        <v>13.5</v>
      </c>
      <c r="M14" s="16">
        <f>IF($C$9&gt;=10,$B21-$L$84,"")</f>
        <v>-4.5</v>
      </c>
      <c r="N14" s="16">
        <f>IF($C$9&gt;=10,$L14^2,"")</f>
        <v>182.25</v>
      </c>
      <c r="O14" s="16">
        <f>IF($C$9&gt;=10,$M14^2,"")</f>
        <v>20.25</v>
      </c>
      <c r="P14" s="16">
        <f>IF($C$9&gt;=10,$L14*$M14,"")</f>
        <v>-60.75</v>
      </c>
      <c r="Q14" s="17">
        <f>IF($C$9&gt;=10,$B21-$L$84,"")</f>
        <v>-4.5</v>
      </c>
      <c r="R14" s="17">
        <f>IF($C$9&gt;=10,$C21-$L$85,"")</f>
        <v>13.5</v>
      </c>
      <c r="S14" s="18">
        <f>IF($C$9&gt;=10,(-$P$93/$C$9+($P$97*$L$86--$P$96*$L$89)/($L$86*$L$87-$L$89^2)*$Q14+(-$P$96*$L$87-$P$97*$L$89)/($L$86*$L$87-$L$89^2)*$R14),"")</f>
        <v>77.727272806611566</v>
      </c>
      <c r="T14" s="18">
        <f>IF($C$9&gt;=10,((($P$94/$C$9+$P$98*-$R14/$L$88)^2+($P$95/$C$9+$P$98*$Q14/$L$88)^2)^(1/2)),"")</f>
        <v>1.8027756377319946</v>
      </c>
      <c r="AD14" s="262" t="str">
        <f>IF($C$9&gt;=3,"#3:","")</f>
        <v>#3:</v>
      </c>
      <c r="AE14" s="217">
        <f>IF($C$9&gt;=3,$B14*0.3048,"")</f>
        <v>0</v>
      </c>
      <c r="AF14" s="229">
        <f>IF($C$9&gt;=3,$C14*0.3048,"")</f>
        <v>1.8288000000000002</v>
      </c>
      <c r="AG14" s="279" t="str">
        <f>IF($C$9&gt;=28,"#28:","")</f>
        <v>#28:</v>
      </c>
      <c r="AH14" s="217">
        <f>IF($C$9&gt;=28,$E14*0.3048,"")</f>
        <v>1.8288000000000002</v>
      </c>
      <c r="AI14" s="229">
        <f>IF($C$9&gt;=28,$F14*0.3048,"")</f>
        <v>6.4008000000000003</v>
      </c>
      <c r="AJ14" s="279" t="str">
        <f>IF($C$9&gt;=53,"#53:","")</f>
        <v/>
      </c>
      <c r="AK14" s="217" t="str">
        <f>IF($C$9&gt;=53,$H14*0.3048,"")</f>
        <v/>
      </c>
      <c r="AL14" s="229" t="str">
        <f>IF($C$9&gt;=53,$I14*0.3048,"")</f>
        <v/>
      </c>
      <c r="AM14" s="8"/>
    </row>
    <row r="15" spans="1:39" x14ac:dyDescent="0.25">
      <c r="A15" s="260" t="str">
        <f>IF($C$9&gt;=4,"#4:","")</f>
        <v>#4:</v>
      </c>
      <c r="B15" s="145">
        <v>0</v>
      </c>
      <c r="C15" s="146">
        <v>9</v>
      </c>
      <c r="D15" s="260" t="str">
        <f>IF($C$9&gt;=29,"#29:","")</f>
        <v>#29:</v>
      </c>
      <c r="E15" s="145">
        <v>6</v>
      </c>
      <c r="F15" s="146">
        <v>24</v>
      </c>
      <c r="G15" s="260" t="str">
        <f>IF($C$9&gt;=54,"#54:","")</f>
        <v/>
      </c>
      <c r="H15" s="145"/>
      <c r="I15" s="146"/>
      <c r="K15" s="9">
        <v>11</v>
      </c>
      <c r="L15" s="16">
        <f>IF($C$9&gt;=11,$C22-$L$85,"")</f>
        <v>-13.5</v>
      </c>
      <c r="M15" s="16">
        <f>IF($C$9&gt;=11,$B22-$L$84,"")</f>
        <v>-1.5</v>
      </c>
      <c r="N15" s="16">
        <f>IF($C$9&gt;=11,$L15^2,"")</f>
        <v>182.25</v>
      </c>
      <c r="O15" s="16">
        <f>IF($C$9&gt;=11,$M15^2,"")</f>
        <v>2.25</v>
      </c>
      <c r="P15" s="16">
        <f>IF($C$9&gt;=11,$L15*$M15,"")</f>
        <v>20.25</v>
      </c>
      <c r="Q15" s="17">
        <f>IF($C$9&gt;=11,$B22-$L$84,"")</f>
        <v>-1.5</v>
      </c>
      <c r="R15" s="17">
        <f>IF($C$9&gt;=11,$C22-$L$85,"")</f>
        <v>-13.5</v>
      </c>
      <c r="S15" s="18">
        <f>IF($C$9&gt;=11,(-$P$93/$C$9+($P$97*$L$86--$P$96*$L$89)/($L$86*$L$87-$L$89^2)*$Q15+(-$P$96*$L$87-$P$97*$L$89)/($L$86*$L$87-$L$89^2)*$R15),"")</f>
        <v>78.939393993388421</v>
      </c>
      <c r="T15" s="18">
        <f>IF($C$9&gt;=11,((($P$94/$C$9+$P$98*-$R15/$L$88)^2+($P$95/$C$9+$P$98*$Q15/$L$88)^2)^(1/2)),"")</f>
        <v>1.8027756377319946</v>
      </c>
      <c r="AD15" s="262" t="str">
        <f>IF($C$9&gt;=4,"#4:","")</f>
        <v>#4:</v>
      </c>
      <c r="AE15" s="217">
        <f>IF($C$9&gt;=4,$B15*0.3048,"")</f>
        <v>0</v>
      </c>
      <c r="AF15" s="229">
        <f>IF($C$9&gt;=4,$C15*0.3048,"")</f>
        <v>2.7432000000000003</v>
      </c>
      <c r="AG15" s="279" t="str">
        <f>IF($C$9&gt;=29,"#29:","")</f>
        <v>#29:</v>
      </c>
      <c r="AH15" s="217">
        <f>IF($C$9&gt;=29,$E15*0.3048,"")</f>
        <v>1.8288000000000002</v>
      </c>
      <c r="AI15" s="229">
        <f>IF($C$9&gt;=29,$F15*0.3048,"")</f>
        <v>7.3152000000000008</v>
      </c>
      <c r="AJ15" s="279" t="str">
        <f>IF($C$9&gt;=54,"#54:","")</f>
        <v/>
      </c>
      <c r="AK15" s="217" t="str">
        <f>IF($C$9&gt;=54,$H15*0.3048,"")</f>
        <v/>
      </c>
      <c r="AL15" s="229" t="str">
        <f>IF($C$9&gt;=54,$I15*0.3048,"")</f>
        <v/>
      </c>
      <c r="AM15" s="8"/>
    </row>
    <row r="16" spans="1:39" x14ac:dyDescent="0.25">
      <c r="A16" s="260" t="str">
        <f>IF($C$9&gt;=5,"#5:","")</f>
        <v>#5:</v>
      </c>
      <c r="B16" s="145">
        <v>0</v>
      </c>
      <c r="C16" s="146">
        <v>12</v>
      </c>
      <c r="D16" s="260" t="str">
        <f>IF($C$9&gt;=30,"#30:","")</f>
        <v>#30:</v>
      </c>
      <c r="E16" s="145">
        <v>6</v>
      </c>
      <c r="F16" s="146">
        <v>27</v>
      </c>
      <c r="G16" s="260" t="str">
        <f>IF($C$9&gt;=55,"#55:","")</f>
        <v/>
      </c>
      <c r="H16" s="145"/>
      <c r="I16" s="146"/>
      <c r="K16" s="9">
        <v>12</v>
      </c>
      <c r="L16" s="16">
        <f>IF($C$9&gt;=12,$C23-$L$85,"")</f>
        <v>-10.5</v>
      </c>
      <c r="M16" s="16">
        <f>IF($C$9&gt;=12,$B23-$L$84,"")</f>
        <v>-1.5</v>
      </c>
      <c r="N16" s="16">
        <f>IF($C$9&gt;=12,$L16^2,"")</f>
        <v>110.25</v>
      </c>
      <c r="O16" s="16">
        <f>IF($C$9&gt;=12,$M16^2,"")</f>
        <v>2.25</v>
      </c>
      <c r="P16" s="16">
        <f>IF($C$9&gt;=12,$L16*$M16,"")</f>
        <v>15.75</v>
      </c>
      <c r="Q16" s="17">
        <f>IF($C$9&gt;=12,$B23-$L$84,"")</f>
        <v>-1.5</v>
      </c>
      <c r="R16" s="17">
        <f>IF($C$9&gt;=12,$C23-$L$85,"")</f>
        <v>-10.5</v>
      </c>
      <c r="S16" s="18">
        <f>IF($C$9&gt;=12,(-$P$93/$C$9+($P$97*$L$86--$P$96*$L$89)/($L$86*$L$87-$L$89^2)*$Q16+(-$P$96*$L$87-$P$97*$L$89)/($L$86*$L$87-$L$89^2)*$R16),"")</f>
        <v>78.434343483746545</v>
      </c>
      <c r="T16" s="18">
        <f>IF($C$9&gt;=12,((($P$94/$C$9+$P$98*-$R16/$L$88)^2+($P$95/$C$9+$P$98*$Q16/$L$88)^2)^(1/2)),"")</f>
        <v>1.8027756377319946</v>
      </c>
      <c r="AD16" s="262" t="str">
        <f>IF($C$9&gt;=5,"#5:","")</f>
        <v>#5:</v>
      </c>
      <c r="AE16" s="217">
        <f>IF($C$9&gt;=5,$B16*0.3048,"")</f>
        <v>0</v>
      </c>
      <c r="AF16" s="229">
        <f>IF($C$9&gt;=5,$C16*0.3048,"")</f>
        <v>3.6576000000000004</v>
      </c>
      <c r="AG16" s="279" t="str">
        <f>IF($C$9&gt;=30,"#30:","")</f>
        <v>#30:</v>
      </c>
      <c r="AH16" s="217">
        <f>IF($C$9&gt;=30,$E16*0.3048,"")</f>
        <v>1.8288000000000002</v>
      </c>
      <c r="AI16" s="229">
        <f>IF($C$9&gt;=30,$F16*0.3048,"")</f>
        <v>8.2295999999999996</v>
      </c>
      <c r="AJ16" s="279" t="str">
        <f>IF($C$9&gt;=55,"#55:","")</f>
        <v/>
      </c>
      <c r="AK16" s="217" t="str">
        <f>IF($C$9&gt;=55,$H16*0.3048,"")</f>
        <v/>
      </c>
      <c r="AL16" s="229" t="str">
        <f>IF($C$9&gt;=55,$I16*0.3048,"")</f>
        <v/>
      </c>
      <c r="AM16" s="8"/>
    </row>
    <row r="17" spans="1:39" x14ac:dyDescent="0.25">
      <c r="A17" s="260" t="str">
        <f>IF($C$9&gt;=6,"#6:","")</f>
        <v>#6:</v>
      </c>
      <c r="B17" s="145">
        <v>0</v>
      </c>
      <c r="C17" s="146">
        <v>15</v>
      </c>
      <c r="D17" s="260" t="str">
        <f>IF($C$9&gt;=31,"#31:","")</f>
        <v>#31:</v>
      </c>
      <c r="E17" s="145">
        <v>9</v>
      </c>
      <c r="F17" s="146">
        <v>0</v>
      </c>
      <c r="G17" s="260" t="str">
        <f>IF($C$9&gt;=56,"#56:","")</f>
        <v/>
      </c>
      <c r="H17" s="145"/>
      <c r="I17" s="146"/>
      <c r="K17" s="9">
        <v>13</v>
      </c>
      <c r="L17" s="16">
        <f>IF($C$9&gt;=13,$C24-$L$85,"")</f>
        <v>-7.5</v>
      </c>
      <c r="M17" s="16">
        <f>IF($C$9&gt;=13,$B24-$L$84,"")</f>
        <v>-1.5</v>
      </c>
      <c r="N17" s="16">
        <f>IF($C$9&gt;=13,$L17^2,"")</f>
        <v>56.25</v>
      </c>
      <c r="O17" s="16">
        <f>IF($C$9&gt;=13,$M17^2,"")</f>
        <v>2.25</v>
      </c>
      <c r="P17" s="16">
        <f>IF($C$9&gt;=13,$L17*$M17,"")</f>
        <v>11.25</v>
      </c>
      <c r="Q17" s="17">
        <f>IF($C$9&gt;=13,$B24-$L$84,"")</f>
        <v>-1.5</v>
      </c>
      <c r="R17" s="17">
        <f>IF($C$9&gt;=13,$C24-$L$85,"")</f>
        <v>-7.5</v>
      </c>
      <c r="S17" s="18">
        <f>IF($C$9&gt;=13,(-$P$93/$C$9+($P$97*$L$86--$P$96*$L$89)/($L$86*$L$87-$L$89^2)*$Q17+(-$P$96*$L$87-$P$97*$L$89)/($L$86*$L$87-$L$89^2)*$R17),"")</f>
        <v>77.929292974104669</v>
      </c>
      <c r="T17" s="18">
        <f>IF($C$9&gt;=13,((($P$94/$C$9+$P$98*-$R17/$L$88)^2+($P$95/$C$9+$P$98*$Q17/$L$88)^2)^(1/2)),"")</f>
        <v>1.8027756377319946</v>
      </c>
      <c r="AD17" s="262" t="str">
        <f>IF($C$9&gt;=6,"#6:","")</f>
        <v>#6:</v>
      </c>
      <c r="AE17" s="217">
        <f>IF($C$9&gt;=6,$B17*0.3048,"")</f>
        <v>0</v>
      </c>
      <c r="AF17" s="229">
        <f>IF($C$9&gt;=6,$C17*0.3048,"")</f>
        <v>4.5720000000000001</v>
      </c>
      <c r="AG17" s="279" t="str">
        <f>IF($C$9&gt;=31,"#31:","")</f>
        <v>#31:</v>
      </c>
      <c r="AH17" s="217">
        <f>IF($C$9&gt;=31,$E17*0.3048,"")</f>
        <v>2.7432000000000003</v>
      </c>
      <c r="AI17" s="229">
        <f>IF($C$9&gt;=31,$F17*0.3048,"")</f>
        <v>0</v>
      </c>
      <c r="AJ17" s="279" t="str">
        <f>IF($C$9&gt;=56,"#56:","")</f>
        <v/>
      </c>
      <c r="AK17" s="217" t="str">
        <f>IF($C$9&gt;=56,$H17*0.3048,"")</f>
        <v/>
      </c>
      <c r="AL17" s="229" t="str">
        <f>IF($C$9&gt;=56,$I17*0.3048,"")</f>
        <v/>
      </c>
      <c r="AM17" s="8"/>
    </row>
    <row r="18" spans="1:39" x14ac:dyDescent="0.25">
      <c r="A18" s="260" t="str">
        <f>IF($C$9&gt;=7,"#7:","")</f>
        <v>#7:</v>
      </c>
      <c r="B18" s="145">
        <v>0</v>
      </c>
      <c r="C18" s="146">
        <v>18</v>
      </c>
      <c r="D18" s="260" t="str">
        <f>IF($C$9&gt;=32,"#32:","")</f>
        <v>#32:</v>
      </c>
      <c r="E18" s="145">
        <v>9</v>
      </c>
      <c r="F18" s="146">
        <v>3</v>
      </c>
      <c r="G18" s="260" t="str">
        <f>IF($C$9&gt;=57,"#57:","")</f>
        <v/>
      </c>
      <c r="H18" s="145"/>
      <c r="I18" s="146"/>
      <c r="K18" s="9">
        <v>14</v>
      </c>
      <c r="L18" s="16">
        <f>IF($C$9&gt;=14,$C25-$L$85,"")</f>
        <v>-4.5</v>
      </c>
      <c r="M18" s="16">
        <f>IF($C$9&gt;=14,$B25-$L$84,"")</f>
        <v>-1.5</v>
      </c>
      <c r="N18" s="16">
        <f>IF($C$9&gt;=14,$L18^2,"")</f>
        <v>20.25</v>
      </c>
      <c r="O18" s="16">
        <f>IF($C$9&gt;=14,$M18^2,"")</f>
        <v>2.25</v>
      </c>
      <c r="P18" s="16">
        <f>IF($C$9&gt;=14,$L18*$M18,"")</f>
        <v>6.75</v>
      </c>
      <c r="Q18" s="17">
        <f>IF($C$9&gt;=14,$B25-$L$84,"")</f>
        <v>-1.5</v>
      </c>
      <c r="R18" s="17">
        <f>IF($C$9&gt;=14,$C25-$L$85,"")</f>
        <v>-4.5</v>
      </c>
      <c r="S18" s="18">
        <f>IF($C$9&gt;=14,(-$P$93/$C$9+($P$97*$L$86--$P$96*$L$89)/($L$86*$L$87-$L$89^2)*$Q18+(-$P$96*$L$87-$P$97*$L$89)/($L$86*$L$87-$L$89^2)*$R18),"")</f>
        <v>77.424242464462807</v>
      </c>
      <c r="T18" s="18">
        <f>IF($C$9&gt;=14,((($P$94/$C$9+$P$98*-$R18/$L$88)^2+($P$95/$C$9+$P$98*$Q18/$L$88)^2)^(1/2)),"")</f>
        <v>1.8027756377319946</v>
      </c>
      <c r="AD18" s="262" t="str">
        <f>IF($C$9&gt;=7,"#7:","")</f>
        <v>#7:</v>
      </c>
      <c r="AE18" s="217">
        <f>IF($C$9&gt;=7,$B18*0.3048,"")</f>
        <v>0</v>
      </c>
      <c r="AF18" s="229">
        <f>IF($C$9&gt;=7,$C18*0.3048,"")</f>
        <v>5.4864000000000006</v>
      </c>
      <c r="AG18" s="279" t="str">
        <f>IF($C$9&gt;=32,"#32:","")</f>
        <v>#32:</v>
      </c>
      <c r="AH18" s="217">
        <f>IF($C$9&gt;=32,$E18*0.3048,"")</f>
        <v>2.7432000000000003</v>
      </c>
      <c r="AI18" s="229">
        <f>IF($C$9&gt;=32,$F18*0.3048,"")</f>
        <v>0.9144000000000001</v>
      </c>
      <c r="AJ18" s="279" t="str">
        <f>IF($C$9&gt;=57,"#57:","")</f>
        <v/>
      </c>
      <c r="AK18" s="217" t="str">
        <f>IF($C$9&gt;=57,$H18*0.3048,"")</f>
        <v/>
      </c>
      <c r="AL18" s="229" t="str">
        <f>IF($C$9&gt;=57,$I18*0.3048,"")</f>
        <v/>
      </c>
      <c r="AM18" s="8"/>
    </row>
    <row r="19" spans="1:39" x14ac:dyDescent="0.25">
      <c r="A19" s="260" t="str">
        <f>IF($C$9&gt;=8,"#8:","")</f>
        <v>#8:</v>
      </c>
      <c r="B19" s="145">
        <v>0</v>
      </c>
      <c r="C19" s="146">
        <v>21</v>
      </c>
      <c r="D19" s="260" t="str">
        <f>IF($C$9&gt;=33,"#33:","")</f>
        <v>#33:</v>
      </c>
      <c r="E19" s="145">
        <v>9</v>
      </c>
      <c r="F19" s="146">
        <v>6</v>
      </c>
      <c r="G19" s="260" t="str">
        <f>IF($C$9&gt;=58,"#58:","")</f>
        <v/>
      </c>
      <c r="H19" s="145"/>
      <c r="I19" s="146"/>
      <c r="K19" s="9">
        <v>15</v>
      </c>
      <c r="L19" s="16">
        <f>IF($C$9&gt;=15,$C26-$L$85,"")</f>
        <v>-1.5</v>
      </c>
      <c r="M19" s="16">
        <f>IF($C$9&gt;=15,$B26-$L$84,"")</f>
        <v>-1.5</v>
      </c>
      <c r="N19" s="16">
        <f>IF($C$9&gt;=15,$L19^2,"")</f>
        <v>2.25</v>
      </c>
      <c r="O19" s="16">
        <f>IF($C$9&gt;=15,$M19^2,"")</f>
        <v>2.25</v>
      </c>
      <c r="P19" s="16">
        <f>IF($C$9&gt;=15,$L19*$M19,"")</f>
        <v>2.25</v>
      </c>
      <c r="Q19" s="17">
        <f>IF($C$9&gt;=15,$B26-$L$84,"")</f>
        <v>-1.5</v>
      </c>
      <c r="R19" s="17">
        <f>IF($C$9&gt;=15,$C26-$L$85,"")</f>
        <v>-1.5</v>
      </c>
      <c r="S19" s="18">
        <f>IF($C$9&gt;=15,(-$P$93/$C$9+($P$97*$L$86--$P$96*$L$89)/($L$86*$L$87-$L$89^2)*$Q19+(-$P$96*$L$87-$P$97*$L$89)/($L$86*$L$87-$L$89^2)*$R19),"")</f>
        <v>76.919191954820931</v>
      </c>
      <c r="T19" s="18">
        <f>IF($C$9&gt;=15,((($P$94/$C$9+$P$98*-$R19/$L$88)^2+($P$95/$C$9+$P$98*$Q19/$L$88)^2)^(1/2)),"")</f>
        <v>1.8027756377319946</v>
      </c>
      <c r="AD19" s="262" t="str">
        <f>IF($C$9&gt;=8,"#8:","")</f>
        <v>#8:</v>
      </c>
      <c r="AE19" s="217">
        <f>IF($C$9&gt;=8,$B19*0.3048,"")</f>
        <v>0</v>
      </c>
      <c r="AF19" s="229">
        <f>IF($C$9&gt;=8,$C19*0.3048,"")</f>
        <v>6.4008000000000003</v>
      </c>
      <c r="AG19" s="279" t="str">
        <f>IF($C$9&gt;=33,"#33:","")</f>
        <v>#33:</v>
      </c>
      <c r="AH19" s="217">
        <f>IF($C$9&gt;=33,$E19*0.3048,"")</f>
        <v>2.7432000000000003</v>
      </c>
      <c r="AI19" s="229">
        <f>IF($C$9&gt;=33,$F19*0.3048,"")</f>
        <v>1.8288000000000002</v>
      </c>
      <c r="AJ19" s="279" t="str">
        <f>IF($C$9&gt;=58,"#58:","")</f>
        <v/>
      </c>
      <c r="AK19" s="217" t="str">
        <f>IF($C$9&gt;=58,$H19*0.3048,"")</f>
        <v/>
      </c>
      <c r="AL19" s="229" t="str">
        <f>IF($C$9&gt;=58,$I19*0.3048,"")</f>
        <v/>
      </c>
      <c r="AM19" s="8"/>
    </row>
    <row r="20" spans="1:39" x14ac:dyDescent="0.25">
      <c r="A20" s="260" t="str">
        <f>IF($C$9&gt;=9,"#9:","")</f>
        <v>#9:</v>
      </c>
      <c r="B20" s="145">
        <v>0</v>
      </c>
      <c r="C20" s="146">
        <v>24</v>
      </c>
      <c r="D20" s="260" t="str">
        <f>IF($C$9&gt;=34,"#34:","")</f>
        <v>#34:</v>
      </c>
      <c r="E20" s="145">
        <v>9</v>
      </c>
      <c r="F20" s="146">
        <v>9</v>
      </c>
      <c r="G20" s="260" t="str">
        <f>IF($C$9&gt;=59,"#59:","")</f>
        <v/>
      </c>
      <c r="H20" s="145"/>
      <c r="I20" s="146"/>
      <c r="K20" s="9">
        <v>16</v>
      </c>
      <c r="L20" s="16">
        <f>IF($C$9&gt;=16,$C27-$L$85,"")</f>
        <v>1.5</v>
      </c>
      <c r="M20" s="16">
        <f>IF($C$9&gt;=16,$B27-$L$84,"")</f>
        <v>-1.5</v>
      </c>
      <c r="N20" s="16">
        <f>IF($C$9&gt;=16,$L20^2,"")</f>
        <v>2.25</v>
      </c>
      <c r="O20" s="16">
        <f>IF($C$9&gt;=16,$M20^2,"")</f>
        <v>2.25</v>
      </c>
      <c r="P20" s="16">
        <f>IF($C$9&gt;=16,$L20*$M20,"")</f>
        <v>-2.25</v>
      </c>
      <c r="Q20" s="17">
        <f>IF($C$9&gt;=16,$B27-$L$84,"")</f>
        <v>-1.5</v>
      </c>
      <c r="R20" s="17">
        <f>IF($C$9&gt;=16,$C27-$L$85,"")</f>
        <v>1.5</v>
      </c>
      <c r="S20" s="18">
        <f>IF($C$9&gt;=16,(-$P$93/$C$9+($P$97*$L$86--$P$96*$L$89)/($L$86*$L$87-$L$89^2)*$Q20+(-$P$96*$L$87-$P$97*$L$89)/($L$86*$L$87-$L$89^2)*$R20),"")</f>
        <v>76.414141445179055</v>
      </c>
      <c r="T20" s="18">
        <f>IF($C$9&gt;=16,((($P$94/$C$9+$P$98*-$R20/$L$88)^2+($P$95/$C$9+$P$98*$Q20/$L$88)^2)^(1/2)),"")</f>
        <v>1.8027756377319946</v>
      </c>
      <c r="AD20" s="262" t="str">
        <f>IF($C$9&gt;=9,"#9:","")</f>
        <v>#9:</v>
      </c>
      <c r="AE20" s="217">
        <f>IF($C$9&gt;=9,$B20*0.3048,"")</f>
        <v>0</v>
      </c>
      <c r="AF20" s="229">
        <f>IF($C$9&gt;=9,$C20*0.3048,"")</f>
        <v>7.3152000000000008</v>
      </c>
      <c r="AG20" s="279" t="str">
        <f>IF($C$9&gt;=34,"#34:","")</f>
        <v>#34:</v>
      </c>
      <c r="AH20" s="217">
        <f>IF($C$9&gt;=34,$E20*0.3048,"")</f>
        <v>2.7432000000000003</v>
      </c>
      <c r="AI20" s="229">
        <f>IF($C$9&gt;=34,$F20*0.3048,"")</f>
        <v>2.7432000000000003</v>
      </c>
      <c r="AJ20" s="279" t="str">
        <f>IF($C$9&gt;=59,"#59:","")</f>
        <v/>
      </c>
      <c r="AK20" s="217" t="str">
        <f>IF($C$9&gt;=59,$H20*0.3048,"")</f>
        <v/>
      </c>
      <c r="AL20" s="229" t="str">
        <f>IF($C$9&gt;=59,$I20*0.3048,"")</f>
        <v/>
      </c>
      <c r="AM20" s="8"/>
    </row>
    <row r="21" spans="1:39" x14ac:dyDescent="0.25">
      <c r="A21" s="260" t="str">
        <f>IF($C$9&gt;=10,"#10:","")</f>
        <v>#10:</v>
      </c>
      <c r="B21" s="145">
        <v>0</v>
      </c>
      <c r="C21" s="146">
        <v>27</v>
      </c>
      <c r="D21" s="260" t="str">
        <f>IF($C$9&gt;=35,"#35:","")</f>
        <v>#35:</v>
      </c>
      <c r="E21" s="145">
        <v>9</v>
      </c>
      <c r="F21" s="146">
        <v>12</v>
      </c>
      <c r="G21" s="260" t="str">
        <f>IF($C$9&gt;=60,"#60:","")</f>
        <v/>
      </c>
      <c r="H21" s="145"/>
      <c r="I21" s="146"/>
      <c r="K21" s="9">
        <v>17</v>
      </c>
      <c r="L21" s="16">
        <f>IF($C$9&gt;=17,$C28-$L$85,"")</f>
        <v>4.5</v>
      </c>
      <c r="M21" s="16">
        <f>IF($C$9&gt;=17,$B28-$L$84,"")</f>
        <v>-1.5</v>
      </c>
      <c r="N21" s="16">
        <f>IF($C$9&gt;=17,$L21^2,"")</f>
        <v>20.25</v>
      </c>
      <c r="O21" s="16">
        <f>IF($C$9&gt;=17,$M21^2,"")</f>
        <v>2.25</v>
      </c>
      <c r="P21" s="16">
        <f>IF($C$9&gt;=17,$L21*$M21,"")</f>
        <v>-6.75</v>
      </c>
      <c r="Q21" s="17">
        <f>IF($C$9&gt;=17,$B28-$L$84,"")</f>
        <v>-1.5</v>
      </c>
      <c r="R21" s="17">
        <f>IF($C$9&gt;=17,$C28-$L$85,"")</f>
        <v>4.5</v>
      </c>
      <c r="S21" s="18">
        <f>IF($C$9&gt;=17,(-$P$93/$C$9+($P$97*$L$86--$P$96*$L$89)/($L$86*$L$87-$L$89^2)*$Q21+(-$P$96*$L$87-$P$97*$L$89)/($L$86*$L$87-$L$89^2)*$R21),"")</f>
        <v>75.909090935537179</v>
      </c>
      <c r="T21" s="18">
        <f>IF($C$9&gt;=17,((($P$94/$C$9+$P$98*-$R21/$L$88)^2+($P$95/$C$9+$P$98*$Q21/$L$88)^2)^(1/2)),"")</f>
        <v>1.8027756377319946</v>
      </c>
      <c r="AD21" s="262" t="str">
        <f>IF($C$9&gt;=10,"#10:","")</f>
        <v>#10:</v>
      </c>
      <c r="AE21" s="217">
        <f>IF($C$9&gt;=10,$B21*0.3048,"")</f>
        <v>0</v>
      </c>
      <c r="AF21" s="229">
        <f>IF($C$9&gt;=10,$C21*0.3048,"")</f>
        <v>8.2295999999999996</v>
      </c>
      <c r="AG21" s="279" t="str">
        <f>IF($C$9&gt;=35,"#35:","")</f>
        <v>#35:</v>
      </c>
      <c r="AH21" s="217">
        <f>IF($C$9&gt;=35,$E21*0.3048,"")</f>
        <v>2.7432000000000003</v>
      </c>
      <c r="AI21" s="229">
        <f>IF($C$9&gt;=35,$F21*0.3048,"")</f>
        <v>3.6576000000000004</v>
      </c>
      <c r="AJ21" s="279" t="str">
        <f>IF($C$9&gt;=60,"#60:","")</f>
        <v/>
      </c>
      <c r="AK21" s="217" t="str">
        <f>IF($C$9&gt;=60,$H21*0.3048,"")</f>
        <v/>
      </c>
      <c r="AL21" s="229" t="str">
        <f>IF($C$9&gt;=60,$I21*0.3048,"")</f>
        <v/>
      </c>
      <c r="AM21" s="8"/>
    </row>
    <row r="22" spans="1:39" x14ac:dyDescent="0.25">
      <c r="A22" s="260" t="str">
        <f>IF($C$9&gt;=11,"#11:","")</f>
        <v>#11:</v>
      </c>
      <c r="B22" s="145">
        <v>3</v>
      </c>
      <c r="C22" s="146">
        <v>0</v>
      </c>
      <c r="D22" s="260" t="str">
        <f>IF($C$9&gt;=36,"#36:","")</f>
        <v>#36:</v>
      </c>
      <c r="E22" s="145">
        <v>9</v>
      </c>
      <c r="F22" s="146">
        <v>15</v>
      </c>
      <c r="G22" s="260" t="str">
        <f>IF($C$9&gt;=61,"#61","")</f>
        <v/>
      </c>
      <c r="H22" s="145"/>
      <c r="I22" s="146"/>
      <c r="K22" s="9">
        <v>18</v>
      </c>
      <c r="L22" s="16">
        <f>IF($C$9&gt;=18,$C29-$L$85,"")</f>
        <v>7.5</v>
      </c>
      <c r="M22" s="16">
        <f>IF($C$9&gt;=18,$B29-$L$84,"")</f>
        <v>-1.5</v>
      </c>
      <c r="N22" s="16">
        <f>IF($C$9&gt;=18,$L22^2,"")</f>
        <v>56.25</v>
      </c>
      <c r="O22" s="16">
        <f>IF($C$9&gt;=18,$M22^2,"")</f>
        <v>2.25</v>
      </c>
      <c r="P22" s="16">
        <f>IF($C$9&gt;=18,$L22*$M22,"")</f>
        <v>-11.25</v>
      </c>
      <c r="Q22" s="17">
        <f>IF($C$9&gt;=18,$B29-$L$84,"")</f>
        <v>-1.5</v>
      </c>
      <c r="R22" s="17">
        <f>IF($C$9&gt;=18,$C29-$L$85,"")</f>
        <v>7.5</v>
      </c>
      <c r="S22" s="18">
        <f>IF($C$9&gt;=18,(-$P$93/$C$9+($P$97*$L$86--$P$96*$L$89)/($L$86*$L$87-$L$89^2)*$Q22+(-$P$96*$L$87-$P$97*$L$89)/($L$86*$L$87-$L$89^2)*$R22),"")</f>
        <v>75.404040425895317</v>
      </c>
      <c r="T22" s="18">
        <f>IF($C$9&gt;=18,((($P$94/$C$9+$P$98*-$R22/$L$88)^2+($P$95/$C$9+$P$98*$Q22/$L$88)^2)^(1/2)),"")</f>
        <v>1.8027756377319946</v>
      </c>
      <c r="AD22" s="262" t="str">
        <f>IF($C$9&gt;=11,"#11:","")</f>
        <v>#11:</v>
      </c>
      <c r="AE22" s="217">
        <f>IF($C$9&gt;=11,$B22*0.3048,"")</f>
        <v>0.9144000000000001</v>
      </c>
      <c r="AF22" s="229">
        <f>IF($C$9&gt;=11,$C22*0.3048,"")</f>
        <v>0</v>
      </c>
      <c r="AG22" s="279" t="str">
        <f>IF($C$9&gt;=36,"#36:","")</f>
        <v>#36:</v>
      </c>
      <c r="AH22" s="217">
        <f>IF($C$9&gt;=36,$E22*0.3048,"")</f>
        <v>2.7432000000000003</v>
      </c>
      <c r="AI22" s="229">
        <f>IF($C$9&gt;=36,$F22*0.3048,"")</f>
        <v>4.5720000000000001</v>
      </c>
      <c r="AJ22" s="279" t="str">
        <f>IF($C$9&gt;=61,"#61","")</f>
        <v/>
      </c>
      <c r="AK22" s="217" t="str">
        <f>IF($C$9&gt;=61,$H22*0.3048,"")</f>
        <v/>
      </c>
      <c r="AL22" s="229" t="str">
        <f>IF($C$9&gt;=61,$I22*0.3048,"")</f>
        <v/>
      </c>
      <c r="AM22" s="8"/>
    </row>
    <row r="23" spans="1:39" x14ac:dyDescent="0.25">
      <c r="A23" s="260" t="str">
        <f>IF($C$9&gt;=12,"#12:","")</f>
        <v>#12:</v>
      </c>
      <c r="B23" s="145">
        <v>3</v>
      </c>
      <c r="C23" s="146">
        <v>3</v>
      </c>
      <c r="D23" s="260" t="str">
        <f>IF($C$9&gt;=37,"#37:","")</f>
        <v>#37:</v>
      </c>
      <c r="E23" s="145">
        <v>9</v>
      </c>
      <c r="F23" s="146">
        <v>18</v>
      </c>
      <c r="G23" s="260" t="str">
        <f>IF($C$9&gt;=62,"#62","")</f>
        <v/>
      </c>
      <c r="H23" s="145"/>
      <c r="I23" s="146"/>
      <c r="K23" s="9">
        <v>19</v>
      </c>
      <c r="L23" s="16">
        <f>IF($C$9&gt;=19,$C30-$L$85,"")</f>
        <v>10.5</v>
      </c>
      <c r="M23" s="16">
        <f>IF($C$9&gt;=19,$B30-$L$84,"")</f>
        <v>-1.5</v>
      </c>
      <c r="N23" s="16">
        <f>IF($C$9&gt;=19,$L23^2,"")</f>
        <v>110.25</v>
      </c>
      <c r="O23" s="16">
        <f>IF($C$9&gt;=19,$M23^2,"")</f>
        <v>2.25</v>
      </c>
      <c r="P23" s="16">
        <f>IF($C$9&gt;=19,$L23*$M23,"")</f>
        <v>-15.75</v>
      </c>
      <c r="Q23" s="17">
        <f>IF($C$9&gt;=19,$B30-$L$84,"")</f>
        <v>-1.5</v>
      </c>
      <c r="R23" s="17">
        <f>IF($C$9&gt;=19,$C30-$L$85,"")</f>
        <v>10.5</v>
      </c>
      <c r="S23" s="18">
        <f>IF($C$9&gt;=19,(-$P$93/$C$9+($P$97*$L$86--$P$96*$L$89)/($L$86*$L$87-$L$89^2)*$Q23+(-$P$96*$L$87-$P$97*$L$89)/($L$86*$L$87-$L$89^2)*$R23),"")</f>
        <v>74.898989916253441</v>
      </c>
      <c r="T23" s="18">
        <f>IF($C$9&gt;=19,((($P$94/$C$9+$P$98*-$R23/$L$88)^2+($P$95/$C$9+$P$98*$Q23/$L$88)^2)^(1/2)),"")</f>
        <v>1.8027756377319946</v>
      </c>
      <c r="AD23" s="262" t="str">
        <f>IF($C$9&gt;=12,"#12:","")</f>
        <v>#12:</v>
      </c>
      <c r="AE23" s="217">
        <f>IF($C$9&gt;=12,$B23*0.3048,"")</f>
        <v>0.9144000000000001</v>
      </c>
      <c r="AF23" s="229">
        <f>IF($C$9&gt;=12,$C23*0.3048,"")</f>
        <v>0.9144000000000001</v>
      </c>
      <c r="AG23" s="279" t="str">
        <f>IF($C$9&gt;=37,"#37:","")</f>
        <v>#37:</v>
      </c>
      <c r="AH23" s="217">
        <f>IF($C$9&gt;=37,$E23*0.3048,"")</f>
        <v>2.7432000000000003</v>
      </c>
      <c r="AI23" s="229">
        <f>IF($C$9&gt;=37,$F23*0.3048,"")</f>
        <v>5.4864000000000006</v>
      </c>
      <c r="AJ23" s="279" t="str">
        <f>IF($C$9&gt;=62,"#62","")</f>
        <v/>
      </c>
      <c r="AK23" s="217" t="str">
        <f>IF($C$9&gt;=62,$H23*0.3048,"")</f>
        <v/>
      </c>
      <c r="AL23" s="229" t="str">
        <f>IF($C$9&gt;=62,$I23*0.3048,"")</f>
        <v/>
      </c>
      <c r="AM23" s="8"/>
    </row>
    <row r="24" spans="1:39" x14ac:dyDescent="0.25">
      <c r="A24" s="260" t="str">
        <f>IF($C$9&gt;=13,"#13:","")</f>
        <v>#13:</v>
      </c>
      <c r="B24" s="145">
        <v>3</v>
      </c>
      <c r="C24" s="146">
        <v>6</v>
      </c>
      <c r="D24" s="260" t="str">
        <f>IF($C$9&gt;=38,"#38:","")</f>
        <v>#38:</v>
      </c>
      <c r="E24" s="145">
        <v>9</v>
      </c>
      <c r="F24" s="146">
        <v>21</v>
      </c>
      <c r="G24" s="260" t="str">
        <f>IF($C$9&gt;=63,"#63","")</f>
        <v/>
      </c>
      <c r="H24" s="145"/>
      <c r="I24" s="146"/>
      <c r="K24" s="9">
        <v>20</v>
      </c>
      <c r="L24" s="16">
        <f>IF($C$9&gt;=20,$C31-$L$85,"")</f>
        <v>13.5</v>
      </c>
      <c r="M24" s="16">
        <f>IF($C$9&gt;=20,$B31-$L$84,"")</f>
        <v>-1.5</v>
      </c>
      <c r="N24" s="16">
        <f>IF($C$9&gt;=20,$L24^2,"")</f>
        <v>182.25</v>
      </c>
      <c r="O24" s="16">
        <f>IF($C$9&gt;=20,$M24^2,"")</f>
        <v>2.25</v>
      </c>
      <c r="P24" s="16">
        <f>IF($C$9&gt;=20,$L24*$M24,"")</f>
        <v>-20.25</v>
      </c>
      <c r="Q24" s="17">
        <f>IF($C$9&gt;=20,$B31-$L$84,"")</f>
        <v>-1.5</v>
      </c>
      <c r="R24" s="17">
        <f>IF($C$9&gt;=20,$C31-$L$85,"")</f>
        <v>13.5</v>
      </c>
      <c r="S24" s="18">
        <f>IF($C$9&gt;=20,(-$P$93/$C$9+($P$97*$L$86--$P$96*$L$89)/($L$86*$L$87-$L$89^2)*$Q24+(-$P$96*$L$87-$P$97*$L$89)/($L$86*$L$87-$L$89^2)*$R24),"")</f>
        <v>74.393939406611565</v>
      </c>
      <c r="T24" s="18">
        <f>IF($C$9&gt;=20,((($P$94/$C$9+$P$98*-$R24/$L$88)^2+($P$95/$C$9+$P$98*$Q24/$L$88)^2)^(1/2)),"")</f>
        <v>1.8027756377319946</v>
      </c>
      <c r="AD24" s="262" t="str">
        <f>IF($C$9&gt;=13,"#13:","")</f>
        <v>#13:</v>
      </c>
      <c r="AE24" s="217">
        <f>IF($C$9&gt;=13,$B24*0.3048,"")</f>
        <v>0.9144000000000001</v>
      </c>
      <c r="AF24" s="229">
        <f>IF($C$9&gt;=13,$C24*0.3048,"")</f>
        <v>1.8288000000000002</v>
      </c>
      <c r="AG24" s="279" t="str">
        <f>IF($C$9&gt;=38,"#38:","")</f>
        <v>#38:</v>
      </c>
      <c r="AH24" s="217">
        <f>IF($C$9&gt;=38,$E24*0.3048,"")</f>
        <v>2.7432000000000003</v>
      </c>
      <c r="AI24" s="229">
        <f>IF($C$9&gt;=38,$F24*0.3048,"")</f>
        <v>6.4008000000000003</v>
      </c>
      <c r="AJ24" s="279" t="str">
        <f>IF($C$9&gt;=63,"#63","")</f>
        <v/>
      </c>
      <c r="AK24" s="217" t="str">
        <f>IF($C$9&gt;=63,$H24*0.3048,"")</f>
        <v/>
      </c>
      <c r="AL24" s="229" t="str">
        <f>IF($C$9&gt;=63,$I24*0.3048,"")</f>
        <v/>
      </c>
      <c r="AM24" s="8"/>
    </row>
    <row r="25" spans="1:39" x14ac:dyDescent="0.25">
      <c r="A25" s="260" t="str">
        <f>IF($C$9&gt;=14,"#14:","")</f>
        <v>#14:</v>
      </c>
      <c r="B25" s="145">
        <v>3</v>
      </c>
      <c r="C25" s="146">
        <v>9</v>
      </c>
      <c r="D25" s="260" t="str">
        <f>IF($C$9&gt;=39,"#39:","")</f>
        <v>#39:</v>
      </c>
      <c r="E25" s="145">
        <v>9</v>
      </c>
      <c r="F25" s="146">
        <v>24</v>
      </c>
      <c r="G25" s="260" t="str">
        <f>IF($C$9&gt;=64,"#64","")</f>
        <v/>
      </c>
      <c r="H25" s="145"/>
      <c r="I25" s="146"/>
      <c r="K25" s="9">
        <v>21</v>
      </c>
      <c r="L25" s="16">
        <f>IF($C$9&gt;=21,$C32-$L$85,"")</f>
        <v>-13.5</v>
      </c>
      <c r="M25" s="16">
        <f>IF($C$9&gt;=21,$B32-$L$84,"")</f>
        <v>1.5</v>
      </c>
      <c r="N25" s="16">
        <f>IF($C$9&gt;=21,$L25^2,"")</f>
        <v>182.25</v>
      </c>
      <c r="O25" s="16">
        <f>IF($C$9&gt;=21,$M25^2,"")</f>
        <v>2.25</v>
      </c>
      <c r="P25" s="16">
        <f>IF($C$9&gt;=21,$L25*$M25,"")</f>
        <v>-20.25</v>
      </c>
      <c r="Q25" s="17">
        <f>IF($C$9&gt;=21,$B32-$L$84,"")</f>
        <v>1.5</v>
      </c>
      <c r="R25" s="17">
        <f>IF($C$9&gt;=21,$C32-$L$85,"")</f>
        <v>-13.5</v>
      </c>
      <c r="S25" s="18">
        <f>IF($C$9&gt;=21,(-$P$93/$C$9+($P$97*$L$86--$P$96*$L$89)/($L$86*$L$87-$L$89^2)*$Q25+(-$P$96*$L$87-$P$97*$L$89)/($L$86*$L$87-$L$89^2)*$R25),"")</f>
        <v>75.606060593388435</v>
      </c>
      <c r="T25" s="18">
        <f>IF($C$9&gt;=21,((($P$94/$C$9+$P$98*-$R25/$L$88)^2+($P$95/$C$9+$P$98*$Q25/$L$88)^2)^(1/2)),"")</f>
        <v>1.8027756377319946</v>
      </c>
      <c r="AD25" s="262" t="str">
        <f>IF($C$9&gt;=14,"#14:","")</f>
        <v>#14:</v>
      </c>
      <c r="AE25" s="217">
        <f>IF($C$9&gt;=14,$B25*0.3048,"")</f>
        <v>0.9144000000000001</v>
      </c>
      <c r="AF25" s="229">
        <f>IF($C$9&gt;=14,$C25*0.3048,"")</f>
        <v>2.7432000000000003</v>
      </c>
      <c r="AG25" s="279" t="str">
        <f>IF($C$9&gt;=39,"#39:","")</f>
        <v>#39:</v>
      </c>
      <c r="AH25" s="217">
        <f>IF($C$9&gt;=39,$E25*0.3048,"")</f>
        <v>2.7432000000000003</v>
      </c>
      <c r="AI25" s="229">
        <f>IF($C$9&gt;=39,$F25*0.3048,"")</f>
        <v>7.3152000000000008</v>
      </c>
      <c r="AJ25" s="279" t="str">
        <f>IF($C$9&gt;=64,"#64","")</f>
        <v/>
      </c>
      <c r="AK25" s="217" t="str">
        <f>IF($C$9&gt;=64,$H25*0.3048,"")</f>
        <v/>
      </c>
      <c r="AL25" s="229" t="str">
        <f>IF($C$9&gt;=64,$I25*0.3048,"")</f>
        <v/>
      </c>
      <c r="AM25" s="8"/>
    </row>
    <row r="26" spans="1:39" x14ac:dyDescent="0.25">
      <c r="A26" s="260" t="str">
        <f>IF($C$9&gt;=15,"#15:","")</f>
        <v>#15:</v>
      </c>
      <c r="B26" s="145">
        <v>3</v>
      </c>
      <c r="C26" s="146">
        <v>12</v>
      </c>
      <c r="D26" s="260" t="str">
        <f>IF($C$9&gt;=40,"#40:","")</f>
        <v>#40:</v>
      </c>
      <c r="E26" s="145">
        <v>9</v>
      </c>
      <c r="F26" s="146">
        <v>27</v>
      </c>
      <c r="G26" s="260" t="str">
        <f>IF($C$9&gt;=65,"#65","")</f>
        <v/>
      </c>
      <c r="H26" s="145"/>
      <c r="I26" s="146"/>
      <c r="K26" s="9">
        <v>22</v>
      </c>
      <c r="L26" s="16">
        <f>IF($C$9&gt;=22,$C33-$L$85,"")</f>
        <v>-10.5</v>
      </c>
      <c r="M26" s="16">
        <f>IF($C$9&gt;=22,$B33-$L$84,"")</f>
        <v>1.5</v>
      </c>
      <c r="N26" s="16">
        <f>IF($C$9&gt;=22,$L26^2,"")</f>
        <v>110.25</v>
      </c>
      <c r="O26" s="16">
        <f>IF($C$9&gt;=22,$M26^2,"")</f>
        <v>2.25</v>
      </c>
      <c r="P26" s="16">
        <f>IF($C$9&gt;=22,$L26*$M26,"")</f>
        <v>-15.75</v>
      </c>
      <c r="Q26" s="17">
        <f>IF($C$9&gt;=22,$B33-$L$84,"")</f>
        <v>1.5</v>
      </c>
      <c r="R26" s="17">
        <f>IF($C$9&gt;=22,$C33-$L$85,"")</f>
        <v>-10.5</v>
      </c>
      <c r="S26" s="18">
        <f>IF($C$9&gt;=22,(-$P$93/$C$9+($P$97*$L$86--$P$96*$L$89)/($L$86*$L$87-$L$89^2)*$Q26+(-$P$96*$L$87-$P$97*$L$89)/($L$86*$L$87-$L$89^2)*$R26),"")</f>
        <v>75.101010083746559</v>
      </c>
      <c r="T26" s="18">
        <f>IF($C$9&gt;=22,((($P$94/$C$9+$P$98*-$R26/$L$88)^2+($P$95/$C$9+$P$98*$Q26/$L$88)^2)^(1/2)),"")</f>
        <v>1.8027756377319946</v>
      </c>
      <c r="AC26" s="2"/>
      <c r="AD26" s="262" t="str">
        <f>IF($C$9&gt;=15,"#15:","")</f>
        <v>#15:</v>
      </c>
      <c r="AE26" s="217">
        <f>IF($C$9&gt;=15,$B26*0.3048,"")</f>
        <v>0.9144000000000001</v>
      </c>
      <c r="AF26" s="229">
        <f>IF($C$9&gt;=15,$C26*0.3048,"")</f>
        <v>3.6576000000000004</v>
      </c>
      <c r="AG26" s="279" t="str">
        <f>IF($C$9&gt;=40,"#40:","")</f>
        <v>#40:</v>
      </c>
      <c r="AH26" s="217">
        <f>IF($C$9&gt;=40,$E26*0.3048,"")</f>
        <v>2.7432000000000003</v>
      </c>
      <c r="AI26" s="229">
        <f>IF($C$9&gt;=40,$F26*0.3048,"")</f>
        <v>8.2295999999999996</v>
      </c>
      <c r="AJ26" s="279" t="str">
        <f>IF($C$9&gt;=65,"#65","")</f>
        <v/>
      </c>
      <c r="AK26" s="217" t="str">
        <f>IF($C$9&gt;=65,$H26*0.3048,"")</f>
        <v/>
      </c>
      <c r="AL26" s="229" t="str">
        <f>IF($C$9&gt;=65,$I26*0.3048,"")</f>
        <v/>
      </c>
      <c r="AM26" s="8"/>
    </row>
    <row r="27" spans="1:39" x14ac:dyDescent="0.25">
      <c r="A27" s="260" t="str">
        <f>IF($C$9&gt;=16,"#16:","")</f>
        <v>#16:</v>
      </c>
      <c r="B27" s="145">
        <v>3</v>
      </c>
      <c r="C27" s="146">
        <v>15</v>
      </c>
      <c r="D27" s="260" t="str">
        <f>IF($C$9&gt;=41,"#41:","")</f>
        <v/>
      </c>
      <c r="E27" s="145"/>
      <c r="F27" s="146"/>
      <c r="G27" s="260" t="str">
        <f>IF($C$9&gt;=66,"#66","")</f>
        <v/>
      </c>
      <c r="H27" s="145"/>
      <c r="I27" s="146"/>
      <c r="K27" s="9">
        <v>23</v>
      </c>
      <c r="L27" s="16">
        <f>IF($C$9&gt;=23,$C34-$L$85,"")</f>
        <v>-7.5</v>
      </c>
      <c r="M27" s="16">
        <f>IF($C$9&gt;=23,$B34-$L$84,"")</f>
        <v>1.5</v>
      </c>
      <c r="N27" s="16">
        <f>IF($C$9&gt;=23,$L27^2,"")</f>
        <v>56.25</v>
      </c>
      <c r="O27" s="16">
        <f>IF($C$9&gt;=23,$M27^2,"")</f>
        <v>2.25</v>
      </c>
      <c r="P27" s="16">
        <f>IF($C$9&gt;=23,$L27*$M27,"")</f>
        <v>-11.25</v>
      </c>
      <c r="Q27" s="17">
        <f>IF($C$9&gt;=23,$B34-$L$84,"")</f>
        <v>1.5</v>
      </c>
      <c r="R27" s="17">
        <f>IF($C$9&gt;=23,$C34-$L$85,"")</f>
        <v>-7.5</v>
      </c>
      <c r="S27" s="18">
        <f>IF($C$9&gt;=23,(-$P$93/$C$9+($P$97*$L$86--$P$96*$L$89)/($L$86*$L$87-$L$89^2)*$Q27+(-$P$96*$L$87-$P$97*$L$89)/($L$86*$L$87-$L$89^2)*$R27),"")</f>
        <v>74.595959574104683</v>
      </c>
      <c r="T27" s="18">
        <f>IF($C$9&gt;=23,((($P$94/$C$9+$P$98*-$R27/$L$88)^2+($P$95/$C$9+$P$98*$Q27/$L$88)^2)^(1/2)),"")</f>
        <v>1.8027756377319946</v>
      </c>
      <c r="AC27" s="2"/>
      <c r="AD27" s="262" t="str">
        <f>IF($C$9&gt;=16,"#16:","")</f>
        <v>#16:</v>
      </c>
      <c r="AE27" s="217">
        <f>IF($C$9&gt;=16,$B27*0.3048,"")</f>
        <v>0.9144000000000001</v>
      </c>
      <c r="AF27" s="229">
        <f>IF($C$9&gt;=16,$C27*0.3048,"")</f>
        <v>4.5720000000000001</v>
      </c>
      <c r="AG27" s="279" t="str">
        <f>IF($C$9&gt;=41,"#41:","")</f>
        <v/>
      </c>
      <c r="AH27" s="217" t="str">
        <f>IF($C$9&gt;=41,$E27*0.3048,"")</f>
        <v/>
      </c>
      <c r="AI27" s="229" t="str">
        <f>IF($C$9&gt;=41,$F27*0.3048,"")</f>
        <v/>
      </c>
      <c r="AJ27" s="279" t="str">
        <f>IF($C$9&gt;=66,"#66","")</f>
        <v/>
      </c>
      <c r="AK27" s="217" t="str">
        <f>IF($C$9&gt;=66,$H27*0.3048,"")</f>
        <v/>
      </c>
      <c r="AL27" s="229" t="str">
        <f>IF($C$9&gt;=66,$I27*0.3048,"")</f>
        <v/>
      </c>
      <c r="AM27" s="8"/>
    </row>
    <row r="28" spans="1:39" x14ac:dyDescent="0.25">
      <c r="A28" s="260" t="str">
        <f>IF($C$9&gt;=17,"#17:","")</f>
        <v>#17:</v>
      </c>
      <c r="B28" s="145">
        <v>3</v>
      </c>
      <c r="C28" s="146">
        <v>18</v>
      </c>
      <c r="D28" s="260" t="str">
        <f>IF($C$9&gt;=42,"#42:","")</f>
        <v/>
      </c>
      <c r="E28" s="145"/>
      <c r="F28" s="146"/>
      <c r="G28" s="260" t="str">
        <f>IF($C$9&gt;=67,"#67","")</f>
        <v/>
      </c>
      <c r="H28" s="145"/>
      <c r="I28" s="146"/>
      <c r="K28" s="9">
        <v>24</v>
      </c>
      <c r="L28" s="16">
        <f>IF($C$9&gt;=24,$C35-$L$85,"")</f>
        <v>-4.5</v>
      </c>
      <c r="M28" s="16">
        <f>IF($C$9&gt;=24,$B35-$L$84,"")</f>
        <v>1.5</v>
      </c>
      <c r="N28" s="16">
        <f>IF($C$9&gt;=24,$L28^2,"")</f>
        <v>20.25</v>
      </c>
      <c r="O28" s="16">
        <f>IF($C$9&gt;=24,$M28^2,"")</f>
        <v>2.25</v>
      </c>
      <c r="P28" s="16">
        <f>IF($C$9&gt;=24,$L28*$M28,"")</f>
        <v>-6.75</v>
      </c>
      <c r="Q28" s="17">
        <f>IF($C$9&gt;=24,$B35-$L$84,"")</f>
        <v>1.5</v>
      </c>
      <c r="R28" s="17">
        <f>IF($C$9&gt;=24,$C35-$L$85,"")</f>
        <v>-4.5</v>
      </c>
      <c r="S28" s="18">
        <f>IF($C$9&gt;=24,(-$P$93/$C$9+($P$97*$L$86--$P$96*$L$89)/($L$86*$L$87-$L$89^2)*$Q28+(-$P$96*$L$87-$P$97*$L$89)/($L$86*$L$87-$L$89^2)*$R28),"")</f>
        <v>74.090909064462821</v>
      </c>
      <c r="T28" s="18">
        <f>IF($C$9&gt;=24,((($P$94/$C$9+$P$98*-$R28/$L$88)^2+($P$95/$C$9+$P$98*$Q28/$L$88)^2)^(1/2)),"")</f>
        <v>1.8027756377319946</v>
      </c>
      <c r="AC28" s="2"/>
      <c r="AD28" s="262" t="str">
        <f>IF($C$9&gt;=17,"#17:","")</f>
        <v>#17:</v>
      </c>
      <c r="AE28" s="217">
        <f>IF($C$9&gt;=17,$B28*0.3048,"")</f>
        <v>0.9144000000000001</v>
      </c>
      <c r="AF28" s="229">
        <f>IF($C$9&gt;=17,$C28*0.3048,"")</f>
        <v>5.4864000000000006</v>
      </c>
      <c r="AG28" s="279" t="str">
        <f>IF($C$9&gt;=42,"#42:","")</f>
        <v/>
      </c>
      <c r="AH28" s="217" t="str">
        <f>IF($C$9&gt;=42,$E28*0.3048,"")</f>
        <v/>
      </c>
      <c r="AI28" s="229" t="str">
        <f>IF($C$9&gt;=42,$F28*0.3048,"")</f>
        <v/>
      </c>
      <c r="AJ28" s="279" t="str">
        <f>IF($C$9&gt;=67,"#67","")</f>
        <v/>
      </c>
      <c r="AK28" s="217" t="str">
        <f>IF($C$9&gt;=67,$H28*0.3048,"")</f>
        <v/>
      </c>
      <c r="AL28" s="229" t="str">
        <f>IF($C$9&gt;=67,$I28*0.3048,"")</f>
        <v/>
      </c>
      <c r="AM28" s="8"/>
    </row>
    <row r="29" spans="1:39" x14ac:dyDescent="0.25">
      <c r="A29" s="260" t="str">
        <f>IF($C$9&gt;=18,"#18:","")</f>
        <v>#18:</v>
      </c>
      <c r="B29" s="145">
        <v>3</v>
      </c>
      <c r="C29" s="146">
        <v>21</v>
      </c>
      <c r="D29" s="260" t="str">
        <f>IF($C$9&gt;=43,"#43:","")</f>
        <v/>
      </c>
      <c r="E29" s="145"/>
      <c r="F29" s="146"/>
      <c r="G29" s="260" t="str">
        <f>IF($C$9&gt;=68,"#68","")</f>
        <v/>
      </c>
      <c r="H29" s="145"/>
      <c r="I29" s="146"/>
      <c r="K29" s="9">
        <v>25</v>
      </c>
      <c r="L29" s="16">
        <f>IF($C$9&gt;=25,$C36-$L$85,"")</f>
        <v>-1.5</v>
      </c>
      <c r="M29" s="16">
        <f>IF($C$9&gt;=25,$B36-$L$84,"")</f>
        <v>1.5</v>
      </c>
      <c r="N29" s="16">
        <f>IF($C$9&gt;=25,$L29^2,"")</f>
        <v>2.25</v>
      </c>
      <c r="O29" s="16">
        <f>IF($C$9&gt;=25,$M29^2,"")</f>
        <v>2.25</v>
      </c>
      <c r="P29" s="16">
        <f>IF($C$9&gt;=25,$L29*$M29,"")</f>
        <v>-2.25</v>
      </c>
      <c r="Q29" s="17">
        <f>IF($C$9&gt;=25,$B36-$L$84,"")</f>
        <v>1.5</v>
      </c>
      <c r="R29" s="17">
        <f>IF($C$9&gt;=25,$C36-$L$85,"")</f>
        <v>-1.5</v>
      </c>
      <c r="S29" s="18">
        <f>IF($C$9&gt;=25,(-$P$93/$C$9+($P$97*$L$86--$P$96*$L$89)/($L$86*$L$87-$L$89^2)*$Q29+(-$P$96*$L$87-$P$97*$L$89)/($L$86*$L$87-$L$89^2)*$R29),"")</f>
        <v>73.585858554820945</v>
      </c>
      <c r="T29" s="18">
        <f>IF($C$9&gt;=25,((($P$94/$C$9+$P$98*-$R29/$L$88)^2+($P$95/$C$9+$P$98*$Q29/$L$88)^2)^(1/2)),"")</f>
        <v>1.8027756377319946</v>
      </c>
      <c r="AC29" s="2"/>
      <c r="AD29" s="262" t="str">
        <f>IF($C$9&gt;=18,"#18:","")</f>
        <v>#18:</v>
      </c>
      <c r="AE29" s="217">
        <f>IF($C$9&gt;=18,$B29*0.3048,"")</f>
        <v>0.9144000000000001</v>
      </c>
      <c r="AF29" s="229">
        <f>IF($C$9&gt;=18,$C29*0.3048,"")</f>
        <v>6.4008000000000003</v>
      </c>
      <c r="AG29" s="279" t="str">
        <f>IF($C$9&gt;=43,"#43:","")</f>
        <v/>
      </c>
      <c r="AH29" s="217" t="str">
        <f>IF($C$9&gt;=43,$E29*0.3048,"")</f>
        <v/>
      </c>
      <c r="AI29" s="229" t="str">
        <f>IF($C$9&gt;=43,$F29*0.3048,"")</f>
        <v/>
      </c>
      <c r="AJ29" s="279" t="str">
        <f>IF($C$9&gt;=68,"#68","")</f>
        <v/>
      </c>
      <c r="AK29" s="217" t="str">
        <f>IF($C$9&gt;=68,$H29*0.3048,"")</f>
        <v/>
      </c>
      <c r="AL29" s="229" t="str">
        <f>IF($C$9&gt;=68,$I29*0.3048,"")</f>
        <v/>
      </c>
      <c r="AM29" s="8"/>
    </row>
    <row r="30" spans="1:39" x14ac:dyDescent="0.25">
      <c r="A30" s="260" t="str">
        <f>IF($C$9&gt;=19,"#19:","")</f>
        <v>#19:</v>
      </c>
      <c r="B30" s="145">
        <v>3</v>
      </c>
      <c r="C30" s="146">
        <v>24</v>
      </c>
      <c r="D30" s="260" t="str">
        <f>IF($C$9&gt;=44,"#44:","")</f>
        <v/>
      </c>
      <c r="E30" s="145"/>
      <c r="F30" s="146"/>
      <c r="G30" s="260" t="str">
        <f>IF($C$9&gt;=69,"#69","")</f>
        <v/>
      </c>
      <c r="H30" s="145"/>
      <c r="I30" s="146"/>
      <c r="K30" s="9">
        <v>26</v>
      </c>
      <c r="L30" s="16">
        <f>IF($C$9&gt;=26,$F12-$L$85,"")</f>
        <v>1.5</v>
      </c>
      <c r="M30" s="16">
        <f>IF($C$9&gt;=26,$E12-$L$84,"")</f>
        <v>1.5</v>
      </c>
      <c r="N30" s="16">
        <f>IF($C$9&gt;=26,$L30^2,"")</f>
        <v>2.25</v>
      </c>
      <c r="O30" s="16">
        <f>IF($C$9&gt;=26,$M30^2,"")</f>
        <v>2.25</v>
      </c>
      <c r="P30" s="16">
        <f>IF($C$9&gt;=26,$L30*$M30,"")</f>
        <v>2.25</v>
      </c>
      <c r="Q30" s="17">
        <f>IF($C$9&gt;=26,$E12-$L$84,"")</f>
        <v>1.5</v>
      </c>
      <c r="R30" s="17">
        <f>IF($C$9&gt;=26,$F12-$L$85,"")</f>
        <v>1.5</v>
      </c>
      <c r="S30" s="18">
        <f>IF($C$9&gt;=26,(-$P$93/$C$9+($P$97*$L$86--$P$96*$L$89)/($L$86*$L$87-$L$89^2)*$Q30+(-$P$96*$L$87-$P$97*$L$89)/($L$86*$L$87-$L$89^2)*$R30),"")</f>
        <v>73.080808045179069</v>
      </c>
      <c r="T30" s="18">
        <f>IF($C$9&gt;=26,((($P$94/$C$9+$P$98*-$R30/$L$88)^2+($P$95/$C$9+$P$98*$Q30/$L$88)^2)^(1/2)),"")</f>
        <v>1.8027756377319946</v>
      </c>
      <c r="AC30" s="2"/>
      <c r="AD30" s="262" t="str">
        <f>IF($C$9&gt;=19,"#19:","")</f>
        <v>#19:</v>
      </c>
      <c r="AE30" s="217">
        <f>IF($C$9&gt;=19,$B30*0.3048,"")</f>
        <v>0.9144000000000001</v>
      </c>
      <c r="AF30" s="229">
        <f>IF($C$9&gt;=19,$C30*0.3048,"")</f>
        <v>7.3152000000000008</v>
      </c>
      <c r="AG30" s="279" t="str">
        <f>IF($C$9&gt;=44,"#44:","")</f>
        <v/>
      </c>
      <c r="AH30" s="217" t="str">
        <f>IF($C$9&gt;=44,$E30*0.3048,"")</f>
        <v/>
      </c>
      <c r="AI30" s="229" t="str">
        <f>IF($C$9&gt;=44,$F30*0.3048,"")</f>
        <v/>
      </c>
      <c r="AJ30" s="279" t="str">
        <f>IF($C$9&gt;=69,"#69","")</f>
        <v/>
      </c>
      <c r="AK30" s="217" t="str">
        <f>IF($C$9&gt;=69,$H30*0.3048,"")</f>
        <v/>
      </c>
      <c r="AL30" s="229" t="str">
        <f>IF($C$9&gt;=69,$I30*0.3048,"")</f>
        <v/>
      </c>
      <c r="AM30" s="8"/>
    </row>
    <row r="31" spans="1:39" x14ac:dyDescent="0.25">
      <c r="A31" s="260" t="str">
        <f>IF($C$9&gt;=20,"#20:","")</f>
        <v>#20:</v>
      </c>
      <c r="B31" s="145">
        <v>3</v>
      </c>
      <c r="C31" s="146">
        <v>27</v>
      </c>
      <c r="D31" s="260" t="str">
        <f>IF($C$9&gt;=45,"#45:","")</f>
        <v/>
      </c>
      <c r="E31" s="145"/>
      <c r="F31" s="146"/>
      <c r="G31" s="260" t="str">
        <f>IF($C$9&gt;=70,"#70","")</f>
        <v/>
      </c>
      <c r="H31" s="145"/>
      <c r="I31" s="146"/>
      <c r="J31" s="2"/>
      <c r="K31" s="9">
        <v>27</v>
      </c>
      <c r="L31" s="16">
        <f>IF($C$9&gt;=27,$F13-$L$85,"")</f>
        <v>4.5</v>
      </c>
      <c r="M31" s="16">
        <f>IF($C$9&gt;=27,$E13-$L$84,"")</f>
        <v>1.5</v>
      </c>
      <c r="N31" s="16">
        <f>IF($C$9&gt;=27,$L31^2,"")</f>
        <v>20.25</v>
      </c>
      <c r="O31" s="16">
        <f>IF($C$9&gt;=27,$M31^2,"")</f>
        <v>2.25</v>
      </c>
      <c r="P31" s="16">
        <f>IF($C$9&gt;=27,$L31*$M31,"")</f>
        <v>6.75</v>
      </c>
      <c r="Q31" s="17">
        <f>IF($C$9&gt;=27,$E13-$L$84,"")</f>
        <v>1.5</v>
      </c>
      <c r="R31" s="17">
        <f>IF($C$9&gt;=27,$F13-$L$85,"")</f>
        <v>4.5</v>
      </c>
      <c r="S31" s="18">
        <f>IF($C$9&gt;=27,(-$P$93/$C$9+($P$97*$L$86--$P$96*$L$89)/($L$86*$L$87-$L$89^2)*$Q31+(-$P$96*$L$87-$P$97*$L$89)/($L$86*$L$87-$L$89^2)*$R31),"")</f>
        <v>72.575757535537193</v>
      </c>
      <c r="T31" s="18">
        <f>IF($C$9&gt;=27,((($P$94/$C$9+$P$98*-$R31/$L$88)^2+($P$95/$C$9+$P$98*$Q31/$L$88)^2)^(1/2)),"")</f>
        <v>1.8027756377319946</v>
      </c>
      <c r="AC31" s="2"/>
      <c r="AD31" s="262" t="str">
        <f>IF($C$9&gt;=20,"#20:","")</f>
        <v>#20:</v>
      </c>
      <c r="AE31" s="217">
        <f>IF($C$9&gt;=20,$B31*0.3048,"")</f>
        <v>0.9144000000000001</v>
      </c>
      <c r="AF31" s="229">
        <f>IF($C$9&gt;=20,$C31*0.3048,"")</f>
        <v>8.2295999999999996</v>
      </c>
      <c r="AG31" s="279" t="str">
        <f>IF($C$9&gt;=45,"#45:","")</f>
        <v/>
      </c>
      <c r="AH31" s="217" t="str">
        <f>IF($C$9&gt;=45,$E31*0.3048,"")</f>
        <v/>
      </c>
      <c r="AI31" s="229" t="str">
        <f>IF($C$9&gt;=45,$F31*0.3048,"")</f>
        <v/>
      </c>
      <c r="AJ31" s="279" t="str">
        <f>IF($C$9&gt;=70,"#70","")</f>
        <v/>
      </c>
      <c r="AK31" s="217" t="str">
        <f>IF($C$9&gt;=70,$H31*0.3048,"")</f>
        <v/>
      </c>
      <c r="AL31" s="229" t="str">
        <f>IF($C$9&gt;=70,$I31*0.3048,"")</f>
        <v/>
      </c>
      <c r="AM31" s="8"/>
    </row>
    <row r="32" spans="1:39" x14ac:dyDescent="0.25">
      <c r="A32" s="260" t="str">
        <f>IF($C$9&gt;=21,"#21:","")</f>
        <v>#21:</v>
      </c>
      <c r="B32" s="145">
        <v>6</v>
      </c>
      <c r="C32" s="146">
        <v>0</v>
      </c>
      <c r="D32" s="260" t="str">
        <f>IF($C$9&gt;=46,"#46:","")</f>
        <v/>
      </c>
      <c r="E32" s="145"/>
      <c r="F32" s="146"/>
      <c r="G32" s="260" t="str">
        <f>IF($C$9&gt;=71,"#71","")</f>
        <v/>
      </c>
      <c r="H32" s="145"/>
      <c r="I32" s="146"/>
      <c r="K32" s="9">
        <v>28</v>
      </c>
      <c r="L32" s="16">
        <f>IF($C$9&gt;=28,$F14-$L$85,"")</f>
        <v>7.5</v>
      </c>
      <c r="M32" s="16">
        <f>IF($C$9&gt;=28,$E14-$L$84,"")</f>
        <v>1.5</v>
      </c>
      <c r="N32" s="16">
        <f>IF($C$9&gt;=28,$L32^2,"")</f>
        <v>56.25</v>
      </c>
      <c r="O32" s="16">
        <f>IF($C$9&gt;=28,$M32^2,"")</f>
        <v>2.25</v>
      </c>
      <c r="P32" s="16">
        <f>IF($C$9&gt;=28,$L32*$M32,"")</f>
        <v>11.25</v>
      </c>
      <c r="Q32" s="17">
        <f>IF($C$9&gt;=28,$E14-$L$84,"")</f>
        <v>1.5</v>
      </c>
      <c r="R32" s="17">
        <f>IF($C$9&gt;=28,$F14-$L$85,"")</f>
        <v>7.5</v>
      </c>
      <c r="S32" s="18">
        <f>IF($C$9&gt;=28,(-$P$93/$C$9+($P$97*$L$86--$P$96*$L$89)/($L$86*$L$87-$L$89^2)*$Q32+(-$P$96*$L$87-$P$97*$L$89)/($L$86*$L$87-$L$89^2)*$R32),"")</f>
        <v>72.070707025895331</v>
      </c>
      <c r="T32" s="18">
        <f>IF($C$9&gt;=28,((($P$94/$C$9+$P$98*-$R32/$L$88)^2+($P$95/$C$9+$P$98*$Q32/$L$88)^2)^(1/2)),"")</f>
        <v>1.8027756377319946</v>
      </c>
      <c r="AC32" s="2"/>
      <c r="AD32" s="262" t="str">
        <f>IF($C$9&gt;=21,"#21:","")</f>
        <v>#21:</v>
      </c>
      <c r="AE32" s="217">
        <f>IF($C$9&gt;=21,$B32*0.3048,"")</f>
        <v>1.8288000000000002</v>
      </c>
      <c r="AF32" s="229">
        <f>IF($C$9&gt;=21,$C32*0.3048,"")</f>
        <v>0</v>
      </c>
      <c r="AG32" s="279" t="str">
        <f>IF($C$9&gt;=46,"#46:","")</f>
        <v/>
      </c>
      <c r="AH32" s="217" t="str">
        <f>IF($C$9&gt;=46,$E32*0.3048,"")</f>
        <v/>
      </c>
      <c r="AI32" s="229" t="str">
        <f>IF($C$9&gt;=46,$F32*0.3048,"")</f>
        <v/>
      </c>
      <c r="AJ32" s="279" t="str">
        <f>IF($C$9&gt;=71,"#71","")</f>
        <v/>
      </c>
      <c r="AK32" s="217" t="str">
        <f>IF($C$9&gt;=71,$H32*0.3048,"")</f>
        <v/>
      </c>
      <c r="AL32" s="229" t="str">
        <f>IF($C$9&gt;=71,$I32*0.3048,"")</f>
        <v/>
      </c>
      <c r="AM32" s="8"/>
    </row>
    <row r="33" spans="1:40" x14ac:dyDescent="0.25">
      <c r="A33" s="260" t="str">
        <f>IF($C$9&gt;=22,"#22:","")</f>
        <v>#22:</v>
      </c>
      <c r="B33" s="145">
        <v>6</v>
      </c>
      <c r="C33" s="146">
        <v>3</v>
      </c>
      <c r="D33" s="260" t="str">
        <f>IF($C$9&gt;=47,"#47:","")</f>
        <v/>
      </c>
      <c r="E33" s="145"/>
      <c r="F33" s="146"/>
      <c r="G33" s="260" t="str">
        <f>IF($C$9&gt;=72,"#72","")</f>
        <v/>
      </c>
      <c r="H33" s="145"/>
      <c r="I33" s="146"/>
      <c r="K33" s="9">
        <v>29</v>
      </c>
      <c r="L33" s="16">
        <f>IF($C$9&gt;=29,$F15-$L$85,"")</f>
        <v>10.5</v>
      </c>
      <c r="M33" s="16">
        <f>IF($C$9&gt;=29,$E15-$L$84,"")</f>
        <v>1.5</v>
      </c>
      <c r="N33" s="16">
        <f>IF($C$9&gt;=29,$L33^2,"")</f>
        <v>110.25</v>
      </c>
      <c r="O33" s="16">
        <f>IF($C$9&gt;=29,$M33^2,"")</f>
        <v>2.25</v>
      </c>
      <c r="P33" s="16">
        <f>IF($C$9&gt;=29,$L33*$M33,"")</f>
        <v>15.75</v>
      </c>
      <c r="Q33" s="17">
        <f>IF($C$9&gt;=29,$E15-$L$84,"")</f>
        <v>1.5</v>
      </c>
      <c r="R33" s="17">
        <f>IF($C$9&gt;=29,$F15-$L$85,"")</f>
        <v>10.5</v>
      </c>
      <c r="S33" s="18">
        <f>IF($C$9&gt;=29,(-$P$93/$C$9+($P$97*$L$86--$P$96*$L$89)/($L$86*$L$87-$L$89^2)*$Q33+(-$P$96*$L$87-$P$97*$L$89)/($L$86*$L$87-$L$89^2)*$R33),"")</f>
        <v>71.565656516253455</v>
      </c>
      <c r="T33" s="18">
        <f>IF($C$9&gt;=29,((($P$94/$C$9+$P$98*-$R33/$L$88)^2+($P$95/$C$9+$P$98*$Q33/$L$88)^2)^(1/2)),"")</f>
        <v>1.8027756377319946</v>
      </c>
      <c r="AC33" s="2"/>
      <c r="AD33" s="262" t="str">
        <f>IF($C$9&gt;=22,"#22:","")</f>
        <v>#22:</v>
      </c>
      <c r="AE33" s="217">
        <f>IF($C$9&gt;=22,$B33*0.3048,"")</f>
        <v>1.8288000000000002</v>
      </c>
      <c r="AF33" s="229">
        <f>IF($C$9&gt;=22,$C33*0.3048,"")</f>
        <v>0.9144000000000001</v>
      </c>
      <c r="AG33" s="279" t="str">
        <f>IF($C$9&gt;=47,"#47:","")</f>
        <v/>
      </c>
      <c r="AH33" s="217" t="str">
        <f>IF($C$9&gt;=47,$E33*0.3048,"")</f>
        <v/>
      </c>
      <c r="AI33" s="229" t="str">
        <f>IF($C$9&gt;=47,$F33*0.3048,"")</f>
        <v/>
      </c>
      <c r="AJ33" s="279" t="str">
        <f>IF($C$9&gt;=72,"#72","")</f>
        <v/>
      </c>
      <c r="AK33" s="217" t="str">
        <f>IF($C$9&gt;=72,$H33*0.3048,"")</f>
        <v/>
      </c>
      <c r="AL33" s="229" t="str">
        <f>IF($C$9&gt;=72,$I33*0.3048,"")</f>
        <v/>
      </c>
      <c r="AM33" s="8"/>
    </row>
    <row r="34" spans="1:40" x14ac:dyDescent="0.25">
      <c r="A34" s="260" t="str">
        <f>IF($C$9&gt;=23,"#23:","")</f>
        <v>#23:</v>
      </c>
      <c r="B34" s="145">
        <v>6</v>
      </c>
      <c r="C34" s="146">
        <v>6</v>
      </c>
      <c r="D34" s="260" t="str">
        <f>IF($C$9&gt;=48,"#48:","")</f>
        <v/>
      </c>
      <c r="E34" s="145"/>
      <c r="F34" s="146"/>
      <c r="G34" s="260" t="str">
        <f>IF($C$9&gt;=73,"#73","")</f>
        <v/>
      </c>
      <c r="H34" s="145"/>
      <c r="I34" s="146"/>
      <c r="K34" s="9">
        <v>30</v>
      </c>
      <c r="L34" s="16">
        <f>IF($C$9&gt;=30,$F16-$L$85,"")</f>
        <v>13.5</v>
      </c>
      <c r="M34" s="16">
        <f>IF($C$9&gt;=30,$E16-$L$84,"")</f>
        <v>1.5</v>
      </c>
      <c r="N34" s="16">
        <f>IF($C$9&gt;=30,$L34^2,"")</f>
        <v>182.25</v>
      </c>
      <c r="O34" s="16">
        <f>IF($C$9&gt;=30,$M34^2,"")</f>
        <v>2.25</v>
      </c>
      <c r="P34" s="16">
        <f>IF($C$9&gt;=30,$L34*$M34,"")</f>
        <v>20.25</v>
      </c>
      <c r="Q34" s="17">
        <f>IF($C$9&gt;=30,$E16-$L$84,"")</f>
        <v>1.5</v>
      </c>
      <c r="R34" s="17">
        <f>IF($C$9&gt;=30,$F16-$L$85,"")</f>
        <v>13.5</v>
      </c>
      <c r="S34" s="18">
        <f>IF($C$9&gt;=30,(-$P$93/$C$9+($P$97*$L$86--$P$96*$L$89)/($L$86*$L$87-$L$89^2)*$Q34+(-$P$96*$L$87-$P$97*$L$89)/($L$86*$L$87-$L$89^2)*$R34),"")</f>
        <v>71.060606006611579</v>
      </c>
      <c r="T34" s="18">
        <f>IF($C$9&gt;=30,((($P$94/$C$9+$P$98*-$R34/$L$88)^2+($P$95/$C$9+$P$98*$Q34/$L$88)^2)^(1/2)),"")</f>
        <v>1.8027756377319946</v>
      </c>
      <c r="AC34" s="2"/>
      <c r="AD34" s="262" t="str">
        <f>IF($C$9&gt;=23,"#23:","")</f>
        <v>#23:</v>
      </c>
      <c r="AE34" s="217">
        <f>IF($C$9&gt;23,$B34*0.3048,"")</f>
        <v>1.8288000000000002</v>
      </c>
      <c r="AF34" s="229">
        <f>IF($C$9&gt;23,$C34*0.3048,"")</f>
        <v>1.8288000000000002</v>
      </c>
      <c r="AG34" s="279" t="str">
        <f>IF($C$9&gt;=48,"#48:","")</f>
        <v/>
      </c>
      <c r="AH34" s="217" t="str">
        <f>IF($C$9&gt;=48,$E34*0.3048,"")</f>
        <v/>
      </c>
      <c r="AI34" s="229" t="str">
        <f>IF($C$9&gt;=48,$F34*0.3048,"")</f>
        <v/>
      </c>
      <c r="AJ34" s="279" t="str">
        <f>IF($C$9&gt;=73,"#73","")</f>
        <v/>
      </c>
      <c r="AK34" s="217" t="str">
        <f>IF($C$9&gt;=73,$H34*0.3048,"")</f>
        <v/>
      </c>
      <c r="AL34" s="229" t="str">
        <f>IF($C$9&gt;=73,$I34*0.3048,"")</f>
        <v/>
      </c>
      <c r="AM34" s="8"/>
    </row>
    <row r="35" spans="1:40" x14ac:dyDescent="0.25">
      <c r="A35" s="260" t="str">
        <f>IF($C$9&gt;=24,"#24:","")</f>
        <v>#24:</v>
      </c>
      <c r="B35" s="145">
        <v>6</v>
      </c>
      <c r="C35" s="146">
        <v>9</v>
      </c>
      <c r="D35" s="260" t="str">
        <f>IF($C$9&gt;=49,"#49:","")</f>
        <v/>
      </c>
      <c r="E35" s="145"/>
      <c r="F35" s="146"/>
      <c r="G35" s="260" t="str">
        <f>IF($C$9&gt;=74,"#74","")</f>
        <v/>
      </c>
      <c r="H35" s="145"/>
      <c r="I35" s="146"/>
      <c r="K35" s="9">
        <v>31</v>
      </c>
      <c r="L35" s="16">
        <f>IF($C$9&gt;=31,$F17-$L$85,"")</f>
        <v>-13.5</v>
      </c>
      <c r="M35" s="16">
        <f>IF($C$9&gt;=31,$E17-$L$84,"")</f>
        <v>4.5</v>
      </c>
      <c r="N35" s="16">
        <f>IF($C$9&gt;=31,$L35^2,"")</f>
        <v>182.25</v>
      </c>
      <c r="O35" s="16">
        <f>IF($C$9&gt;=31,$M35^2,"")</f>
        <v>20.25</v>
      </c>
      <c r="P35" s="16">
        <f>IF($C$9&gt;=31,$L35*$M35,"")</f>
        <v>-60.75</v>
      </c>
      <c r="Q35" s="17">
        <f>IF($C$9&gt;=31,$E17-$L$84,"")</f>
        <v>4.5</v>
      </c>
      <c r="R35" s="17">
        <f>IF($C$9&gt;=31,$F17-$L$85,"")</f>
        <v>-13.5</v>
      </c>
      <c r="S35" s="18">
        <f>IF($C$9&gt;=31,(-$P$93/$C$9+($P$97*$L$86--$P$96*$L$89)/($L$86*$L$87-$L$89^2)*$Q35+(-$P$96*$L$87-$P$97*$L$89)/($L$86*$L$87-$L$89^2)*$R35),"")</f>
        <v>72.272727193388434</v>
      </c>
      <c r="T35" s="18">
        <f>IF($C$9&gt;=31,((($P$94/$C$9+$P$98*-$R35/$L$88)^2+($P$95/$C$9+$P$98*$Q35/$L$88)^2)^(1/2)),"")</f>
        <v>1.8027756377319946</v>
      </c>
      <c r="AC35" s="2"/>
      <c r="AD35" s="262" t="str">
        <f>IF($C$9&gt;=24,"#24:","")</f>
        <v>#24:</v>
      </c>
      <c r="AE35" s="217">
        <f>IF($C$9&gt;=24,$B35*0.3048,"")</f>
        <v>1.8288000000000002</v>
      </c>
      <c r="AF35" s="229">
        <f>IF($C$9&gt;24,$C35*0.3048,"")</f>
        <v>2.7432000000000003</v>
      </c>
      <c r="AG35" s="279" t="str">
        <f>IF($C$9&gt;=49,"#49:","")</f>
        <v/>
      </c>
      <c r="AH35" s="217" t="str">
        <f>IF($C$9&gt;=49,$E35*0.3048,"")</f>
        <v/>
      </c>
      <c r="AI35" s="229" t="str">
        <f>IF($C$9&gt;=49,$F35*0.3048,"")</f>
        <v/>
      </c>
      <c r="AJ35" s="279" t="str">
        <f>IF($C$9&gt;=74,"#74","")</f>
        <v/>
      </c>
      <c r="AK35" s="217" t="str">
        <f>IF($C$9&gt;=74,$H35*0.3048,"")</f>
        <v/>
      </c>
      <c r="AL35" s="229" t="str">
        <f>IF($C$9&gt;=74,$I35*0.3048,"")</f>
        <v/>
      </c>
      <c r="AM35" s="8"/>
    </row>
    <row r="36" spans="1:40" x14ac:dyDescent="0.25">
      <c r="A36" s="260" t="str">
        <f>IF($C$9&gt;=25,"#25:","")</f>
        <v>#25:</v>
      </c>
      <c r="B36" s="152">
        <v>6</v>
      </c>
      <c r="C36" s="153">
        <v>12</v>
      </c>
      <c r="D36" s="260" t="str">
        <f>IF($C$9&gt;=50,"#50:","")</f>
        <v/>
      </c>
      <c r="E36" s="152"/>
      <c r="F36" s="153"/>
      <c r="G36" s="260" t="str">
        <f>IF($C$9=75,"#75","")</f>
        <v/>
      </c>
      <c r="H36" s="152"/>
      <c r="I36" s="153"/>
      <c r="K36" s="9">
        <v>32</v>
      </c>
      <c r="L36" s="16">
        <f>IF($C$9&gt;=32,$F18-$L$85,"")</f>
        <v>-10.5</v>
      </c>
      <c r="M36" s="16">
        <f>IF($C$9&gt;=32,$E18-$L$84,"")</f>
        <v>4.5</v>
      </c>
      <c r="N36" s="16">
        <f>IF($C$9&gt;=32,$L36^2,"")</f>
        <v>110.25</v>
      </c>
      <c r="O36" s="16">
        <f>IF($C$9&gt;=32,$M36^2,"")</f>
        <v>20.25</v>
      </c>
      <c r="P36" s="16">
        <f>IF($C$9&gt;=32,$L36*$M36,"")</f>
        <v>-47.25</v>
      </c>
      <c r="Q36" s="17">
        <f>IF($C$9&gt;=32,$E18-$L$84,"")</f>
        <v>4.5</v>
      </c>
      <c r="R36" s="17">
        <f>IF($C$9&gt;=32,$F18-$L$85,"")</f>
        <v>-10.5</v>
      </c>
      <c r="S36" s="18">
        <f>IF($C$9&gt;=32,(-$P$93/$C$9+($P$97*$L$86--$P$96*$L$89)/($L$86*$L$87-$L$89^2)*$Q36+(-$P$96*$L$87-$P$97*$L$89)/($L$86*$L$87-$L$89^2)*$R36),"")</f>
        <v>71.767676683746558</v>
      </c>
      <c r="T36" s="18">
        <f>IF($C$9&gt;=32,((($P$94/$C$9+$P$98*-$R36/$L$88)^2+($P$95/$C$9+$P$98*$Q36/$L$88)^2)^(1/2)),"")</f>
        <v>1.8027756377319946</v>
      </c>
      <c r="AC36" s="2"/>
      <c r="AD36" s="262" t="str">
        <f>IF($C$9&gt;=25,"#25:","")</f>
        <v>#25:</v>
      </c>
      <c r="AE36" s="222">
        <f>IF($C$9&gt;=25,$B36*0.3048,"")</f>
        <v>1.8288000000000002</v>
      </c>
      <c r="AF36" s="230">
        <f>IF($C$9&gt;=25,$C36*0.3048,"")</f>
        <v>3.6576000000000004</v>
      </c>
      <c r="AG36" s="279" t="str">
        <f>IF($C$9&gt;=50,"#50:","")</f>
        <v/>
      </c>
      <c r="AH36" s="222" t="str">
        <f>IF($C$9&gt;=50,$E36*0.3048,"")</f>
        <v/>
      </c>
      <c r="AI36" s="230" t="str">
        <f>IF($C$9&gt;=50,$F36*0.3048,"")</f>
        <v/>
      </c>
      <c r="AJ36" s="279" t="str">
        <f>IF($C$9=75,"#75","")</f>
        <v/>
      </c>
      <c r="AK36" s="222" t="str">
        <f>IF($C$9=75,$H36*0.3048,"")</f>
        <v/>
      </c>
      <c r="AL36" s="230" t="str">
        <f>IF($C$9=75,$I36*0.3048,"")</f>
        <v/>
      </c>
      <c r="AM36" s="8"/>
    </row>
    <row r="37" spans="1:40" x14ac:dyDescent="0.25">
      <c r="A37" s="48"/>
      <c r="B37" s="54"/>
      <c r="C37" s="54"/>
      <c r="D37" s="54"/>
      <c r="E37" s="54"/>
      <c r="F37" s="54"/>
      <c r="G37" s="54"/>
      <c r="H37" s="54"/>
      <c r="I37" s="60"/>
      <c r="K37" s="9">
        <v>33</v>
      </c>
      <c r="L37" s="16">
        <f>IF($C$9&gt;=33,$F19-$L$85,"")</f>
        <v>-7.5</v>
      </c>
      <c r="M37" s="16">
        <f>IF($C$9&gt;=33,$E19-$L$84,"")</f>
        <v>4.5</v>
      </c>
      <c r="N37" s="16">
        <f>IF($C$9&gt;=33,$L37^2,"")</f>
        <v>56.25</v>
      </c>
      <c r="O37" s="16">
        <f>IF($C$9&gt;=33,$M37^2,"")</f>
        <v>20.25</v>
      </c>
      <c r="P37" s="16">
        <f>IF($C$9&gt;=33,$L37*$M37,"")</f>
        <v>-33.75</v>
      </c>
      <c r="Q37" s="17">
        <f>IF($C$9&gt;=33,$E19-$L$84,"")</f>
        <v>4.5</v>
      </c>
      <c r="R37" s="17">
        <f>IF($C$9&gt;=33,$F19-$L$85,"")</f>
        <v>-7.5</v>
      </c>
      <c r="S37" s="18">
        <f>IF($C$9&gt;=33,(-$P$93/$C$9+($P$97*$L$86--$P$96*$L$89)/($L$86*$L$87-$L$89^2)*$Q37+(-$P$96*$L$87-$P$97*$L$89)/($L$86*$L$87-$L$89^2)*$R37),"")</f>
        <v>71.262626174104682</v>
      </c>
      <c r="T37" s="18">
        <f>IF($C$9&gt;=33,((($P$94/$C$9+$P$98*-$R37/$L$88)^2+($P$95/$C$9+$P$98*$Q37/$L$88)^2)^(1/2)),"")</f>
        <v>1.8027756377319946</v>
      </c>
      <c r="AC37" s="2"/>
      <c r="AD37" s="8"/>
      <c r="AE37" s="8"/>
      <c r="AF37" s="8"/>
      <c r="AG37" s="8"/>
      <c r="AH37" s="8"/>
      <c r="AI37" s="8"/>
      <c r="AJ37" s="8"/>
      <c r="AK37" s="8"/>
      <c r="AL37" s="8"/>
      <c r="AM37" s="8"/>
    </row>
    <row r="38" spans="1:40" x14ac:dyDescent="0.25">
      <c r="A38" s="99" t="s">
        <v>49</v>
      </c>
      <c r="B38" s="27">
        <v>2</v>
      </c>
      <c r="C38" s="76"/>
      <c r="D38" s="54"/>
      <c r="E38" s="54"/>
      <c r="F38" s="54"/>
      <c r="G38" s="54"/>
      <c r="H38" s="54"/>
      <c r="I38" s="60"/>
      <c r="K38" s="9">
        <v>34</v>
      </c>
      <c r="L38" s="16">
        <f>IF($C$9&gt;=34,$F20-$L$85,"")</f>
        <v>-4.5</v>
      </c>
      <c r="M38" s="16">
        <f>IF($C$9&gt;=34,$E20-$L$84,"")</f>
        <v>4.5</v>
      </c>
      <c r="N38" s="16">
        <f>IF($C$9&gt;=34,$L38^2,"")</f>
        <v>20.25</v>
      </c>
      <c r="O38" s="16">
        <f>IF($C$9&gt;=34,$M38^2,"")</f>
        <v>20.25</v>
      </c>
      <c r="P38" s="16">
        <f>IF($C$9&gt;=34,$L38*$M38,"")</f>
        <v>-20.25</v>
      </c>
      <c r="Q38" s="17">
        <f>IF($C$9&gt;=34,$E20-$L$84,"")</f>
        <v>4.5</v>
      </c>
      <c r="R38" s="17">
        <f>IF($C$9&gt;=34,$F20-$L$85,"")</f>
        <v>-4.5</v>
      </c>
      <c r="S38" s="18">
        <f>IF($C$9&gt;=34,(-$P$93/$C$9+($P$97*$L$86--$P$96*$L$89)/($L$86*$L$87-$L$89^2)*$Q38+(-$P$96*$L$87-$P$97*$L$89)/($L$86*$L$87-$L$89^2)*$R38),"")</f>
        <v>70.75757566446282</v>
      </c>
      <c r="T38" s="18">
        <f>IF($C$9&gt;=34,((($P$94/$C$9+$P$98*-$R38/$L$88)^2+($P$95/$C$9+$P$98*$Q38/$L$88)^2)^(1/2)),"")</f>
        <v>1.8027756377319946</v>
      </c>
      <c r="AD38" s="8"/>
      <c r="AE38" s="8"/>
      <c r="AF38" s="8"/>
      <c r="AG38" s="8"/>
      <c r="AH38" s="8"/>
      <c r="AI38" s="8"/>
      <c r="AJ38" s="8"/>
      <c r="AK38" s="8"/>
      <c r="AL38" s="8"/>
      <c r="AM38" s="8"/>
    </row>
    <row r="39" spans="1:40" x14ac:dyDescent="0.25">
      <c r="A39" s="48"/>
      <c r="B39" s="56" t="s">
        <v>52</v>
      </c>
      <c r="C39" s="53"/>
      <c r="D39" s="53"/>
      <c r="E39" s="53"/>
      <c r="F39" s="53"/>
      <c r="G39" s="53"/>
      <c r="H39" s="53"/>
      <c r="I39" s="64"/>
      <c r="K39" s="9">
        <v>35</v>
      </c>
      <c r="L39" s="16">
        <f>IF($C$9&gt;=35,$F21-$L$85,"")</f>
        <v>-1.5</v>
      </c>
      <c r="M39" s="16">
        <f>IF($C$9&gt;=35,$E21-$L$84,"")</f>
        <v>4.5</v>
      </c>
      <c r="N39" s="16">
        <f>IF($C$9&gt;=35,$L39^2,"")</f>
        <v>2.25</v>
      </c>
      <c r="O39" s="16">
        <f>IF($C$9&gt;=35,$M39^2,"")</f>
        <v>20.25</v>
      </c>
      <c r="P39" s="16">
        <f>IF($C$9&gt;=35,$L39*$M39,"")</f>
        <v>-6.75</v>
      </c>
      <c r="Q39" s="17">
        <f>IF($C$9&gt;=35,$E21-$L$84,"")</f>
        <v>4.5</v>
      </c>
      <c r="R39" s="17">
        <f>IF($C$9&gt;=35,$F21-$L$85,"")</f>
        <v>-1.5</v>
      </c>
      <c r="S39" s="18">
        <f>IF($C$9&gt;=35,(-$P$93/$C$9+($P$97*$L$86--$P$96*$L$89)/($L$86*$L$87-$L$89^2)*$Q39+(-$P$96*$L$87-$P$97*$L$89)/($L$86*$L$87-$L$89^2)*$R39),"")</f>
        <v>70.252525154820944</v>
      </c>
      <c r="T39" s="18">
        <f>IF($C$9&gt;=35,((($P$94/$C$9+$P$98*-$R39/$L$88)^2+($P$95/$C$9+$P$98*$Q39/$L$88)^2)^(1/2)),"")</f>
        <v>1.8027756377319946</v>
      </c>
      <c r="AD39" s="8"/>
      <c r="AE39" s="8"/>
      <c r="AF39" s="8"/>
      <c r="AG39" s="8"/>
      <c r="AH39" s="8"/>
      <c r="AI39" s="8"/>
      <c r="AJ39" s="8"/>
      <c r="AK39" s="8"/>
      <c r="AL39" s="8"/>
      <c r="AM39" s="8"/>
    </row>
    <row r="40" spans="1:40" x14ac:dyDescent="0.25">
      <c r="A40" s="45"/>
      <c r="B40" s="77" t="str">
        <f>IF($B$38&gt;=1,"Pier #1","")</f>
        <v>Pier #1</v>
      </c>
      <c r="C40" s="77" t="str">
        <f>IF($B$38&gt;=2,"Pier #2","")</f>
        <v>Pier #2</v>
      </c>
      <c r="D40" s="77" t="str">
        <f>IF($B$38&gt;=3,"Pier #3","")</f>
        <v/>
      </c>
      <c r="E40" s="77" t="str">
        <f>IF($B$38&gt;=4,"Pier #4","")</f>
        <v/>
      </c>
      <c r="F40" s="77" t="str">
        <f>IF($B$38&gt;=5,"Pier #5","")</f>
        <v/>
      </c>
      <c r="G40" s="77" t="str">
        <f>IF($B$38&gt;=6,"Pier #6","")</f>
        <v/>
      </c>
      <c r="H40" s="77" t="str">
        <f>IF($B$38&gt;=7,"Pier #7","")</f>
        <v/>
      </c>
      <c r="I40" s="98" t="str">
        <f>IF($B$38=8,"Pier #8","")</f>
        <v/>
      </c>
      <c r="K40" s="9">
        <v>36</v>
      </c>
      <c r="L40" s="16">
        <f>IF($C$9&gt;=36,$F22-$L$85,"")</f>
        <v>1.5</v>
      </c>
      <c r="M40" s="16">
        <f>IF($C$9&gt;=36,$E22-$L$84,"")</f>
        <v>4.5</v>
      </c>
      <c r="N40" s="16">
        <f>IF($C$9&gt;=36,$L40^2,"")</f>
        <v>2.25</v>
      </c>
      <c r="O40" s="16">
        <f>IF($C$9&gt;=36,$M40^2,"")</f>
        <v>20.25</v>
      </c>
      <c r="P40" s="16">
        <f>IF($C$9&gt;=36,$L40*$M40,"")</f>
        <v>6.75</v>
      </c>
      <c r="Q40" s="17">
        <f>IF($C$9&gt;=36,$E22-$L$84,"")</f>
        <v>4.5</v>
      </c>
      <c r="R40" s="17">
        <f>IF($C$9&gt;=36,$F22-$L$85,"")</f>
        <v>1.5</v>
      </c>
      <c r="S40" s="18">
        <f>IF($C$9&gt;=36,(-$P$93/$C$9+($P$97*$L$86--$P$96*$L$89)/($L$86*$L$87-$L$89^2)*$Q40+(-$P$96*$L$87-$P$97*$L$89)/($L$86*$L$87-$L$89^2)*$R40),"")</f>
        <v>69.747474645179068</v>
      </c>
      <c r="T40" s="18">
        <f>IF($C$9&gt;=36,((($P$94/$C$9+$P$98*-$R40/$L$88)^2+($P$95/$C$9+$P$98*$Q40/$L$88)^2)^(1/2)),"")</f>
        <v>1.8027756377319946</v>
      </c>
      <c r="AD40" s="5"/>
      <c r="AE40" s="203" t="s">
        <v>164</v>
      </c>
      <c r="AF40" s="196" t="str">
        <f>IF($B$38&gt;=1,"Pier #1","")</f>
        <v>Pier #1</v>
      </c>
      <c r="AG40" s="196" t="str">
        <f>IF($B$38&gt;=2,"Pier #2","")</f>
        <v>Pier #2</v>
      </c>
      <c r="AH40" s="196" t="str">
        <f>IF($B$38&gt;=3,"Pier #3","")</f>
        <v/>
      </c>
      <c r="AI40" s="196" t="str">
        <f>IF($B$38&gt;=4,"Pier #4","")</f>
        <v/>
      </c>
      <c r="AJ40" s="196" t="str">
        <f>IF($B$38&gt;=5,"Pier #5","")</f>
        <v/>
      </c>
      <c r="AK40" s="196" t="str">
        <f>IF($B$38&gt;=6,"Pier #6","")</f>
        <v/>
      </c>
      <c r="AL40" s="196" t="str">
        <f>IF($B$38&gt;=7,"Pier #7","")</f>
        <v/>
      </c>
      <c r="AM40" s="196" t="str">
        <f>IF($B$38=8,"Pier #8","")</f>
        <v/>
      </c>
      <c r="AN40" s="2"/>
    </row>
    <row r="41" spans="1:40" x14ac:dyDescent="0.25">
      <c r="A41" s="45" t="s">
        <v>152</v>
      </c>
      <c r="B41" s="141">
        <v>4.5</v>
      </c>
      <c r="C41" s="141">
        <v>4.5</v>
      </c>
      <c r="D41" s="157"/>
      <c r="E41" s="141"/>
      <c r="F41" s="157"/>
      <c r="G41" s="141"/>
      <c r="H41" s="157"/>
      <c r="I41" s="141"/>
      <c r="K41" s="9">
        <v>37</v>
      </c>
      <c r="L41" s="16">
        <f>IF($C$9&gt;=37,$F23-$L$85,"")</f>
        <v>4.5</v>
      </c>
      <c r="M41" s="16">
        <f>IF($C$9&gt;=37,$E23-$L$84,"")</f>
        <v>4.5</v>
      </c>
      <c r="N41" s="16">
        <f>IF($C$9&gt;=37,$L41^2,"")</f>
        <v>20.25</v>
      </c>
      <c r="O41" s="16">
        <f>IF($C$9&gt;=37,$M41^2,"")</f>
        <v>20.25</v>
      </c>
      <c r="P41" s="16">
        <f>IF($C$9&gt;=37,$L41*$M41,"")</f>
        <v>20.25</v>
      </c>
      <c r="Q41" s="17">
        <f>IF($C$9&gt;=37,$E23-$L$84,"")</f>
        <v>4.5</v>
      </c>
      <c r="R41" s="17">
        <f>IF($C$9&gt;=37,$F23-$L$85,"")</f>
        <v>4.5</v>
      </c>
      <c r="S41" s="18">
        <f>IF($C$9&gt;=37,(-$P$93/$C$9+($P$97*$L$86--$P$96*$L$89)/($L$86*$L$87-$L$89^2)*$Q41+(-$P$96*$L$87-$P$97*$L$89)/($L$86*$L$87-$L$89^2)*$R41),"")</f>
        <v>69.242424135537192</v>
      </c>
      <c r="T41" s="18">
        <f>IF($C$9&gt;=37,((($P$94/$C$9+$P$98*-$R41/$L$88)^2+($P$95/$C$9+$P$98*$Q41/$L$88)^2)^(1/2)),"")</f>
        <v>1.8027756377319946</v>
      </c>
      <c r="AD41" s="5"/>
      <c r="AE41" s="199" t="s">
        <v>209</v>
      </c>
      <c r="AF41" s="216">
        <f>IF($B$38&gt;=1,$B41*0.3048,"")</f>
        <v>1.3716000000000002</v>
      </c>
      <c r="AG41" s="231">
        <f>IF($B$38&gt;=2,$C41*0.3048,"")</f>
        <v>1.3716000000000002</v>
      </c>
      <c r="AH41" s="216" t="str">
        <f>IF($B$38&gt;=3,$D41*0.3048,"")</f>
        <v/>
      </c>
      <c r="AI41" s="231" t="str">
        <f>IF($B$38&gt;=4,$E41*0.3048,"")</f>
        <v/>
      </c>
      <c r="AJ41" s="216" t="str">
        <f>IF($B$38&gt;=5,$F41*0.3048,"")</f>
        <v/>
      </c>
      <c r="AK41" s="231" t="str">
        <f>IF($B$38&gt;=6,$G41*0.3048,"")</f>
        <v/>
      </c>
      <c r="AL41" s="216" t="str">
        <f>IF($B$38&gt;=7,$H41*0.3048,"")</f>
        <v/>
      </c>
      <c r="AM41" s="228" t="str">
        <f>IF($B$38&gt;=8,$I41*0.3048,"")</f>
        <v/>
      </c>
    </row>
    <row r="42" spans="1:40" x14ac:dyDescent="0.25">
      <c r="A42" s="45" t="s">
        <v>153</v>
      </c>
      <c r="B42" s="145">
        <v>9</v>
      </c>
      <c r="C42" s="145">
        <v>18</v>
      </c>
      <c r="D42" s="158"/>
      <c r="E42" s="145"/>
      <c r="F42" s="158"/>
      <c r="G42" s="145"/>
      <c r="H42" s="158"/>
      <c r="I42" s="145"/>
      <c r="K42" s="9">
        <v>38</v>
      </c>
      <c r="L42" s="16">
        <f>IF($C$9&gt;=38,$F24-$L$85,"")</f>
        <v>7.5</v>
      </c>
      <c r="M42" s="16">
        <f>IF($C$9&gt;=38,$E24-$L$84,"")</f>
        <v>4.5</v>
      </c>
      <c r="N42" s="16">
        <f>IF($C$9&gt;=38,$L42^2,"")</f>
        <v>56.25</v>
      </c>
      <c r="O42" s="16">
        <f>IF($C$9&gt;=38,$M42^2,"")</f>
        <v>20.25</v>
      </c>
      <c r="P42" s="16">
        <f>IF($C$9&gt;=38,$L42*$M42,"")</f>
        <v>33.75</v>
      </c>
      <c r="Q42" s="17">
        <f>IF($C$9&gt;=38,$E24-$L$84,"")</f>
        <v>4.5</v>
      </c>
      <c r="R42" s="17">
        <f>IF($C$9&gt;=38,$F24-$L$85,"")</f>
        <v>7.5</v>
      </c>
      <c r="S42" s="18">
        <f>IF($C$9&gt;=38,(-$P$93/$C$9+($P$97*$L$86--$P$96*$L$89)/($L$86*$L$87-$L$89^2)*$Q42+(-$P$96*$L$87-$P$97*$L$89)/($L$86*$L$87-$L$89^2)*$R42),"")</f>
        <v>68.73737362589533</v>
      </c>
      <c r="T42" s="18">
        <f>IF($C$9&gt;=38,((($P$94/$C$9+$P$98*-$R42/$L$88)^2+($P$95/$C$9+$P$98*$Q42/$L$88)^2)^(1/2)),"")</f>
        <v>1.8027756377319946</v>
      </c>
      <c r="AD42" s="5"/>
      <c r="AE42" s="199" t="s">
        <v>210</v>
      </c>
      <c r="AF42" s="217">
        <f>IF($B$38&gt;=1,$B42*0.3048,"")</f>
        <v>2.7432000000000003</v>
      </c>
      <c r="AG42" s="232">
        <f>IF($B$38&gt;=2,$C42*0.3048,"")</f>
        <v>5.4864000000000006</v>
      </c>
      <c r="AH42" s="217" t="str">
        <f>IF($B$38&gt;=3,$D42*0.3048,"")</f>
        <v/>
      </c>
      <c r="AI42" s="232" t="str">
        <f>IF($B$38&gt;=4,$E42*0.3048,"")</f>
        <v/>
      </c>
      <c r="AJ42" s="217" t="str">
        <f>IF($B$38&gt;=5,$F42*0.3048,"")</f>
        <v/>
      </c>
      <c r="AK42" s="232" t="str">
        <f>IF($B$38&gt;=6,$G42*0.3048,"")</f>
        <v/>
      </c>
      <c r="AL42" s="217" t="str">
        <f>IF($B$38&gt;=7,$H42*0.3048,"")</f>
        <v/>
      </c>
      <c r="AM42" s="229" t="str">
        <f>IF($B$38&gt;=8,$I42*0.3048,"")</f>
        <v/>
      </c>
    </row>
    <row r="43" spans="1:40" x14ac:dyDescent="0.25">
      <c r="A43" s="45" t="s">
        <v>154</v>
      </c>
      <c r="B43" s="145">
        <v>5</v>
      </c>
      <c r="C43" s="145">
        <v>5</v>
      </c>
      <c r="D43" s="158"/>
      <c r="E43" s="145"/>
      <c r="F43" s="158"/>
      <c r="G43" s="145"/>
      <c r="H43" s="158"/>
      <c r="I43" s="145"/>
      <c r="J43" s="10"/>
      <c r="K43" s="9">
        <v>39</v>
      </c>
      <c r="L43" s="16">
        <f>IF($C$9&gt;=39,$F25-$L$85,"")</f>
        <v>10.5</v>
      </c>
      <c r="M43" s="16">
        <f>IF($C$9&gt;=39,$E25-$L$84,"")</f>
        <v>4.5</v>
      </c>
      <c r="N43" s="16">
        <f>IF($C$9&gt;=39,$L43^2,"")</f>
        <v>110.25</v>
      </c>
      <c r="O43" s="16">
        <f>IF($C$9&gt;=39,$M43^2,"")</f>
        <v>20.25</v>
      </c>
      <c r="P43" s="16">
        <f>IF($C$9&gt;=39,$L43*$M43,"")</f>
        <v>47.25</v>
      </c>
      <c r="Q43" s="17">
        <f>IF($C$9&gt;=39,$E25-$L$84,"")</f>
        <v>4.5</v>
      </c>
      <c r="R43" s="17">
        <f>IF($C$9&gt;=39,$F25-$L$85,"")</f>
        <v>10.5</v>
      </c>
      <c r="S43" s="18">
        <f>IF($C$9&gt;=39,(-$P$93/$C$9+($P$97*$L$86--$P$96*$L$89)/($L$86*$L$87-$L$89^2)*$Q43+(-$P$96*$L$87-$P$97*$L$89)/($L$86*$L$87-$L$89^2)*$R43),"")</f>
        <v>68.232323116253454</v>
      </c>
      <c r="T43" s="18">
        <f>IF($C$9&gt;=39,((($P$94/$C$9+$P$98*-$R43/$L$88)^2+($P$95/$C$9+$P$98*$Q43/$L$88)^2)^(1/2)),"")</f>
        <v>1.8027756377319946</v>
      </c>
      <c r="AD43" s="5"/>
      <c r="AE43" s="199" t="s">
        <v>211</v>
      </c>
      <c r="AF43" s="217">
        <f>IF($B$38&gt;=1,$B43*0.3048,"")</f>
        <v>1.524</v>
      </c>
      <c r="AG43" s="232">
        <f>IF($B$38&gt;=2,$C43*0.3048,"")</f>
        <v>1.524</v>
      </c>
      <c r="AH43" s="217" t="str">
        <f>IF($B$38&gt;=3,$D43*0.3048,"")</f>
        <v/>
      </c>
      <c r="AI43" s="232" t="str">
        <f>IF($B$38&gt;=4,$E43*0.3048,"")</f>
        <v/>
      </c>
      <c r="AJ43" s="217" t="str">
        <f>IF($B$38&gt;=5,$F43*0.3048,"")</f>
        <v/>
      </c>
      <c r="AK43" s="232" t="str">
        <f>IF($B$38&gt;=6,$G43*0.3048,"")</f>
        <v/>
      </c>
      <c r="AL43" s="217" t="str">
        <f>IF($B$38&gt;=7,$H43*0.3048,"")</f>
        <v/>
      </c>
      <c r="AM43" s="229" t="str">
        <f>IF($B$38&gt;=8,$I43*0.3048,"")</f>
        <v/>
      </c>
    </row>
    <row r="44" spans="1:40" x14ac:dyDescent="0.25">
      <c r="A44" s="45" t="s">
        <v>155</v>
      </c>
      <c r="B44" s="159">
        <v>-1500</v>
      </c>
      <c r="C44" s="159">
        <v>-1500</v>
      </c>
      <c r="D44" s="160"/>
      <c r="E44" s="159"/>
      <c r="F44" s="160"/>
      <c r="G44" s="159"/>
      <c r="H44" s="160"/>
      <c r="I44" s="159"/>
      <c r="K44" s="9">
        <v>40</v>
      </c>
      <c r="L44" s="16">
        <f>IF($C$9&gt;=40,$F26-$L$85,"")</f>
        <v>13.5</v>
      </c>
      <c r="M44" s="16">
        <f>IF($C$9&gt;=40,$E26-$L$84,"")</f>
        <v>4.5</v>
      </c>
      <c r="N44" s="16">
        <f>IF($C$9&gt;=40,$L44^2,"")</f>
        <v>182.25</v>
      </c>
      <c r="O44" s="16">
        <f>IF($C$9&gt;=40,$M44^2,"")</f>
        <v>20.25</v>
      </c>
      <c r="P44" s="16">
        <f>IF($C$9&gt;=40,$L44*$M44,"")</f>
        <v>60.75</v>
      </c>
      <c r="Q44" s="17">
        <f>IF($C$9&gt;=40,$E26-$L$84,"")</f>
        <v>4.5</v>
      </c>
      <c r="R44" s="17">
        <f>IF($C$9&gt;=40,$F26-$L$85,"")</f>
        <v>13.5</v>
      </c>
      <c r="S44" s="18">
        <f>IF($C$9&gt;=40,(-$P$93/$C$9+($P$97*$L$86--$P$96*$L$89)/($L$86*$L$87-$L$89^2)*$Q44+(-$P$96*$L$87-$P$97*$L$89)/($L$86*$L$87-$L$89^2)*$R44),"")</f>
        <v>67.727272606611578</v>
      </c>
      <c r="T44" s="18">
        <f>IF($C$9&gt;=40,((($P$94/$C$9+$P$98*-$R44/$L$88)^2+($P$95/$C$9+$P$98*$Q44/$L$88)^2)^(1/2)),"")</f>
        <v>1.8027756377319946</v>
      </c>
      <c r="AD44" s="5"/>
      <c r="AE44" s="199" t="s">
        <v>212</v>
      </c>
      <c r="AF44" s="233">
        <f>IF($B$38&gt;=1,$B44*4.448222,"")</f>
        <v>-6672.3330000000005</v>
      </c>
      <c r="AG44" s="234">
        <f>IF($B$38&gt;=2,$C44*4.448222,"")</f>
        <v>-6672.3330000000005</v>
      </c>
      <c r="AH44" s="233" t="str">
        <f>IF($B$38&gt;=3,$D44*4.448222,"")</f>
        <v/>
      </c>
      <c r="AI44" s="234" t="str">
        <f>IF($B$38&gt;=4,$E44*4.448222,"")</f>
        <v/>
      </c>
      <c r="AJ44" s="233" t="str">
        <f>IF($B$38&gt;=5,$F44*4.448222,"")</f>
        <v/>
      </c>
      <c r="AK44" s="234" t="str">
        <f>IF($B$38&gt;=6,$G44*4.448222,"")</f>
        <v/>
      </c>
      <c r="AL44" s="233" t="str">
        <f>IF($B$38&gt;=7,$H44*4.448222,"")</f>
        <v/>
      </c>
      <c r="AM44" s="235" t="str">
        <f>IF($B$38&gt;=8,$I44*4.448222,"")</f>
        <v/>
      </c>
    </row>
    <row r="45" spans="1:40" x14ac:dyDescent="0.25">
      <c r="A45" s="45" t="s">
        <v>156</v>
      </c>
      <c r="B45" s="159">
        <v>-20</v>
      </c>
      <c r="C45" s="159">
        <v>-20</v>
      </c>
      <c r="D45" s="160"/>
      <c r="E45" s="159"/>
      <c r="F45" s="160"/>
      <c r="G45" s="159"/>
      <c r="H45" s="160"/>
      <c r="I45" s="159"/>
      <c r="J45" s="2"/>
      <c r="K45" s="9">
        <v>41</v>
      </c>
      <c r="L45" s="16" t="str">
        <f>IF($C$9&gt;=41,$F27-$L$85,"")</f>
        <v/>
      </c>
      <c r="M45" s="16" t="str">
        <f>IF($C$9&gt;=41,$E27-$L$84,"")</f>
        <v/>
      </c>
      <c r="N45" s="16" t="str">
        <f>IF($C$9&gt;=41,$L45^2,"")</f>
        <v/>
      </c>
      <c r="O45" s="16" t="str">
        <f>IF($C$9&gt;=41,$M45^2,"")</f>
        <v/>
      </c>
      <c r="P45" s="16" t="str">
        <f>IF($C$9&gt;=41,$L45*$M45,"")</f>
        <v/>
      </c>
      <c r="Q45" s="17" t="str">
        <f>IF($C$9&gt;=41,$E27-$L$84,"")</f>
        <v/>
      </c>
      <c r="R45" s="17" t="str">
        <f>IF($C$9&gt;=41,$F27-$L$85,"")</f>
        <v/>
      </c>
      <c r="S45" s="18" t="str">
        <f>IF($C$9&gt;=41,(-$P$93/$C$9+($P$97*$L$86--$P$96*$L$89)/($L$86*$L$87-$L$89^2)*$Q45+(-$P$96*$L$87-$P$97*$L$89)/($L$86*$L$87-$L$89^2)*$R45),"")</f>
        <v/>
      </c>
      <c r="T45" s="18" t="str">
        <f>IF($C$9&gt;=41,((($P$94/$C$9+$P$98*-$R45/$L$88)^2+($P$95/$C$9+$P$98*$Q45/$L$88)^2)^(1/2)),"")</f>
        <v/>
      </c>
      <c r="AD45" s="5"/>
      <c r="AE45" s="199" t="s">
        <v>213</v>
      </c>
      <c r="AF45" s="233">
        <f>IF($B$38&gt;=1,$B45*4.448222,"")</f>
        <v>-88.96444000000001</v>
      </c>
      <c r="AG45" s="234">
        <f>IF($B$38&gt;=2,$C45*4.448222,"")</f>
        <v>-88.96444000000001</v>
      </c>
      <c r="AH45" s="233" t="str">
        <f>IF($B$38&gt;=3,$D45*4.448222,"")</f>
        <v/>
      </c>
      <c r="AI45" s="234" t="str">
        <f>IF($B$38&gt;=4,$E45*4.448222,"")</f>
        <v/>
      </c>
      <c r="AJ45" s="233" t="str">
        <f>IF($B$38&gt;=5,$F45*4.448222,"")</f>
        <v/>
      </c>
      <c r="AK45" s="234" t="str">
        <f>IF($B$38&gt;=6,$G45*4.448222,"")</f>
        <v/>
      </c>
      <c r="AL45" s="233" t="str">
        <f>IF($B$38&gt;=7,$H45*4.448222,"")</f>
        <v/>
      </c>
      <c r="AM45" s="235" t="str">
        <f>IF($B$38&gt;=8,$I45*4.448222,"")</f>
        <v/>
      </c>
    </row>
    <row r="46" spans="1:40" x14ac:dyDescent="0.25">
      <c r="A46" s="45" t="s">
        <v>157</v>
      </c>
      <c r="B46" s="159">
        <v>-30</v>
      </c>
      <c r="C46" s="159">
        <v>-30</v>
      </c>
      <c r="D46" s="160"/>
      <c r="E46" s="159"/>
      <c r="F46" s="160"/>
      <c r="G46" s="159"/>
      <c r="H46" s="160"/>
      <c r="I46" s="159"/>
      <c r="J46" s="2"/>
      <c r="K46" s="9">
        <v>42</v>
      </c>
      <c r="L46" s="16" t="str">
        <f>IF($C$9&gt;=42,$F28-$L$85,"")</f>
        <v/>
      </c>
      <c r="M46" s="16" t="str">
        <f>IF($C$9&gt;=42,$E28-$L$84,"")</f>
        <v/>
      </c>
      <c r="N46" s="16" t="str">
        <f>IF($C$9&gt;=42,$L46^2,"")</f>
        <v/>
      </c>
      <c r="O46" s="16" t="str">
        <f>IF($C$9&gt;=42,$M46^2,"")</f>
        <v/>
      </c>
      <c r="P46" s="16" t="str">
        <f>IF($C$9&gt;=42,$L46*$M46,"")</f>
        <v/>
      </c>
      <c r="Q46" s="17" t="str">
        <f>IF($C$9&gt;=42,$E28-$L$84,"")</f>
        <v/>
      </c>
      <c r="R46" s="17" t="str">
        <f>IF($C$9&gt;=42,$F28-$L$85,"")</f>
        <v/>
      </c>
      <c r="S46" s="18" t="str">
        <f>IF($C$9&gt;=42,(-$P$93/$C$9+($P$97*$L$86--$P$96*$L$89)/($L$86*$L$87-$L$89^2)*$Q46+(-$P$96*$L$87-$P$97*$L$89)/($L$86*$L$87-$L$89^2)*$R46),"")</f>
        <v/>
      </c>
      <c r="T46" s="18" t="str">
        <f>IF($C$9&gt;=42,((($P$94/$C$9+$P$98*-$R46/$L$88)^2+($P$95/$C$9+$P$98*$Q46/$L$88)^2)^(1/2)),"")</f>
        <v/>
      </c>
      <c r="AD46" s="5"/>
      <c r="AE46" s="199" t="s">
        <v>214</v>
      </c>
      <c r="AF46" s="233">
        <f>IF($B$38&gt;=1,$B46*4.448222,"")</f>
        <v>-133.44666000000001</v>
      </c>
      <c r="AG46" s="234">
        <f>IF($B$38&gt;=2,$C46*4.448222,"")</f>
        <v>-133.44666000000001</v>
      </c>
      <c r="AH46" s="233" t="str">
        <f>IF($B$38&gt;=3,$D46*4.448222,"")</f>
        <v/>
      </c>
      <c r="AI46" s="234" t="str">
        <f>IF($B$38&gt;=4,$E46*4.448222,"")</f>
        <v/>
      </c>
      <c r="AJ46" s="233" t="str">
        <f>IF($B$38&gt;=5,$F46*4.448222,"")</f>
        <v/>
      </c>
      <c r="AK46" s="234" t="str">
        <f>IF($B$38&gt;=6,$G46*4.448222,"")</f>
        <v/>
      </c>
      <c r="AL46" s="233" t="str">
        <f>IF($B$38&gt;=7,$H46*4.448222,"")</f>
        <v/>
      </c>
      <c r="AM46" s="235" t="str">
        <f>IF($B$38&gt;=8,$I46*4.448222,"")</f>
        <v/>
      </c>
    </row>
    <row r="47" spans="1:40" x14ac:dyDescent="0.25">
      <c r="A47" s="45" t="s">
        <v>158</v>
      </c>
      <c r="B47" s="159">
        <v>100</v>
      </c>
      <c r="C47" s="159">
        <v>100</v>
      </c>
      <c r="D47" s="160"/>
      <c r="E47" s="159"/>
      <c r="F47" s="160"/>
      <c r="G47" s="159"/>
      <c r="H47" s="160"/>
      <c r="I47" s="159"/>
      <c r="J47" s="2"/>
      <c r="K47" s="9">
        <v>43</v>
      </c>
      <c r="L47" s="16" t="str">
        <f>IF($C$9&gt;=43,$F29-$L$85,"")</f>
        <v/>
      </c>
      <c r="M47" s="16" t="str">
        <f>IF($C$9&gt;=43,$E29-$L$84,"")</f>
        <v/>
      </c>
      <c r="N47" s="16" t="str">
        <f>IF($C$9&gt;=43,$L47^2,"")</f>
        <v/>
      </c>
      <c r="O47" s="16" t="str">
        <f>IF($C$9&gt;=43,$M47^2,"")</f>
        <v/>
      </c>
      <c r="P47" s="16" t="str">
        <f>IF($C$9&gt;=43,$L47*$M47,"")</f>
        <v/>
      </c>
      <c r="Q47" s="17" t="str">
        <f>IF($C$9&gt;=43,$E29-$L$84,"")</f>
        <v/>
      </c>
      <c r="R47" s="17" t="str">
        <f>IF($C$9&gt;=43,$F29-$L$85,"")</f>
        <v/>
      </c>
      <c r="S47" s="18" t="str">
        <f>IF($C$9&gt;=43,(-$P$93/$C$9+($P$97*$L$86--$P$96*$L$89)/($L$86*$L$87-$L$89^2)*$Q47+(-$P$96*$L$87-$P$97*$L$89)/($L$86*$L$87-$L$89^2)*$R47),"")</f>
        <v/>
      </c>
      <c r="T47" s="18" t="str">
        <f>IF($C$9&gt;=43,((($P$94/$C$9+$P$98*-$R47/$L$88)^2+($P$95/$C$9+$P$98*$Q47/$L$88)^2)^(1/2)),"")</f>
        <v/>
      </c>
      <c r="AD47" s="5"/>
      <c r="AE47" s="199" t="s">
        <v>215</v>
      </c>
      <c r="AF47" s="233">
        <f>IF($B$38&gt;=1,$B47*1.355818,"")</f>
        <v>135.58179999999999</v>
      </c>
      <c r="AG47" s="234">
        <f>IF($B$38&gt;=2,$C47*1.355818,"")</f>
        <v>135.58179999999999</v>
      </c>
      <c r="AH47" s="233" t="str">
        <f>IF($B$38&gt;=3,$D47*1.355818,"")</f>
        <v/>
      </c>
      <c r="AI47" s="234" t="str">
        <f>IF($B$38&gt;=4,$E47*1.355818,"")</f>
        <v/>
      </c>
      <c r="AJ47" s="233" t="str">
        <f>IF($B$38&gt;=5,$F47*1.355818,"")</f>
        <v/>
      </c>
      <c r="AK47" s="234" t="str">
        <f>IF($B$38&gt;=6,$G47*1.355818,"")</f>
        <v/>
      </c>
      <c r="AL47" s="233" t="str">
        <f>IF($B$38&gt;=7,$H47*1.355818,"")</f>
        <v/>
      </c>
      <c r="AM47" s="235" t="str">
        <f>IF($B$38&gt;=8,$I47*1.355818,"")</f>
        <v/>
      </c>
    </row>
    <row r="48" spans="1:40" x14ac:dyDescent="0.25">
      <c r="A48" s="45" t="s">
        <v>159</v>
      </c>
      <c r="B48" s="159">
        <v>-150</v>
      </c>
      <c r="C48" s="159">
        <v>-150</v>
      </c>
      <c r="D48" s="160"/>
      <c r="E48" s="159"/>
      <c r="F48" s="160"/>
      <c r="G48" s="159"/>
      <c r="H48" s="160"/>
      <c r="I48" s="159"/>
      <c r="J48" s="2"/>
      <c r="K48" s="9">
        <v>44</v>
      </c>
      <c r="L48" s="16" t="str">
        <f>IF($C$9&gt;=44,$F30-$L$85,"")</f>
        <v/>
      </c>
      <c r="M48" s="16" t="str">
        <f>IF($C$9&gt;=44,$E30-$L$84,"")</f>
        <v/>
      </c>
      <c r="N48" s="16" t="str">
        <f>IF($C$9&gt;=44,$L48^2,"")</f>
        <v/>
      </c>
      <c r="O48" s="16" t="str">
        <f>IF($C$9&gt;=44,$M48^2,"")</f>
        <v/>
      </c>
      <c r="P48" s="16" t="str">
        <f>IF($C$9&gt;=44,$L48*$M48,"")</f>
        <v/>
      </c>
      <c r="Q48" s="17" t="str">
        <f>IF($C$9&gt;=44,$E30-$L$84,"")</f>
        <v/>
      </c>
      <c r="R48" s="17" t="str">
        <f>IF($C$9&gt;=44,$F30-$L$85,"")</f>
        <v/>
      </c>
      <c r="S48" s="18" t="str">
        <f>IF($C$9&gt;=44,(-$P$93/$C$9+($P$97*$L$86--$P$96*$L$89)/($L$86*$L$87-$L$89^2)*$Q48+(-$P$96*$L$87-$P$97*$L$89)/($L$86*$L$87-$L$89^2)*$R48),"")</f>
        <v/>
      </c>
      <c r="T48" s="18" t="str">
        <f>IF($C$9&gt;=44,((($P$94/$C$9+$P$98*-$R48/$L$88)^2+($P$95/$C$9+$P$98*$Q48/$L$88)^2)^(1/2)),"")</f>
        <v/>
      </c>
      <c r="AD48" s="5"/>
      <c r="AE48" s="199" t="s">
        <v>216</v>
      </c>
      <c r="AF48" s="233">
        <f>IF($B$38&gt;=1,$B48*1.355818,"")</f>
        <v>-203.37270000000001</v>
      </c>
      <c r="AG48" s="234">
        <f>IF($B$38&gt;=2,$C48*1.355818,"")</f>
        <v>-203.37270000000001</v>
      </c>
      <c r="AH48" s="233" t="str">
        <f>IF($B$38&gt;=3,$D48*1.355818,"")</f>
        <v/>
      </c>
      <c r="AI48" s="234" t="str">
        <f>IF($B$38&gt;=4,$E48*1.355818,"")</f>
        <v/>
      </c>
      <c r="AJ48" s="233" t="str">
        <f>IF($B$38&gt;=5,$F48*1.355818,"")</f>
        <v/>
      </c>
      <c r="AK48" s="234" t="str">
        <f>IF($B$38&gt;=6,$G48*1.355818,"")</f>
        <v/>
      </c>
      <c r="AL48" s="233" t="str">
        <f>IF($B$38&gt;=7,$H48*1.355818,"")</f>
        <v/>
      </c>
      <c r="AM48" s="235" t="str">
        <f>IF($B$38&gt;=8,$I48*1.355818,"")</f>
        <v/>
      </c>
    </row>
    <row r="49" spans="1:41" x14ac:dyDescent="0.25">
      <c r="A49" s="45" t="s">
        <v>160</v>
      </c>
      <c r="B49" s="162">
        <v>0</v>
      </c>
      <c r="C49" s="162">
        <v>0</v>
      </c>
      <c r="D49" s="163"/>
      <c r="E49" s="162"/>
      <c r="F49" s="163"/>
      <c r="G49" s="162"/>
      <c r="H49" s="163"/>
      <c r="I49" s="162"/>
      <c r="K49" s="9">
        <v>45</v>
      </c>
      <c r="L49" s="16" t="str">
        <f>IF($C$9&gt;=45,$F31-$L$85,"")</f>
        <v/>
      </c>
      <c r="M49" s="16" t="str">
        <f>IF($C$9&gt;=45,$E31-$L$84,"")</f>
        <v/>
      </c>
      <c r="N49" s="16" t="str">
        <f>IF($C$9&gt;=45,$L49^2,"")</f>
        <v/>
      </c>
      <c r="O49" s="16" t="str">
        <f>IF($C$9&gt;=45,$M49^2,"")</f>
        <v/>
      </c>
      <c r="P49" s="16" t="str">
        <f>IF($C$9&gt;=45,$L49*$M49,"")</f>
        <v/>
      </c>
      <c r="Q49" s="17" t="str">
        <f>IF($C$9&gt;=45,$E31-$L$84,"")</f>
        <v/>
      </c>
      <c r="R49" s="17" t="str">
        <f>IF($C$9&gt;=45,$F31-$L$85,"")</f>
        <v/>
      </c>
      <c r="S49" s="18" t="str">
        <f>IF($C$9&gt;=45,(-$P$93/$C$9+($P$97*$L$86--$P$96*$L$89)/($L$86*$L$87-$L$89^2)*$Q49+(-$P$96*$L$87-$P$97*$L$89)/($L$86*$L$87-$L$89^2)*$R49),"")</f>
        <v/>
      </c>
      <c r="T49" s="18" t="str">
        <f>IF($C$9&gt;=45,((($P$94/$C$9+$P$98*-$R49/$L$88)^2+($P$95/$C$9+$P$98*$Q49/$L$88)^2)^(1/2)),"")</f>
        <v/>
      </c>
      <c r="AD49" s="5"/>
      <c r="AE49" s="199" t="s">
        <v>217</v>
      </c>
      <c r="AF49" s="236">
        <f>IF($B$38&gt;=1,$B49*1.355818,"")</f>
        <v>0</v>
      </c>
      <c r="AG49" s="237">
        <f>IF($B$38&gt;=2,$C49*1.355818,"")</f>
        <v>0</v>
      </c>
      <c r="AH49" s="236" t="str">
        <f>IF($B$38&gt;=3,$D49*1.355818,"")</f>
        <v/>
      </c>
      <c r="AI49" s="237" t="str">
        <f>IF($B$38&gt;=4,$E49*1.355818,"")</f>
        <v/>
      </c>
      <c r="AJ49" s="236" t="str">
        <f>IF($B$38&gt;=5,$F49*1.355818,"")</f>
        <v/>
      </c>
      <c r="AK49" s="237" t="str">
        <f>IF($B$38&gt;=6,$G49*1.355818,"")</f>
        <v/>
      </c>
      <c r="AL49" s="236" t="str">
        <f>IF($B$38&gt;=7,$H49*1.355818,"")</f>
        <v/>
      </c>
      <c r="AM49" s="238" t="str">
        <f>IF($B$38&gt;=8,$I49*1.355818,"")</f>
        <v/>
      </c>
    </row>
    <row r="50" spans="1:41" x14ac:dyDescent="0.25">
      <c r="A50" s="48"/>
      <c r="B50" s="54"/>
      <c r="C50" s="54"/>
      <c r="D50" s="54"/>
      <c r="E50" s="54"/>
      <c r="F50" s="54"/>
      <c r="G50" s="54"/>
      <c r="H50" s="54"/>
      <c r="I50" s="60"/>
      <c r="K50" s="9">
        <v>46</v>
      </c>
      <c r="L50" s="16" t="str">
        <f>IF($C$9&gt;=46,$F32-$L$85,"")</f>
        <v/>
      </c>
      <c r="M50" s="16" t="str">
        <f>IF($C$9&gt;=46,$E32-$L$84,"")</f>
        <v/>
      </c>
      <c r="N50" s="16" t="str">
        <f>IF($C$9&gt;=46,$L50^2,"")</f>
        <v/>
      </c>
      <c r="O50" s="16" t="str">
        <f>IF($C$9&gt;=46,$M50^2,"")</f>
        <v/>
      </c>
      <c r="P50" s="16" t="str">
        <f>IF($C$9&gt;=46,$L50*$M50,"")</f>
        <v/>
      </c>
      <c r="Q50" s="17" t="str">
        <f>IF($C$9&gt;=46,$E32-$L$84,"")</f>
        <v/>
      </c>
      <c r="R50" s="17" t="str">
        <f>IF($C$9&gt;=46,$F32-$L$85,"")</f>
        <v/>
      </c>
      <c r="S50" s="18" t="str">
        <f>IF($C$9&gt;=46,(-$P$93/$C$9+($P$97*$L$86--$P$96*$L$89)/($L$86*$L$87-$L$89^2)*$Q50+(-$P$96*$L$87-$P$97*$L$89)/($L$86*$L$87-$L$89^2)*$R50),"")</f>
        <v/>
      </c>
      <c r="T50" s="18" t="str">
        <f>IF($C$9&gt;=46,((($P$94/$C$9+$P$98*-$R50/$L$88)^2+($P$95/$C$9+$P$98*$Q50/$L$88)^2)^(1/2)),"")</f>
        <v/>
      </c>
      <c r="AD50" s="5"/>
      <c r="AE50" s="8"/>
      <c r="AF50" s="8"/>
      <c r="AG50" s="8"/>
      <c r="AH50" s="8"/>
      <c r="AI50" s="8"/>
      <c r="AJ50" s="8"/>
      <c r="AK50" s="8"/>
      <c r="AL50" s="8"/>
      <c r="AM50" s="8"/>
    </row>
    <row r="51" spans="1:41" x14ac:dyDescent="0.25">
      <c r="A51" s="48"/>
      <c r="B51" s="54"/>
      <c r="C51" s="54"/>
      <c r="D51" s="54"/>
      <c r="E51" s="54"/>
      <c r="F51" s="54"/>
      <c r="G51" s="54"/>
      <c r="H51" s="54"/>
      <c r="I51" s="60"/>
      <c r="K51" s="9">
        <v>47</v>
      </c>
      <c r="L51" s="16" t="str">
        <f>IF($C$9&gt;=47,$F33-$L$85,"")</f>
        <v/>
      </c>
      <c r="M51" s="16" t="str">
        <f>IF($C$9&gt;=47,$E33-$L$84,"")</f>
        <v/>
      </c>
      <c r="N51" s="16" t="str">
        <f>IF($C$9&gt;=47,$L51^2,"")</f>
        <v/>
      </c>
      <c r="O51" s="16" t="str">
        <f>IF($C$9&gt;=47,$M51^2,"")</f>
        <v/>
      </c>
      <c r="P51" s="16" t="str">
        <f>IF($C$9&gt;=47,$L51*$M51,"")</f>
        <v/>
      </c>
      <c r="Q51" s="17" t="str">
        <f>IF($C$9&gt;=47,$E33-$L$84,"")</f>
        <v/>
      </c>
      <c r="R51" s="17" t="str">
        <f>IF($C$9&gt;=47,$F33-$L$85,"")</f>
        <v/>
      </c>
      <c r="S51" s="18" t="str">
        <f>IF($C$9&gt;=47,(-$P$93/$C$9+($P$97*$L$86--$P$96*$L$89)/($L$86*$L$87-$L$89^2)*$Q51+(-$P$96*$L$87-$P$97*$L$89)/($L$86*$L$87-$L$89^2)*$R51),"")</f>
        <v/>
      </c>
      <c r="T51" s="18" t="str">
        <f>IF($C$9&gt;=47,((($P$94/$C$9+$P$98*-$R51/$L$88)^2+($P$95/$C$9+$P$98*$Q51/$L$88)^2)^(1/2)),"")</f>
        <v/>
      </c>
      <c r="AD51" s="8"/>
      <c r="AE51" s="8"/>
      <c r="AF51" s="8"/>
      <c r="AG51" s="8"/>
      <c r="AH51" s="8"/>
      <c r="AI51" s="8"/>
      <c r="AJ51" s="8"/>
      <c r="AK51" s="8"/>
      <c r="AL51" s="8"/>
      <c r="AM51" s="8"/>
    </row>
    <row r="52" spans="1:41" x14ac:dyDescent="0.25">
      <c r="A52" s="79"/>
      <c r="B52" s="106"/>
      <c r="C52" s="106"/>
      <c r="D52" s="106"/>
      <c r="E52" s="106"/>
      <c r="F52" s="106"/>
      <c r="G52" s="106"/>
      <c r="H52" s="106"/>
      <c r="I52" s="119" t="s">
        <v>105</v>
      </c>
      <c r="K52" s="9">
        <v>48</v>
      </c>
      <c r="L52" s="16" t="str">
        <f>IF($C$9&gt;=48,$F34-$L$85,"")</f>
        <v/>
      </c>
      <c r="M52" s="16" t="str">
        <f>IF($C$9&gt;=48,$E34-$L$84,"")</f>
        <v/>
      </c>
      <c r="N52" s="16" t="str">
        <f>IF($C$9&gt;=48,$L52^2,"")</f>
        <v/>
      </c>
      <c r="O52" s="16" t="str">
        <f>IF($C$9&gt;=48,$M52^2,"")</f>
        <v/>
      </c>
      <c r="P52" s="16" t="str">
        <f>IF($C$9&gt;=48,$L52*$M52,"")</f>
        <v/>
      </c>
      <c r="Q52" s="17" t="str">
        <f>IF($C$9&gt;=48,$E34-$L$84,"")</f>
        <v/>
      </c>
      <c r="R52" s="17" t="str">
        <f>IF($C$9&gt;=48,$F34-$L$85,"")</f>
        <v/>
      </c>
      <c r="S52" s="18" t="str">
        <f>IF($C$9&gt;=48,(-$P$93/$C$9+($P$97*$L$86--$P$96*$L$89)/($L$86*$L$87-$L$89^2)*$Q52+(-$P$96*$L$87-$P$97*$L$89)/($L$86*$L$87-$L$89^2)*$R52),"")</f>
        <v/>
      </c>
      <c r="T52" s="18" t="str">
        <f>IF($C$9&gt;=48,((($P$94/$C$9+$P$98*-$R52/$L$88)^2+($P$95/$C$9+$P$98*$Q52/$L$88)^2)^(1/2)),"")</f>
        <v/>
      </c>
      <c r="AD52" s="197" t="s">
        <v>181</v>
      </c>
      <c r="AE52" s="198"/>
      <c r="AF52" s="198"/>
      <c r="AG52" s="198"/>
      <c r="AH52" s="198"/>
      <c r="AI52" s="198"/>
      <c r="AJ52" s="92"/>
      <c r="AK52" s="92"/>
      <c r="AL52" s="92"/>
      <c r="AM52" s="92"/>
      <c r="AN52" s="92"/>
      <c r="AO52" s="92"/>
    </row>
    <row r="53" spans="1:41" x14ac:dyDescent="0.25">
      <c r="A53" s="100"/>
      <c r="B53" s="101"/>
      <c r="C53" s="101"/>
      <c r="D53" s="101"/>
      <c r="E53" s="101"/>
      <c r="F53" s="101"/>
      <c r="G53" s="101"/>
      <c r="H53" s="101"/>
      <c r="I53" s="55"/>
      <c r="K53" s="9">
        <v>49</v>
      </c>
      <c r="L53" s="16" t="str">
        <f>IF($C$9&gt;=49,$F35-$L$85,"")</f>
        <v/>
      </c>
      <c r="M53" s="16" t="str">
        <f>IF($C$9&gt;=49,$E35-$L$84,"")</f>
        <v/>
      </c>
      <c r="N53" s="16" t="str">
        <f>IF($C$9&gt;=49,$L53^2,"")</f>
        <v/>
      </c>
      <c r="O53" s="16" t="str">
        <f>IF($C$9&gt;=49,$M53^2,"")</f>
        <v/>
      </c>
      <c r="P53" s="16" t="str">
        <f>IF($C$9&gt;=49,$L53*$M53,"")</f>
        <v/>
      </c>
      <c r="Q53" s="17" t="str">
        <f>IF($C$9&gt;=49,$E35-$L$84,"")</f>
        <v/>
      </c>
      <c r="R53" s="17" t="str">
        <f>IF($C$9&gt;=49,$F35-$L$85,"")</f>
        <v/>
      </c>
      <c r="S53" s="18" t="str">
        <f>IF($C$9&gt;=49,(-$P$93/$C$9+($P$97*$L$86--$P$96*$L$89)/($L$86*$L$87-$L$89^2)*$Q53+(-$P$96*$L$87-$P$97*$L$89)/($L$86*$L$87-$L$89^2)*$R53),"")</f>
        <v/>
      </c>
      <c r="T53" s="18" t="str">
        <f>IF($C$9&gt;=49,((($P$94/$C$9+$P$98*-$R53/$L$88)^2+($P$95/$C$9+$P$98*$Q53/$L$88)^2)^(1/2)),"")</f>
        <v/>
      </c>
      <c r="AD53" s="201"/>
      <c r="AE53" s="201"/>
      <c r="AF53" s="201"/>
      <c r="AG53" s="201"/>
      <c r="AH53" s="201"/>
      <c r="AI53" s="201"/>
      <c r="AJ53" s="92"/>
      <c r="AK53" s="92"/>
      <c r="AL53" s="92"/>
      <c r="AM53" s="92"/>
      <c r="AN53" s="92"/>
      <c r="AO53" s="92"/>
    </row>
    <row r="54" spans="1:41" x14ac:dyDescent="0.25">
      <c r="A54" s="131" t="s">
        <v>41</v>
      </c>
      <c r="B54" s="81"/>
      <c r="C54" s="82"/>
      <c r="D54" s="82"/>
      <c r="E54" s="54"/>
      <c r="F54" s="54"/>
      <c r="G54" s="54"/>
      <c r="H54" s="83"/>
      <c r="I54" s="60"/>
      <c r="K54" s="9">
        <v>50</v>
      </c>
      <c r="L54" s="16" t="str">
        <f>IF($C$9&gt;=50,$F36-$L$85,"")</f>
        <v/>
      </c>
      <c r="M54" s="16" t="str">
        <f>IF($C$9&gt;=50,$E36-$L$84,"")</f>
        <v/>
      </c>
      <c r="N54" s="16" t="str">
        <f>IF($C$9&gt;=50,$L54^2,"")</f>
        <v/>
      </c>
      <c r="O54" s="16" t="str">
        <f>IF($C$9&gt;=50,$M54^2,"")</f>
        <v/>
      </c>
      <c r="P54" s="16" t="str">
        <f>IF($C$9&gt;=50,$L54*$M54,"")</f>
        <v/>
      </c>
      <c r="Q54" s="17" t="str">
        <f>IF($C$9&gt;=50,$E36-$L$84,"")</f>
        <v/>
      </c>
      <c r="R54" s="17" t="str">
        <f>IF($C$9&gt;=50,$F36-$L$85,"")</f>
        <v/>
      </c>
      <c r="S54" s="18" t="str">
        <f>IF($C$9&gt;=50,(-$P$93/$C$9+($P$97*$L$86--$P$96*$L$89)/($L$86*$L$87-$L$89^2)*$Q54+(-$P$96*$L$87-$P$97*$L$89)/($L$86*$L$87-$L$89^2)*$R54),"")</f>
        <v/>
      </c>
      <c r="T54" s="18" t="str">
        <f>IF($C$9&gt;=50,((($P$94/$C$9+$P$98*-$R54/$L$88)^2+($P$95/$C$9+$P$98*$Q54/$L$88)^2)^(1/2)),"")</f>
        <v/>
      </c>
      <c r="AD54" s="223" t="s">
        <v>236</v>
      </c>
      <c r="AE54" s="204"/>
      <c r="AF54" s="205"/>
      <c r="AG54" s="205"/>
      <c r="AH54" s="205"/>
      <c r="AI54" s="205"/>
      <c r="AJ54" s="92"/>
      <c r="AK54" s="92"/>
      <c r="AL54" s="92"/>
      <c r="AM54" s="92"/>
      <c r="AN54" s="92"/>
      <c r="AO54" s="92"/>
    </row>
    <row r="55" spans="1:41" x14ac:dyDescent="0.25">
      <c r="A55" s="102" t="s">
        <v>32</v>
      </c>
      <c r="B55" s="53"/>
      <c r="C55" s="53"/>
      <c r="D55" s="54"/>
      <c r="E55" s="54"/>
      <c r="F55" s="54"/>
      <c r="G55" s="54"/>
      <c r="H55" s="54"/>
      <c r="I55" s="60"/>
      <c r="K55" s="9">
        <v>51</v>
      </c>
      <c r="L55" s="16" t="str">
        <f>IF($C$9&gt;=51,$I12-$L$85,"")</f>
        <v/>
      </c>
      <c r="M55" s="16" t="str">
        <f>IF($C$9&gt;=51,$H12-$L$84,"")</f>
        <v/>
      </c>
      <c r="N55" s="16" t="str">
        <f>IF($C$9&gt;=51,$L55^2,"")</f>
        <v/>
      </c>
      <c r="O55" s="16" t="str">
        <f>IF($C$9&gt;=51,$M55^2,"")</f>
        <v/>
      </c>
      <c r="P55" s="16" t="str">
        <f>IF($C$9&gt;=51,$L55*$M55,"")</f>
        <v/>
      </c>
      <c r="Q55" s="17" t="str">
        <f>IF($C$9&gt;=51,$H12-$L$84,"")</f>
        <v/>
      </c>
      <c r="R55" s="17" t="str">
        <f>IF($C$9&gt;=51,$I12-$L$85,"")</f>
        <v/>
      </c>
      <c r="S55" s="18" t="str">
        <f>IF($C$9&gt;=51,(-$P$93/$C$9+($P$97*$L$86--$P$96*$L$89)/($L$86*$L$87-$L$89^2)*$Q55+(-$P$96*$L$87-$P$97*$L$89)/($L$86*$L$87-$L$89^2)*$R55),"")</f>
        <v/>
      </c>
      <c r="T55" s="18" t="str">
        <f>IF($C$9&gt;=51,((($P$94/$C$9+$P$98*-$R55/$L$88)^2+($P$95/$C$9+$P$98*$Q55/$L$88)^2)^(1/2)),"")</f>
        <v/>
      </c>
      <c r="AD55" s="241" t="s">
        <v>237</v>
      </c>
      <c r="AE55" s="204"/>
      <c r="AF55" s="202"/>
      <c r="AG55" s="202"/>
      <c r="AH55" s="202"/>
      <c r="AI55" s="202"/>
      <c r="AJ55" s="92"/>
      <c r="AK55" s="92"/>
      <c r="AL55" s="92"/>
      <c r="AM55" s="92"/>
      <c r="AN55" s="92"/>
      <c r="AO55" s="92"/>
    </row>
    <row r="56" spans="1:41" x14ac:dyDescent="0.25">
      <c r="A56" s="103" t="s">
        <v>5</v>
      </c>
      <c r="B56" s="149">
        <f t="shared" ref="B56:B62" si="0">$L84</f>
        <v>4.5</v>
      </c>
      <c r="C56" s="116" t="s">
        <v>42</v>
      </c>
      <c r="D56" s="54"/>
      <c r="E56" s="54"/>
      <c r="F56" s="54"/>
      <c r="G56" s="54"/>
      <c r="H56" s="72"/>
      <c r="I56" s="60"/>
      <c r="K56" s="9">
        <v>52</v>
      </c>
      <c r="L56" s="16" t="str">
        <f>IF($C$9&gt;=52,$I13-$L$85,"")</f>
        <v/>
      </c>
      <c r="M56" s="16" t="str">
        <f>IF($C$9&gt;=52,$H13-$L$84,"")</f>
        <v/>
      </c>
      <c r="N56" s="16" t="str">
        <f>IF($C$9&gt;=52,$L56^2,"")</f>
        <v/>
      </c>
      <c r="O56" s="16" t="str">
        <f>IF($C$9&gt;=52,$M56^2,"")</f>
        <v/>
      </c>
      <c r="P56" s="16" t="str">
        <f>IF($C$9&gt;=52,$L56*$M56,"")</f>
        <v/>
      </c>
      <c r="Q56" s="17" t="str">
        <f>IF($C$9&gt;=52,$H13-$L$84,"")</f>
        <v/>
      </c>
      <c r="R56" s="17" t="str">
        <f>IF($C$9&gt;=52,$I13-$L$85,"")</f>
        <v/>
      </c>
      <c r="S56" s="18" t="str">
        <f>IF($C$9&gt;=52,(-$P$93/$C$9+($P$97*$L$86--$P$96*$L$89)/($L$86*$L$87-$L$89^2)*$Q56+(-$P$96*$L$87-$P$97*$L$89)/($L$86*$L$87-$L$89^2)*$R56),"")</f>
        <v/>
      </c>
      <c r="T56" s="18" t="str">
        <f>IF($C$9&gt;=52,((($P$94/$C$9+$P$98*-$R56/$L$88)^2+($P$95/$C$9+$P$98*$Q56/$L$88)^2)^(1/2)),"")</f>
        <v/>
      </c>
      <c r="AD56" s="200"/>
      <c r="AE56" s="200"/>
      <c r="AF56" s="200"/>
      <c r="AG56" s="200"/>
      <c r="AH56" s="200"/>
      <c r="AI56" s="200"/>
      <c r="AJ56" s="92"/>
      <c r="AK56" s="92"/>
      <c r="AL56" s="92"/>
      <c r="AM56" s="92"/>
      <c r="AN56" s="92"/>
      <c r="AO56" s="92"/>
    </row>
    <row r="57" spans="1:41" x14ac:dyDescent="0.25">
      <c r="A57" s="103" t="s">
        <v>6</v>
      </c>
      <c r="B57" s="150">
        <f t="shared" si="0"/>
        <v>13.5</v>
      </c>
      <c r="C57" s="116" t="s">
        <v>42</v>
      </c>
      <c r="D57" s="54"/>
      <c r="E57" s="54"/>
      <c r="F57" s="54"/>
      <c r="G57" s="54"/>
      <c r="H57" s="54"/>
      <c r="I57" s="75"/>
      <c r="K57" s="9">
        <v>53</v>
      </c>
      <c r="L57" s="16" t="str">
        <f>IF($C$9&gt;=53,$I14-$L$85,"")</f>
        <v/>
      </c>
      <c r="M57" s="16" t="str">
        <f>IF($C$9&gt;=53,$H14-$L$84,"")</f>
        <v/>
      </c>
      <c r="N57" s="16" t="str">
        <f>IF($C$9&gt;=53,$L57^2,"")</f>
        <v/>
      </c>
      <c r="O57" s="16" t="str">
        <f>IF($C$9&gt;=53,$M57^2,"")</f>
        <v/>
      </c>
      <c r="P57" s="16" t="str">
        <f>IF($C$9&gt;=53,$L57*$M57,"")</f>
        <v/>
      </c>
      <c r="Q57" s="17" t="str">
        <f>IF($C$9&gt;=53,$H14-$L$84,"")</f>
        <v/>
      </c>
      <c r="R57" s="17" t="str">
        <f>IF($C$9&gt;=53,$I14-$L$85,"")</f>
        <v/>
      </c>
      <c r="S57" s="18" t="str">
        <f>IF($C$9&gt;=53,(-$P$93/$C$9+($P$97*$L$86--$P$96*$L$89)/($L$86*$L$87-$L$89^2)*$Q57+(-$P$96*$L$87-$P$97*$L$89)/($L$86*$L$87-$L$89^2)*$R57),"")</f>
        <v/>
      </c>
      <c r="T57" s="18" t="str">
        <f>IF($C$9&gt;=53,((($P$94/$C$9+$P$98*-$R57/$L$88)^2+($P$95/$C$9+$P$98*$Q57/$L$88)^2)^(1/2)),"")</f>
        <v/>
      </c>
      <c r="AD57" s="223" t="s">
        <v>190</v>
      </c>
      <c r="AE57" s="200"/>
      <c r="AF57" s="200"/>
      <c r="AG57" s="200"/>
      <c r="AH57" s="200"/>
      <c r="AI57" s="200"/>
      <c r="AJ57" s="92"/>
      <c r="AK57" s="92"/>
      <c r="AL57" s="92"/>
      <c r="AM57" s="92"/>
      <c r="AN57" s="92"/>
      <c r="AO57" s="92"/>
    </row>
    <row r="58" spans="1:41" x14ac:dyDescent="0.25">
      <c r="A58" s="104" t="s">
        <v>92</v>
      </c>
      <c r="B58" s="151">
        <f t="shared" si="0"/>
        <v>2969.9999730000009</v>
      </c>
      <c r="C58" s="117" t="s">
        <v>261</v>
      </c>
      <c r="D58" s="54"/>
      <c r="E58" s="54"/>
      <c r="F58" s="54"/>
      <c r="G58" s="74"/>
      <c r="H58" s="74"/>
      <c r="I58" s="75"/>
      <c r="K58" s="9">
        <v>54</v>
      </c>
      <c r="L58" s="16" t="str">
        <f>IF($C$9&gt;=54,$I15-$L$85,"")</f>
        <v/>
      </c>
      <c r="M58" s="16" t="str">
        <f>IF($C$9&gt;=54,$H15-$L$84,"")</f>
        <v/>
      </c>
      <c r="N58" s="16" t="str">
        <f>IF($C$9&gt;=54,$L58^2,"")</f>
        <v/>
      </c>
      <c r="O58" s="16" t="str">
        <f>IF($C$9&gt;=54,$M58^2,"")</f>
        <v/>
      </c>
      <c r="P58" s="16" t="str">
        <f>IF($C$9&gt;=54,$L58*$M58,"")</f>
        <v/>
      </c>
      <c r="Q58" s="17" t="str">
        <f>IF($C$9&gt;=54,$H15-$L$84,"")</f>
        <v/>
      </c>
      <c r="R58" s="17" t="str">
        <f>IF($C$9&gt;=54,$I15-$L$85,"")</f>
        <v/>
      </c>
      <c r="S58" s="18" t="str">
        <f>IF($C$9&gt;=54,(-$P$93/$C$9+($P$97*$L$86--$P$96*$L$89)/($L$86*$L$87-$L$89^2)*$Q58+(-$P$96*$L$87-$P$97*$L$89)/($L$86*$L$87-$L$89^2)*$R58),"")</f>
        <v/>
      </c>
      <c r="T58" s="18" t="str">
        <f>IF($C$9&gt;=54,((($P$94/$C$9+$P$98*-$R58/$L$88)^2+($P$95/$C$9+$P$98*$Q58/$L$88)^2)^(1/2)),"")</f>
        <v/>
      </c>
      <c r="AD58" s="202"/>
      <c r="AE58" s="206"/>
      <c r="AF58" s="199" t="s">
        <v>182</v>
      </c>
      <c r="AG58" s="207">
        <v>8</v>
      </c>
      <c r="AH58" s="200"/>
      <c r="AI58" s="200"/>
      <c r="AJ58" s="92"/>
      <c r="AK58" s="92"/>
      <c r="AL58" s="92"/>
      <c r="AM58" s="92"/>
      <c r="AN58" s="92"/>
      <c r="AO58" s="92"/>
    </row>
    <row r="59" spans="1:41" x14ac:dyDescent="0.25">
      <c r="A59" s="104" t="s">
        <v>93</v>
      </c>
      <c r="B59" s="151">
        <f t="shared" si="0"/>
        <v>449.99999100000099</v>
      </c>
      <c r="C59" s="117" t="s">
        <v>261</v>
      </c>
      <c r="D59" s="54"/>
      <c r="E59" s="54"/>
      <c r="F59" s="54"/>
      <c r="G59" s="74"/>
      <c r="H59" s="74"/>
      <c r="I59" s="60"/>
      <c r="K59" s="9">
        <v>55</v>
      </c>
      <c r="L59" s="16" t="str">
        <f>IF($C$9&gt;=55,$I16-$L$85,"")</f>
        <v/>
      </c>
      <c r="M59" s="16" t="str">
        <f>IF($C$9&gt;=55,$H16-$L$84,"")</f>
        <v/>
      </c>
      <c r="N59" s="16" t="str">
        <f>IF($C$9&gt;=55,$L59^2,"")</f>
        <v/>
      </c>
      <c r="O59" s="16" t="str">
        <f>IF($C$9&gt;=55,$M59^2,"")</f>
        <v/>
      </c>
      <c r="P59" s="16" t="str">
        <f>IF($C$9&gt;=55,$L59*$M59,"")</f>
        <v/>
      </c>
      <c r="Q59" s="17" t="str">
        <f>IF($C$9&gt;=55,$H16-$L$84,"")</f>
        <v/>
      </c>
      <c r="R59" s="17" t="str">
        <f>IF($C$9&gt;=55,$I16-$L$85,"")</f>
        <v/>
      </c>
      <c r="S59" s="18" t="str">
        <f>IF($C$9&gt;=55,(-$P$93/$C$9+($P$97*$L$86--$P$96*$L$89)/($L$86*$L$87-$L$89^2)*$Q59+(-$P$96*$L$87-$P$97*$L$89)/($L$86*$L$87-$L$89^2)*$R59),"")</f>
        <v/>
      </c>
      <c r="T59" s="18" t="str">
        <f>IF($C$9&gt;=55,((($P$94/$C$9+$P$98*-$R59/$L$88)^2+($P$95/$C$9+$P$98*$Q59/$L$88)^2)^(1/2)),"")</f>
        <v/>
      </c>
      <c r="AD59" s="202"/>
      <c r="AE59" s="200"/>
      <c r="AF59" s="208" t="s">
        <v>183</v>
      </c>
      <c r="AG59" s="209">
        <v>24</v>
      </c>
      <c r="AH59" s="210" t="s">
        <v>42</v>
      </c>
      <c r="AI59" s="200"/>
      <c r="AJ59" s="92"/>
      <c r="AK59" s="92"/>
      <c r="AL59" s="92"/>
      <c r="AM59" s="92"/>
      <c r="AN59" s="92"/>
      <c r="AO59" s="92"/>
    </row>
    <row r="60" spans="1:41" x14ac:dyDescent="0.25">
      <c r="A60" s="104" t="s">
        <v>22</v>
      </c>
      <c r="B60" s="151">
        <f t="shared" si="0"/>
        <v>3419.9999640000019</v>
      </c>
      <c r="C60" s="117" t="s">
        <v>261</v>
      </c>
      <c r="D60" s="54"/>
      <c r="E60" s="54"/>
      <c r="F60" s="54"/>
      <c r="G60" s="74"/>
      <c r="H60" s="54"/>
      <c r="I60" s="60"/>
      <c r="K60" s="9">
        <v>56</v>
      </c>
      <c r="L60" s="16" t="str">
        <f>IF($C$9&gt;=56,$I17-$L$85,"")</f>
        <v/>
      </c>
      <c r="M60" s="16" t="str">
        <f>IF($C$9&gt;=56,$H17-$L$84,"")</f>
        <v/>
      </c>
      <c r="N60" s="16" t="str">
        <f>IF($C$9&gt;=56,$L60^2,"")</f>
        <v/>
      </c>
      <c r="O60" s="16" t="str">
        <f>IF($C$9&gt;=56,$M60^2,"")</f>
        <v/>
      </c>
      <c r="P60" s="16" t="str">
        <f>IF($C$9&gt;=56,$L60*$M60,"")</f>
        <v/>
      </c>
      <c r="Q60" s="17" t="str">
        <f>IF($C$9&gt;=56,$H17-$L$84,"")</f>
        <v/>
      </c>
      <c r="R60" s="17" t="str">
        <f>IF($C$9&gt;=56,$I17-$L$85,"")</f>
        <v/>
      </c>
      <c r="S60" s="18" t="str">
        <f>IF($C$9&gt;=56,(-$P$93/$C$9+($P$97*$L$86--$P$96*$L$89)/($L$86*$L$87-$L$89^2)*$Q60+(-$P$96*$L$87-$P$97*$L$89)/($L$86*$L$87-$L$89^2)*$R60),"")</f>
        <v/>
      </c>
      <c r="T60" s="18" t="str">
        <f>IF($C$9&gt;=56,((($P$94/$C$9+$P$98*-$R60/$L$88)^2+($P$95/$C$9+$P$98*$Q60/$L$88)^2)^(1/2)),"")</f>
        <v/>
      </c>
      <c r="AD60" s="200"/>
      <c r="AE60" s="200"/>
      <c r="AF60" s="208" t="s">
        <v>175</v>
      </c>
      <c r="AG60" s="209">
        <v>12</v>
      </c>
      <c r="AH60" s="210" t="s">
        <v>42</v>
      </c>
      <c r="AI60" s="225" t="str">
        <f>IF($AG$60&lt;$AG$59/2,"Xo MUST BE &gt;= Dc/2","")</f>
        <v/>
      </c>
      <c r="AJ60" s="92"/>
      <c r="AK60" s="92"/>
      <c r="AL60" s="92"/>
      <c r="AM60" s="92"/>
      <c r="AN60" s="92"/>
      <c r="AO60" s="92"/>
    </row>
    <row r="61" spans="1:41" x14ac:dyDescent="0.25">
      <c r="A61" s="104" t="s">
        <v>94</v>
      </c>
      <c r="B61" s="151">
        <f t="shared" si="0"/>
        <v>0</v>
      </c>
      <c r="C61" s="117" t="s">
        <v>261</v>
      </c>
      <c r="D61" s="54"/>
      <c r="E61" s="54"/>
      <c r="F61" s="54"/>
      <c r="G61" s="54"/>
      <c r="H61" s="54"/>
      <c r="I61" s="60"/>
      <c r="K61" s="9">
        <v>57</v>
      </c>
      <c r="L61" s="16" t="str">
        <f>IF($C$9&gt;=57,$I18-$L$85,"")</f>
        <v/>
      </c>
      <c r="M61" s="16" t="str">
        <f>IF($C$9&gt;=57,$H18-$L$84,"")</f>
        <v/>
      </c>
      <c r="N61" s="16" t="str">
        <f>IF($C$9&gt;=57,$L61^2,"")</f>
        <v/>
      </c>
      <c r="O61" s="16" t="str">
        <f>IF($C$9&gt;=57,$M61^2,"")</f>
        <v/>
      </c>
      <c r="P61" s="16" t="str">
        <f>IF($C$9&gt;=57,$L61*$M61,"")</f>
        <v/>
      </c>
      <c r="Q61" s="17" t="str">
        <f>IF($C$9&gt;=57,$H18-$L$84,"")</f>
        <v/>
      </c>
      <c r="R61" s="17" t="str">
        <f>IF($C$9&gt;=57,$I18-$L$85,"")</f>
        <v/>
      </c>
      <c r="S61" s="18" t="str">
        <f>IF($C$9&gt;=57,(-$P$93/$C$9+($P$97*$L$86--$P$96*$L$89)/($L$86*$L$87-$L$89^2)*$Q61+(-$P$96*$L$87-$P$97*$L$89)/($L$86*$L$87-$L$89^2)*$R61),"")</f>
        <v/>
      </c>
      <c r="T61" s="18" t="str">
        <f>IF($C$9&gt;=57,((($P$94/$C$9+$P$98*-$R61/$L$88)^2+($P$95/$C$9+$P$98*$Q61/$L$88)^2)^(1/2)),"")</f>
        <v/>
      </c>
      <c r="AD61" s="200"/>
      <c r="AE61" s="200"/>
      <c r="AF61" s="208" t="s">
        <v>176</v>
      </c>
      <c r="AG61" s="209">
        <v>12</v>
      </c>
      <c r="AH61" s="210" t="s">
        <v>42</v>
      </c>
      <c r="AI61" s="225" t="str">
        <f>IF($AG$61&lt;$AG$59/2,"Yo MUST BE &gt;= Dc/2","")</f>
        <v/>
      </c>
      <c r="AJ61" s="92"/>
      <c r="AK61" s="92"/>
      <c r="AL61" s="92"/>
      <c r="AM61" s="92"/>
      <c r="AN61" s="92"/>
      <c r="AO61" s="92"/>
    </row>
    <row r="62" spans="1:41" x14ac:dyDescent="0.25">
      <c r="A62" s="105" t="s">
        <v>43</v>
      </c>
      <c r="B62" s="156">
        <f t="shared" si="0"/>
        <v>0</v>
      </c>
      <c r="C62" s="117" t="s">
        <v>44</v>
      </c>
      <c r="D62" s="54"/>
      <c r="E62" s="54"/>
      <c r="F62" s="54"/>
      <c r="G62" s="54"/>
      <c r="H62" s="54"/>
      <c r="I62" s="60"/>
      <c r="K62" s="9">
        <v>58</v>
      </c>
      <c r="L62" s="16" t="str">
        <f>IF($C$9&gt;=58,$I19-$L$85,"")</f>
        <v/>
      </c>
      <c r="M62" s="16" t="str">
        <f>IF($C$9&gt;=58,$H19-$L$84,"")</f>
        <v/>
      </c>
      <c r="N62" s="16" t="str">
        <f>IF($C$9&gt;=58,$L62^2,"")</f>
        <v/>
      </c>
      <c r="O62" s="16" t="str">
        <f>IF($C$9&gt;=58,$M62^2,"")</f>
        <v/>
      </c>
      <c r="P62" s="16" t="str">
        <f>IF($C$9&gt;=58,$L62*$M62,"")</f>
        <v/>
      </c>
      <c r="Q62" s="17" t="str">
        <f>IF($C$9&gt;=58,$H19-$L$84,"")</f>
        <v/>
      </c>
      <c r="R62" s="17" t="str">
        <f>IF($C$9&gt;=58,$I19-$L$85,"")</f>
        <v/>
      </c>
      <c r="S62" s="18" t="str">
        <f>IF($C$9&gt;=58,(-$P$93/$C$9+($P$97*$L$86--$P$96*$L$89)/($L$86*$L$87-$L$89^2)*$Q62+(-$P$96*$L$87-$P$97*$L$89)/($L$86*$L$87-$L$89^2)*$R62),"")</f>
        <v/>
      </c>
      <c r="T62" s="18" t="str">
        <f>IF($C$9&gt;=58,((($P$94/$C$9+$P$98*-$R62/$L$88)^2+($P$95/$C$9+$P$98*$Q62/$L$88)^2)^(1/2)),"")</f>
        <v/>
      </c>
      <c r="AD62" s="200"/>
      <c r="AE62" s="200"/>
      <c r="AF62" s="211" t="s">
        <v>184</v>
      </c>
      <c r="AG62" s="212">
        <v>0</v>
      </c>
      <c r="AH62" s="210" t="s">
        <v>44</v>
      </c>
      <c r="AI62" s="200"/>
      <c r="AJ62" s="92"/>
      <c r="AK62" s="92"/>
      <c r="AL62" s="92"/>
      <c r="AM62" s="92"/>
      <c r="AN62" s="92"/>
      <c r="AO62" s="92"/>
    </row>
    <row r="63" spans="1:41" x14ac:dyDescent="0.25">
      <c r="A63" s="48"/>
      <c r="B63" s="54"/>
      <c r="C63" s="54"/>
      <c r="D63" s="54"/>
      <c r="E63" s="54"/>
      <c r="F63" s="54"/>
      <c r="G63" s="54"/>
      <c r="H63" s="54"/>
      <c r="I63" s="60"/>
      <c r="K63" s="9">
        <v>59</v>
      </c>
      <c r="L63" s="16" t="str">
        <f>IF($C$9&gt;=59,$I20-$L$85,"")</f>
        <v/>
      </c>
      <c r="M63" s="16" t="str">
        <f>IF($C$9&gt;=59,$H20-$L$84,"")</f>
        <v/>
      </c>
      <c r="N63" s="16" t="str">
        <f>IF($C$9&gt;=59,$L63^2,"")</f>
        <v/>
      </c>
      <c r="O63" s="16" t="str">
        <f>IF($C$9&gt;=59,$M63^2,"")</f>
        <v/>
      </c>
      <c r="P63" s="16" t="str">
        <f>IF($C$9&gt;=59,$L63*$M63,"")</f>
        <v/>
      </c>
      <c r="Q63" s="17" t="str">
        <f>IF($C$9&gt;=59,$H20-$L$84,"")</f>
        <v/>
      </c>
      <c r="R63" s="17" t="str">
        <f>IF($C$9&gt;=59,$I20-$L$85,"")</f>
        <v/>
      </c>
      <c r="S63" s="18" t="str">
        <f>IF($C$9&gt;=59,(-$P$93/$C$9+($P$97*$L$86--$P$96*$L$89)/($L$86*$L$87-$L$89^2)*$Q63+(-$P$96*$L$87-$P$97*$L$89)/($L$86*$L$87-$L$89^2)*$R63),"")</f>
        <v/>
      </c>
      <c r="T63" s="18" t="str">
        <f>IF($C$9&gt;=59,((($P$94/$C$9+$P$98*-$R63/$L$88)^2+($P$95/$C$9+$P$98*$Q63/$L$88)^2)^(1/2)),"")</f>
        <v/>
      </c>
      <c r="AD63" s="200"/>
      <c r="AE63" s="200"/>
      <c r="AF63" s="200"/>
      <c r="AG63" s="200"/>
      <c r="AH63" s="200"/>
      <c r="AI63" s="200"/>
      <c r="AJ63" s="92"/>
      <c r="AK63" s="92"/>
      <c r="AL63" s="92"/>
      <c r="AM63" s="92"/>
      <c r="AN63" s="92"/>
      <c r="AO63" s="92"/>
    </row>
    <row r="64" spans="1:41" x14ac:dyDescent="0.25">
      <c r="A64" s="135" t="s">
        <v>112</v>
      </c>
      <c r="B64" s="53"/>
      <c r="C64" s="53"/>
      <c r="D64" s="53"/>
      <c r="E64" s="88"/>
      <c r="F64" s="54"/>
      <c r="G64" s="54"/>
      <c r="H64" s="54"/>
      <c r="I64" s="60"/>
      <c r="K64" s="9">
        <v>60</v>
      </c>
      <c r="L64" s="16" t="str">
        <f>IF($C$9&gt;=60,$I21-$L$85,"")</f>
        <v/>
      </c>
      <c r="M64" s="16" t="str">
        <f>IF($C$9&gt;=60,$H21-$L$84,"")</f>
        <v/>
      </c>
      <c r="N64" s="16" t="str">
        <f>IF($C$9&gt;=60,$L64^2,"")</f>
        <v/>
      </c>
      <c r="O64" s="16" t="str">
        <f>IF($C$9&gt;=60,$M64^2,"")</f>
        <v/>
      </c>
      <c r="P64" s="16" t="str">
        <f>IF($C$9&gt;=60,$L64*$M64,"")</f>
        <v/>
      </c>
      <c r="Q64" s="17" t="str">
        <f>IF($C$9&gt;=60,$H21-$L$84,"")</f>
        <v/>
      </c>
      <c r="R64" s="17" t="str">
        <f>IF($C$9&gt;=60,$I21-$L$85,"")</f>
        <v/>
      </c>
      <c r="S64" s="18" t="str">
        <f>IF($C$9&gt;=60,(-$P$93/$C$9+($P$97*$L$86--$P$96*$L$89)/($L$86*$L$87-$L$89^2)*$Q64+(-$P$96*$L$87-$P$97*$L$89)/($L$86*$L$87-$L$89^2)*$R64),"")</f>
        <v/>
      </c>
      <c r="T64" s="18" t="str">
        <f>IF($C$9&gt;=60,((($P$94/$C$9+$P$98*-$R64/$L$88)^2+($P$95/$C$9+$P$98*$Q64/$L$88)^2)^(1/2)),"")</f>
        <v/>
      </c>
      <c r="AD64" s="196"/>
      <c r="AE64" s="201"/>
      <c r="AF64" s="213" t="s">
        <v>53</v>
      </c>
      <c r="AG64" s="214"/>
      <c r="AH64" s="226"/>
      <c r="AI64" s="213" t="s">
        <v>53</v>
      </c>
      <c r="AJ64" s="214"/>
      <c r="AK64" s="226"/>
      <c r="AL64" s="213" t="s">
        <v>53</v>
      </c>
      <c r="AM64" s="214"/>
      <c r="AN64" s="92"/>
      <c r="AO64" s="92"/>
    </row>
    <row r="65" spans="1:41" x14ac:dyDescent="0.25">
      <c r="A65" s="105" t="s">
        <v>35</v>
      </c>
      <c r="B65" s="143">
        <f t="shared" ref="B65:B70" si="1">$P93</f>
        <v>-3000</v>
      </c>
      <c r="C65" s="117" t="s">
        <v>33</v>
      </c>
      <c r="D65" s="54"/>
      <c r="E65" s="53"/>
      <c r="F65" s="53"/>
      <c r="G65" s="54"/>
      <c r="H65" s="53"/>
      <c r="I65" s="64"/>
      <c r="K65" s="9">
        <v>61</v>
      </c>
      <c r="L65" s="16" t="str">
        <f>IF($C$9&gt;=61,$I22-$L$85,"")</f>
        <v/>
      </c>
      <c r="M65" s="16" t="str">
        <f>IF($C$9&gt;=61,$H22-$L$84,"")</f>
        <v/>
      </c>
      <c r="N65" s="16" t="str">
        <f>IF($C$9&gt;=61,$L65^2,"")</f>
        <v/>
      </c>
      <c r="O65" s="16" t="str">
        <f>IF($C$9&gt;=61,$M65^2,"")</f>
        <v/>
      </c>
      <c r="P65" s="16" t="str">
        <f>IF($C$9&gt;=61,$L65*$M65,"")</f>
        <v/>
      </c>
      <c r="Q65" s="17" t="str">
        <f>IF($C$9&gt;=61,$H22-$L$84,"")</f>
        <v/>
      </c>
      <c r="R65" s="17" t="str">
        <f>IF($C$9&gt;=61,$I22-$L$85,"")</f>
        <v/>
      </c>
      <c r="S65" s="18" t="str">
        <f>IF($C$9&gt;=61,(-$P$93/$C$9+($P$97*$L$86--$P$96*$L$89)/($L$86*$L$87-$L$89^2)*$Q65+(-$P$96*$L$87-$P$97*$L$89)/($L$86*$L$87-$L$89^2)*$R65),"")</f>
        <v/>
      </c>
      <c r="T65" s="18" t="str">
        <f>IF($C$9&gt;=61,((($P$94/$C$9+$P$98*-$R65/$L$88)^2+($P$95/$C$9+$P$98*$Q65/$L$88)^2)^(1/2)),"")</f>
        <v/>
      </c>
      <c r="AD65" s="196"/>
      <c r="AE65" s="201"/>
      <c r="AF65" s="195" t="s">
        <v>185</v>
      </c>
      <c r="AG65" s="195" t="s">
        <v>186</v>
      </c>
      <c r="AH65" s="202"/>
      <c r="AI65" s="195" t="s">
        <v>185</v>
      </c>
      <c r="AJ65" s="195" t="s">
        <v>186</v>
      </c>
      <c r="AK65" s="92"/>
      <c r="AL65" s="195" t="s">
        <v>185</v>
      </c>
      <c r="AM65" s="195" t="s">
        <v>186</v>
      </c>
      <c r="AN65" s="92"/>
      <c r="AO65" s="92"/>
    </row>
    <row r="66" spans="1:41" x14ac:dyDescent="0.25">
      <c r="A66" s="105" t="s">
        <v>36</v>
      </c>
      <c r="B66" s="147">
        <f t="shared" si="1"/>
        <v>-40</v>
      </c>
      <c r="C66" s="117" t="s">
        <v>33</v>
      </c>
      <c r="D66" s="54"/>
      <c r="E66" s="77"/>
      <c r="F66" s="77"/>
      <c r="G66" s="54"/>
      <c r="H66" s="77"/>
      <c r="I66" s="98"/>
      <c r="K66" s="9">
        <v>62</v>
      </c>
      <c r="L66" s="16" t="str">
        <f>IF($C$9&gt;=62,$I23-$L$85,"")</f>
        <v/>
      </c>
      <c r="M66" s="16" t="str">
        <f>IF($C$9&gt;=62,$H23-$L$84,"")</f>
        <v/>
      </c>
      <c r="N66" s="16" t="str">
        <f>IF($C$9&gt;=62,$L66^2,"")</f>
        <v/>
      </c>
      <c r="O66" s="16" t="str">
        <f>IF($C$9&gt;=62,$M66^2,"")</f>
        <v/>
      </c>
      <c r="P66" s="16" t="str">
        <f>IF($C$9&gt;=62,$L66*$M66,"")</f>
        <v/>
      </c>
      <c r="Q66" s="17" t="str">
        <f>IF($C$9&gt;=62,$H23-$L$84,"")</f>
        <v/>
      </c>
      <c r="R66" s="17" t="str">
        <f>IF($C$9&gt;=62,$I23-$L$85,"")</f>
        <v/>
      </c>
      <c r="S66" s="18" t="str">
        <f>IF($C$9&gt;=62,(-$P$93/$C$9+($P$97*$L$86--$P$96*$L$89)/($L$86*$L$87-$L$89^2)*$Q66+(-$P$96*$L$87-$P$97*$L$89)/($L$86*$L$87-$L$89^2)*$R66),"")</f>
        <v/>
      </c>
      <c r="T66" s="18" t="str">
        <f>IF($C$9&gt;=62,((($P$94/$C$9+$P$98*-$R66/$L$88)^2+($P$95/$C$9+$P$98*$Q66/$L$88)^2)^(1/2)),"")</f>
        <v/>
      </c>
      <c r="AD66" s="208"/>
      <c r="AE66" s="215">
        <f>IF($AG$58&gt;=1,1,"")</f>
        <v>1</v>
      </c>
      <c r="AF66" s="216">
        <f t="shared" ref="AF66:AF90" si="2">IF($AE66&lt;&gt;"",$AG$60+($AG$59)*COS( PI()/180*($AG$62+($AE66-1)*360/$AG$58))/2,"")</f>
        <v>24</v>
      </c>
      <c r="AG66" s="216">
        <f t="shared" ref="AG66:AG90" si="3">IF($AE66&lt;&gt;"",$AG$61+($AG$59)*SIN( PI()/180*($AG$62+($AE66-1)*360/$AG$58))/2,"")</f>
        <v>12</v>
      </c>
      <c r="AH66" s="215" t="str">
        <f>IF($AG$58&gt;=26,26,"")</f>
        <v/>
      </c>
      <c r="AI66" s="216" t="str">
        <f t="shared" ref="AI66:AI90" si="4">IF($AH66&lt;&gt;"",$AG$60+($AG$59)*COS( PI()/180*($AG$62+($AH66-1)*360/$AG$58))/2,"")</f>
        <v/>
      </c>
      <c r="AJ66" s="216" t="str">
        <f t="shared" ref="AJ66:AJ90" si="5">IF($AH66&lt;&gt;"",$AG$61+($AG$59)*SIN( PI()/180*($AG$62+($AH66-1)*360/$AG$58))/2,"")</f>
        <v/>
      </c>
      <c r="AK66" s="215" t="str">
        <f>IF($AG$58&gt;=51,51,"")</f>
        <v/>
      </c>
      <c r="AL66" s="216" t="str">
        <f t="shared" ref="AL66:AL90" si="6">IF($AK66&lt;&gt;"",$AG$60+($AG$59)*COS( PI()/180*($AG$62+($AK66-1)*360/$AG$58))/2,"")</f>
        <v/>
      </c>
      <c r="AM66" s="216" t="str">
        <f t="shared" ref="AM66:AM90" si="7">IF($AK66&lt;&gt;"",$AG$61+($AG$59)*SIN( PI()/180*($AG$62+($AK66-1)*360/$AG$58))/2,"")</f>
        <v/>
      </c>
      <c r="AN66" s="202"/>
      <c r="AO66" s="202"/>
    </row>
    <row r="67" spans="1:41" x14ac:dyDescent="0.25">
      <c r="A67" s="105" t="s">
        <v>37</v>
      </c>
      <c r="B67" s="147">
        <f t="shared" si="1"/>
        <v>-60</v>
      </c>
      <c r="C67" s="117" t="s">
        <v>33</v>
      </c>
      <c r="D67" s="54"/>
      <c r="E67" s="81"/>
      <c r="F67" s="81"/>
      <c r="G67" s="54"/>
      <c r="H67" s="81"/>
      <c r="I67" s="66"/>
      <c r="K67" s="9">
        <v>63</v>
      </c>
      <c r="L67" s="16" t="str">
        <f>IF($C$9&gt;=63,$I24-$L$85,"")</f>
        <v/>
      </c>
      <c r="M67" s="16" t="str">
        <f>IF($C$9&gt;=63,$H24-$L$84,"")</f>
        <v/>
      </c>
      <c r="N67" s="16" t="str">
        <f>IF($C$9&gt;=63,$L67^2,"")</f>
        <v/>
      </c>
      <c r="O67" s="16" t="str">
        <f>IF($C$9&gt;=63,$M67^2,"")</f>
        <v/>
      </c>
      <c r="P67" s="16" t="str">
        <f>IF($C$9&gt;=63,$L67*$M67,"")</f>
        <v/>
      </c>
      <c r="Q67" s="17" t="str">
        <f>IF($C$9&gt;=63,$H24-$L$84,"")</f>
        <v/>
      </c>
      <c r="R67" s="17" t="str">
        <f>IF($C$9&gt;=63,$I24-$L$85,"")</f>
        <v/>
      </c>
      <c r="S67" s="18" t="str">
        <f>IF($C$9&gt;=63,(-$P$93/$C$9+($P$97*$L$86--$P$96*$L$89)/($L$86*$L$87-$L$89^2)*$Q67+(-$P$96*$L$87-$P$97*$L$89)/($L$86*$L$87-$L$89^2)*$R67),"")</f>
        <v/>
      </c>
      <c r="T67" s="18" t="str">
        <f>IF($C$9&gt;=63,((($P$94/$C$9+$P$98*-$R67/$L$88)^2+($P$95/$C$9+$P$98*$Q67/$L$88)^2)^(1/2)),"")</f>
        <v/>
      </c>
      <c r="AD67" s="208"/>
      <c r="AE67" s="215">
        <f>IF($AG$58&gt;=2,2,"")</f>
        <v>2</v>
      </c>
      <c r="AF67" s="217">
        <f t="shared" si="2"/>
        <v>20.485281374238571</v>
      </c>
      <c r="AG67" s="217">
        <f t="shared" si="3"/>
        <v>20.485281374238568</v>
      </c>
      <c r="AH67" s="215" t="str">
        <f>IF($AG$58&gt;=27,27,"")</f>
        <v/>
      </c>
      <c r="AI67" s="217" t="str">
        <f t="shared" si="4"/>
        <v/>
      </c>
      <c r="AJ67" s="217" t="str">
        <f t="shared" si="5"/>
        <v/>
      </c>
      <c r="AK67" s="215" t="str">
        <f>IF($AG$58&gt;=52,52,"")</f>
        <v/>
      </c>
      <c r="AL67" s="217" t="str">
        <f t="shared" si="6"/>
        <v/>
      </c>
      <c r="AM67" s="217" t="str">
        <f t="shared" si="7"/>
        <v/>
      </c>
      <c r="AN67" s="202"/>
      <c r="AO67" s="202"/>
    </row>
    <row r="68" spans="1:41" x14ac:dyDescent="0.25">
      <c r="A68" s="105" t="s">
        <v>38</v>
      </c>
      <c r="B68" s="147">
        <f t="shared" si="1"/>
        <v>500</v>
      </c>
      <c r="C68" s="117" t="s">
        <v>34</v>
      </c>
      <c r="D68" s="54"/>
      <c r="E68" s="54"/>
      <c r="F68" s="54"/>
      <c r="G68" s="54"/>
      <c r="H68" s="54"/>
      <c r="I68" s="60"/>
      <c r="K68" s="9">
        <v>64</v>
      </c>
      <c r="L68" s="16" t="str">
        <f>IF($C$9&gt;=64,$I25-$L$85,"")</f>
        <v/>
      </c>
      <c r="M68" s="16" t="str">
        <f>IF($C$9&gt;=64,$H25-$L$84,"")</f>
        <v/>
      </c>
      <c r="N68" s="16" t="str">
        <f>IF($C$9&gt;=64,$L68^2,"")</f>
        <v/>
      </c>
      <c r="O68" s="16" t="str">
        <f>IF($C$9&gt;=64,$M68^2,"")</f>
        <v/>
      </c>
      <c r="P68" s="16" t="str">
        <f>IF($C$9&gt;=64,$L68*$M68,"")</f>
        <v/>
      </c>
      <c r="Q68" s="17" t="str">
        <f>IF($C$9&gt;=64,$H25-$L$84,"")</f>
        <v/>
      </c>
      <c r="R68" s="17" t="str">
        <f>IF($C$9&gt;=64,$I25-$L$85,"")</f>
        <v/>
      </c>
      <c r="S68" s="18" t="str">
        <f>IF($C$9&gt;=64,(-$P$93/$C$9+($P$97*$L$86--$P$96*$L$89)/($L$86*$L$87-$L$89^2)*$Q68+(-$P$96*$L$87-$P$97*$L$89)/($L$86*$L$87-$L$89^2)*$R68),"")</f>
        <v/>
      </c>
      <c r="T68" s="18" t="str">
        <f>IF($C$9&gt;=64,((($P$94/$C$9+$P$98*-$R68/$L$88)^2+($P$95/$C$9+$P$98*$Q68/$L$88)^2)^(1/2)),"")</f>
        <v/>
      </c>
      <c r="AD68" s="208"/>
      <c r="AE68" s="215">
        <f>IF($AG$58&gt;=3,3,"")</f>
        <v>3</v>
      </c>
      <c r="AF68" s="217">
        <f t="shared" si="2"/>
        <v>12</v>
      </c>
      <c r="AG68" s="217">
        <f t="shared" si="3"/>
        <v>24</v>
      </c>
      <c r="AH68" s="215" t="str">
        <f>IF($AG$58&gt;=28,28,"")</f>
        <v/>
      </c>
      <c r="AI68" s="217" t="str">
        <f t="shared" si="4"/>
        <v/>
      </c>
      <c r="AJ68" s="217" t="str">
        <f t="shared" si="5"/>
        <v/>
      </c>
      <c r="AK68" s="215" t="str">
        <f>IF($AG$58&gt;=53,53,"")</f>
        <v/>
      </c>
      <c r="AL68" s="217" t="str">
        <f t="shared" si="6"/>
        <v/>
      </c>
      <c r="AM68" s="217" t="str">
        <f t="shared" si="7"/>
        <v/>
      </c>
      <c r="AN68" s="202"/>
      <c r="AO68" s="202"/>
    </row>
    <row r="69" spans="1:41" x14ac:dyDescent="0.25">
      <c r="A69" s="105" t="s">
        <v>39</v>
      </c>
      <c r="B69" s="147">
        <f t="shared" si="1"/>
        <v>-500</v>
      </c>
      <c r="C69" s="117" t="s">
        <v>34</v>
      </c>
      <c r="D69" s="54"/>
      <c r="E69" s="54"/>
      <c r="F69" s="54"/>
      <c r="G69" s="54"/>
      <c r="H69" s="54"/>
      <c r="I69" s="60"/>
      <c r="K69" s="9">
        <v>65</v>
      </c>
      <c r="L69" s="16" t="str">
        <f>IF($C$9&gt;=65,$I26-$L$85,"")</f>
        <v/>
      </c>
      <c r="M69" s="16" t="str">
        <f>IF($C$9&gt;=65,$H26-$L$84,"")</f>
        <v/>
      </c>
      <c r="N69" s="16" t="str">
        <f>IF($C$9&gt;=65,$L69^2,"")</f>
        <v/>
      </c>
      <c r="O69" s="16" t="str">
        <f>IF($C$9&gt;=65,$M69^2,"")</f>
        <v/>
      </c>
      <c r="P69" s="16" t="str">
        <f>IF($C$9&gt;=65,$L69*$M69,"")</f>
        <v/>
      </c>
      <c r="Q69" s="17" t="str">
        <f>IF($C$9&gt;=65,$H26-$L$84,"")</f>
        <v/>
      </c>
      <c r="R69" s="17" t="str">
        <f>IF($C$9&gt;=65,$I26-$L$85,"")</f>
        <v/>
      </c>
      <c r="S69" s="18" t="str">
        <f>IF($C$9&gt;=65,(-$P$93/$C$9+($P$97*$L$86--$P$96*$L$89)/($L$86*$L$87-$L$89^2)*$Q69+(-$P$96*$L$87-$P$97*$L$89)/($L$86*$L$87-$L$89^2)*$R69),"")</f>
        <v/>
      </c>
      <c r="T69" s="18" t="str">
        <f>IF($C$9&gt;=65,((($P$94/$C$9+$P$98*-$R69/$L$88)^2+($P$95/$C$9+$P$98*$Q69/$L$88)^2)^(1/2)),"")</f>
        <v/>
      </c>
      <c r="AD69" s="208"/>
      <c r="AE69" s="215">
        <f>IF($AG$58&gt;=4,4,"")</f>
        <v>4</v>
      </c>
      <c r="AF69" s="217">
        <f t="shared" si="2"/>
        <v>3.5147186257614305</v>
      </c>
      <c r="AG69" s="217">
        <f t="shared" si="3"/>
        <v>20.485281374238571</v>
      </c>
      <c r="AH69" s="215" t="str">
        <f>IF($AG$58&gt;=29,29,"")</f>
        <v/>
      </c>
      <c r="AI69" s="217" t="str">
        <f t="shared" si="4"/>
        <v/>
      </c>
      <c r="AJ69" s="217" t="str">
        <f t="shared" si="5"/>
        <v/>
      </c>
      <c r="AK69" s="215" t="str">
        <f>IF($AG$58&gt;=54,54,"")</f>
        <v/>
      </c>
      <c r="AL69" s="217" t="str">
        <f t="shared" si="6"/>
        <v/>
      </c>
      <c r="AM69" s="217" t="str">
        <f t="shared" si="7"/>
        <v/>
      </c>
      <c r="AN69" s="202"/>
      <c r="AO69" s="202"/>
    </row>
    <row r="70" spans="1:41" x14ac:dyDescent="0.25">
      <c r="A70" s="105" t="s">
        <v>40</v>
      </c>
      <c r="B70" s="154">
        <f t="shared" si="1"/>
        <v>0</v>
      </c>
      <c r="C70" s="117" t="s">
        <v>34</v>
      </c>
      <c r="D70" s="54"/>
      <c r="E70" s="54"/>
      <c r="F70" s="54"/>
      <c r="G70" s="54"/>
      <c r="H70" s="54"/>
      <c r="I70" s="60"/>
      <c r="K70" s="9">
        <v>66</v>
      </c>
      <c r="L70" s="16" t="str">
        <f>IF($C$9&gt;=66,$I27-$L$85,"")</f>
        <v/>
      </c>
      <c r="M70" s="16" t="str">
        <f>IF($C$9&gt;=66,$H27-$L$84,"")</f>
        <v/>
      </c>
      <c r="N70" s="16" t="str">
        <f>IF($C$9&gt;=66,$L70^2,"")</f>
        <v/>
      </c>
      <c r="O70" s="16" t="str">
        <f>IF($C$9&gt;=66,$M70^2,"")</f>
        <v/>
      </c>
      <c r="P70" s="16" t="str">
        <f>IF($C$9&gt;=66,$L70*$M70,"")</f>
        <v/>
      </c>
      <c r="Q70" s="17" t="str">
        <f>IF($C$9&gt;=66,$H27-$L$84,"")</f>
        <v/>
      </c>
      <c r="R70" s="17" t="str">
        <f>IF($C$9&gt;=66,$I27-$L$85,"")</f>
        <v/>
      </c>
      <c r="S70" s="18" t="str">
        <f>IF($C$9&gt;=66,(-$P$93/$C$9+($P$97*$L$86--$P$96*$L$89)/($L$86*$L$87-$L$89^2)*$Q70+(-$P$96*$L$87-$P$97*$L$89)/($L$86*$L$87-$L$89^2)*$R70),"")</f>
        <v/>
      </c>
      <c r="T70" s="18" t="str">
        <f>IF($C$9&gt;=66,((($P$94/$C$9+$P$98*-$R70/$L$88)^2+($P$95/$C$9+$P$98*$Q70/$L$88)^2)^(1/2)),"")</f>
        <v/>
      </c>
      <c r="AD70" s="208"/>
      <c r="AE70" s="215">
        <f>IF($AG$58&gt;=5,5,"")</f>
        <v>5</v>
      </c>
      <c r="AF70" s="217">
        <f t="shared" si="2"/>
        <v>0</v>
      </c>
      <c r="AG70" s="217">
        <f t="shared" si="3"/>
        <v>12.000000000000002</v>
      </c>
      <c r="AH70" s="215" t="str">
        <f>IF($AG$58&gt;=30,30,"")</f>
        <v/>
      </c>
      <c r="AI70" s="217" t="str">
        <f t="shared" si="4"/>
        <v/>
      </c>
      <c r="AJ70" s="217" t="str">
        <f t="shared" si="5"/>
        <v/>
      </c>
      <c r="AK70" s="215" t="str">
        <f>IF($AG$58&gt;=55,55,"")</f>
        <v/>
      </c>
      <c r="AL70" s="217" t="str">
        <f t="shared" si="6"/>
        <v/>
      </c>
      <c r="AM70" s="217" t="str">
        <f t="shared" si="7"/>
        <v/>
      </c>
      <c r="AN70" s="202"/>
      <c r="AO70" s="202"/>
    </row>
    <row r="71" spans="1:41" x14ac:dyDescent="0.25">
      <c r="A71" s="48"/>
      <c r="B71" s="54"/>
      <c r="C71" s="54"/>
      <c r="D71" s="54"/>
      <c r="E71" s="54"/>
      <c r="F71" s="54"/>
      <c r="G71" s="54"/>
      <c r="H71" s="54"/>
      <c r="I71" s="118"/>
      <c r="K71" s="9">
        <v>67</v>
      </c>
      <c r="L71" s="16" t="str">
        <f>IF($C$9&gt;=67,$I28-$L$85,"")</f>
        <v/>
      </c>
      <c r="M71" s="16" t="str">
        <f>IF($C$9&gt;=67,$H28-$L$84,"")</f>
        <v/>
      </c>
      <c r="N71" s="16" t="str">
        <f>IF($C$9&gt;=67,$L71^2,"")</f>
        <v/>
      </c>
      <c r="O71" s="16" t="str">
        <f>IF($C$9&gt;=67,$M71^2,"")</f>
        <v/>
      </c>
      <c r="P71" s="16" t="str">
        <f>IF($C$9&gt;=67,$L71*$M71,"")</f>
        <v/>
      </c>
      <c r="Q71" s="17" t="str">
        <f>IF($C$9&gt;=67,$H28-$L$84,"")</f>
        <v/>
      </c>
      <c r="R71" s="17" t="str">
        <f>IF($C$9&gt;=67,$I28-$L$85,"")</f>
        <v/>
      </c>
      <c r="S71" s="18" t="str">
        <f>IF($C$9&gt;=67,(-$P$93/$C$9+($P$97*$L$86--$P$96*$L$89)/($L$86*$L$87-$L$89^2)*$Q71+(-$P$96*$L$87-$P$97*$L$89)/($L$86*$L$87-$L$89^2)*$R71),"")</f>
        <v/>
      </c>
      <c r="T71" s="18" t="str">
        <f>IF($C$9&gt;=67,((($P$94/$C$9+$P$98*-$R71/$L$88)^2+($P$95/$C$9+$P$98*$Q71/$L$88)^2)^(1/2)),"")</f>
        <v/>
      </c>
      <c r="AD71" s="208"/>
      <c r="AE71" s="215">
        <f>IF($AG$58&gt;=6,6,"")</f>
        <v>6</v>
      </c>
      <c r="AF71" s="217">
        <f t="shared" si="2"/>
        <v>3.5147186257614287</v>
      </c>
      <c r="AG71" s="217">
        <f t="shared" si="3"/>
        <v>3.5147186257614305</v>
      </c>
      <c r="AH71" s="215" t="str">
        <f>IF($AG$58&gt;=31,31,"")</f>
        <v/>
      </c>
      <c r="AI71" s="217" t="str">
        <f t="shared" si="4"/>
        <v/>
      </c>
      <c r="AJ71" s="217" t="str">
        <f t="shared" si="5"/>
        <v/>
      </c>
      <c r="AK71" s="215" t="str">
        <f>IF($AG$58&gt;=56,56,"")</f>
        <v/>
      </c>
      <c r="AL71" s="217" t="str">
        <f t="shared" si="6"/>
        <v/>
      </c>
      <c r="AM71" s="217" t="str">
        <f t="shared" si="7"/>
        <v/>
      </c>
      <c r="AN71" s="202"/>
      <c r="AO71" s="202"/>
    </row>
    <row r="72" spans="1:41" x14ac:dyDescent="0.25">
      <c r="A72" s="48"/>
      <c r="B72" s="58" t="s">
        <v>142</v>
      </c>
      <c r="C72" s="59"/>
      <c r="D72" s="48"/>
      <c r="E72" s="58" t="s">
        <v>142</v>
      </c>
      <c r="F72" s="59"/>
      <c r="G72" s="48"/>
      <c r="H72" s="58" t="s">
        <v>142</v>
      </c>
      <c r="I72" s="59"/>
      <c r="K72" s="9">
        <v>68</v>
      </c>
      <c r="L72" s="16" t="str">
        <f>IF($C$9&gt;=68,$I29-$L$85,"")</f>
        <v/>
      </c>
      <c r="M72" s="16" t="str">
        <f>IF($C$9&gt;=68,$H29-$L$84,"")</f>
        <v/>
      </c>
      <c r="N72" s="16" t="str">
        <f>IF($C$9&gt;=68,$L72^2,"")</f>
        <v/>
      </c>
      <c r="O72" s="16" t="str">
        <f>IF($C$9&gt;=68,$M72^2,"")</f>
        <v/>
      </c>
      <c r="P72" s="16" t="str">
        <f>IF($C$9&gt;=68,$L72*$M72,"")</f>
        <v/>
      </c>
      <c r="Q72" s="17" t="str">
        <f>IF($C$9&gt;=68,$H29-$L$84,"")</f>
        <v/>
      </c>
      <c r="R72" s="17" t="str">
        <f>IF($C$9&gt;=68,$I29-$L$85,"")</f>
        <v/>
      </c>
      <c r="S72" s="18" t="str">
        <f>IF($C$9&gt;=68,(-$P$93/$C$9+($P$97*$L$86--$P$96*$L$89)/($L$86*$L$87-$L$89^2)*$Q72+(-$P$96*$L$87-$P$97*$L$89)/($L$86*$L$87-$L$89^2)*$R72),"")</f>
        <v/>
      </c>
      <c r="T72" s="18" t="str">
        <f>IF($C$9&gt;=68,((($P$94/$C$9+$P$98*-$R72/$L$88)^2+($P$95/$C$9+$P$98*$Q72/$L$88)^2)^(1/2)),"")</f>
        <v/>
      </c>
      <c r="AD72" s="208"/>
      <c r="AE72" s="215">
        <f>IF($AG$58&gt;=7,7,"")</f>
        <v>7</v>
      </c>
      <c r="AF72" s="217">
        <f t="shared" si="2"/>
        <v>11.999999999999998</v>
      </c>
      <c r="AG72" s="217">
        <f t="shared" si="3"/>
        <v>0</v>
      </c>
      <c r="AH72" s="215" t="str">
        <f>IF($AG$58&gt;=32,32,"")</f>
        <v/>
      </c>
      <c r="AI72" s="217" t="str">
        <f t="shared" si="4"/>
        <v/>
      </c>
      <c r="AJ72" s="217" t="str">
        <f t="shared" si="5"/>
        <v/>
      </c>
      <c r="AK72" s="215" t="str">
        <f>IF($AG$58&gt;=57,57,"")</f>
        <v/>
      </c>
      <c r="AL72" s="217" t="str">
        <f t="shared" si="6"/>
        <v/>
      </c>
      <c r="AM72" s="217" t="str">
        <f t="shared" si="7"/>
        <v/>
      </c>
      <c r="AN72" s="202"/>
      <c r="AO72" s="202"/>
    </row>
    <row r="73" spans="1:41" x14ac:dyDescent="0.25">
      <c r="A73" s="48"/>
      <c r="B73" s="62" t="s">
        <v>20</v>
      </c>
      <c r="C73" s="63" t="s">
        <v>21</v>
      </c>
      <c r="D73" s="48"/>
      <c r="E73" s="62" t="s">
        <v>20</v>
      </c>
      <c r="F73" s="63" t="s">
        <v>21</v>
      </c>
      <c r="G73" s="48"/>
      <c r="H73" s="62" t="s">
        <v>20</v>
      </c>
      <c r="I73" s="63" t="s">
        <v>21</v>
      </c>
      <c r="K73" s="9">
        <v>69</v>
      </c>
      <c r="L73" s="16" t="str">
        <f>IF($C$9&gt;=69,$I30-$L$85,"")</f>
        <v/>
      </c>
      <c r="M73" s="16" t="str">
        <f>IF($C$9&gt;=69,$H30-$L$84,"")</f>
        <v/>
      </c>
      <c r="N73" s="16" t="str">
        <f>IF($C$9&gt;=69,$L73^2,"")</f>
        <v/>
      </c>
      <c r="O73" s="16" t="str">
        <f>IF($C$9&gt;=69,$M73^2,"")</f>
        <v/>
      </c>
      <c r="P73" s="16" t="str">
        <f>IF($C$9&gt;=69,$L73*$M73,"")</f>
        <v/>
      </c>
      <c r="Q73" s="17" t="str">
        <f>IF($C$9&gt;=69,$H30-$L$84,"")</f>
        <v/>
      </c>
      <c r="R73" s="17" t="str">
        <f>IF($C$9&gt;=69,$I30-$L$85,"")</f>
        <v/>
      </c>
      <c r="S73" s="18" t="str">
        <f>IF($C$9&gt;=69,(-$P$93/$C$9+($P$97*$L$86--$P$96*$L$89)/($L$86*$L$87-$L$89^2)*$Q73+(-$P$96*$L$87-$P$97*$L$89)/($L$86*$L$87-$L$89^2)*$R73),"")</f>
        <v/>
      </c>
      <c r="T73" s="18" t="str">
        <f>IF($C$9&gt;=69,((($P$94/$C$9+$P$98*-$R73/$L$88)^2+($P$95/$C$9+$P$98*$Q73/$L$88)^2)^(1/2)),"")</f>
        <v/>
      </c>
      <c r="AD73" s="208"/>
      <c r="AE73" s="215">
        <f>IF($AG$58&gt;=8,8,"")</f>
        <v>8</v>
      </c>
      <c r="AF73" s="217">
        <f t="shared" si="2"/>
        <v>20.485281374238568</v>
      </c>
      <c r="AG73" s="217">
        <f t="shared" si="3"/>
        <v>3.5147186257614287</v>
      </c>
      <c r="AH73" s="215" t="str">
        <f>IF($AG$58&gt;=33,33,"")</f>
        <v/>
      </c>
      <c r="AI73" s="217" t="str">
        <f t="shared" si="4"/>
        <v/>
      </c>
      <c r="AJ73" s="217" t="str">
        <f t="shared" si="5"/>
        <v/>
      </c>
      <c r="AK73" s="215" t="str">
        <f>IF($AG$58&gt;=58,58,"")</f>
        <v/>
      </c>
      <c r="AL73" s="217" t="str">
        <f t="shared" si="6"/>
        <v/>
      </c>
      <c r="AM73" s="217" t="str">
        <f t="shared" si="7"/>
        <v/>
      </c>
      <c r="AN73" s="202"/>
      <c r="AO73" s="200"/>
    </row>
    <row r="74" spans="1:41" x14ac:dyDescent="0.25">
      <c r="A74" s="260" t="str">
        <f>IF($C$9&gt;=1,"#1:","")</f>
        <v>#1:</v>
      </c>
      <c r="B74" s="143">
        <f t="shared" ref="B74:B98" si="8">$S5</f>
        <v>82.272727393388422</v>
      </c>
      <c r="C74" s="144">
        <f t="shared" ref="C74:C98" si="9">$T5</f>
        <v>1.8027756377319946</v>
      </c>
      <c r="D74" s="260" t="str">
        <f>IF($C$9&gt;=26,"#26:","")</f>
        <v>#26:</v>
      </c>
      <c r="E74" s="143">
        <f t="shared" ref="E74:E98" si="10">$S30</f>
        <v>73.080808045179069</v>
      </c>
      <c r="F74" s="144">
        <f t="shared" ref="F74:F98" si="11">$T30</f>
        <v>1.8027756377319946</v>
      </c>
      <c r="G74" s="261" t="str">
        <f>IF($C$9&gt;=51,"#51:","")</f>
        <v/>
      </c>
      <c r="H74" s="143" t="str">
        <f t="shared" ref="H74:H98" si="12">$S55</f>
        <v/>
      </c>
      <c r="I74" s="144" t="str">
        <f t="shared" ref="I74:I98" si="13">$T55</f>
        <v/>
      </c>
      <c r="K74" s="9">
        <v>70</v>
      </c>
      <c r="L74" s="16" t="str">
        <f>IF($C$9&gt;=70,$I31-$L$85,"")</f>
        <v/>
      </c>
      <c r="M74" s="16" t="str">
        <f>IF($C$9&gt;=70,$H31-$L$84,"")</f>
        <v/>
      </c>
      <c r="N74" s="16" t="str">
        <f>IF($C$9&gt;=70,$L74^2,"")</f>
        <v/>
      </c>
      <c r="O74" s="16" t="str">
        <f>IF($C$9&gt;=70,$M74^2,"")</f>
        <v/>
      </c>
      <c r="P74" s="16" t="str">
        <f>IF($C$9&gt;=70,$L74*$M74,"")</f>
        <v/>
      </c>
      <c r="Q74" s="17" t="str">
        <f>IF($C$9&gt;=70,$H31-$L$84,"")</f>
        <v/>
      </c>
      <c r="R74" s="17" t="str">
        <f>IF($C$9&gt;=70,$I31-$L$85,"")</f>
        <v/>
      </c>
      <c r="S74" s="18" t="str">
        <f>IF($C$9&gt;=70,(-$P$93/$C$9+($P$97*$L$86--$P$96*$L$89)/($L$86*$L$87-$L$89^2)*$Q74+(-$P$96*$L$87-$P$97*$L$89)/($L$86*$L$87-$L$89^2)*$R74),"")</f>
        <v/>
      </c>
      <c r="T74" s="18" t="str">
        <f>IF($C$9&gt;=70,((($P$94/$C$9+$P$98*-$R74/$L$88)^2+($P$95/$C$9+$P$98*$Q74/$L$88)^2)^(1/2)),"")</f>
        <v/>
      </c>
      <c r="AD74" s="208"/>
      <c r="AE74" s="215" t="str">
        <f>IF($AG$58&gt;=9,9,"")</f>
        <v/>
      </c>
      <c r="AF74" s="217" t="str">
        <f t="shared" si="2"/>
        <v/>
      </c>
      <c r="AG74" s="217" t="str">
        <f t="shared" si="3"/>
        <v/>
      </c>
      <c r="AH74" s="215" t="str">
        <f>IF($AG$58&gt;=34,34,"")</f>
        <v/>
      </c>
      <c r="AI74" s="217" t="str">
        <f t="shared" si="4"/>
        <v/>
      </c>
      <c r="AJ74" s="217" t="str">
        <f t="shared" si="5"/>
        <v/>
      </c>
      <c r="AK74" s="215" t="str">
        <f>IF($AG$58&gt;=59,59,"")</f>
        <v/>
      </c>
      <c r="AL74" s="217" t="str">
        <f t="shared" si="6"/>
        <v/>
      </c>
      <c r="AM74" s="217" t="str">
        <f t="shared" si="7"/>
        <v/>
      </c>
      <c r="AN74" s="202"/>
      <c r="AO74" s="200"/>
    </row>
    <row r="75" spans="1:41" x14ac:dyDescent="0.25">
      <c r="A75" s="260" t="str">
        <f>IF($C$9&gt;=2,"#2:","")</f>
        <v>#2:</v>
      </c>
      <c r="B75" s="147">
        <f t="shared" si="8"/>
        <v>81.767676883746546</v>
      </c>
      <c r="C75" s="148">
        <f t="shared" si="9"/>
        <v>1.8027756377319946</v>
      </c>
      <c r="D75" s="260" t="str">
        <f>IF($C$9&gt;=27,"#27:","")</f>
        <v>#27:</v>
      </c>
      <c r="E75" s="147">
        <f t="shared" si="10"/>
        <v>72.575757535537193</v>
      </c>
      <c r="F75" s="148">
        <f t="shared" si="11"/>
        <v>1.8027756377319946</v>
      </c>
      <c r="G75" s="261" t="str">
        <f>IF($C$9&gt;=52,"#52:","")</f>
        <v/>
      </c>
      <c r="H75" s="147" t="str">
        <f t="shared" si="12"/>
        <v/>
      </c>
      <c r="I75" s="148" t="str">
        <f t="shared" si="13"/>
        <v/>
      </c>
      <c r="K75" s="9">
        <v>71</v>
      </c>
      <c r="L75" s="16" t="str">
        <f>IF($C$9&gt;=71,$I32-$L$85,"")</f>
        <v/>
      </c>
      <c r="M75" s="16" t="str">
        <f>IF($C$9&gt;=71,$H32-$L$84,"")</f>
        <v/>
      </c>
      <c r="N75" s="16" t="str">
        <f>IF($C$9&gt;=71,$L75^2,"")</f>
        <v/>
      </c>
      <c r="O75" s="16" t="str">
        <f>IF($C$9&gt;=71,$M75^2,"")</f>
        <v/>
      </c>
      <c r="P75" s="16" t="str">
        <f>IF($C$9&gt;=71,$L75*$M75,"")</f>
        <v/>
      </c>
      <c r="Q75" s="17" t="str">
        <f>IF($C$9&gt;=71,$H32-$L$84,"")</f>
        <v/>
      </c>
      <c r="R75" s="17" t="str">
        <f>IF($C$9&gt;=71,$I32-$L$85,"")</f>
        <v/>
      </c>
      <c r="S75" s="18" t="str">
        <f>IF($C$9&gt;=71,(-$P$93/$C$9+($P$97*$L$86--$P$96*$L$89)/($L$86*$L$87-$L$89^2)*$Q75+(-$P$96*$L$87-$P$97*$L$89)/($L$86*$L$87-$L$89^2)*$R75),"")</f>
        <v/>
      </c>
      <c r="T75" s="18" t="str">
        <f>IF($C$9&gt;=71,((($P$94/$C$9+$P$98*-$R75/$L$88)^2+($P$95/$C$9+$P$98*$Q75/$L$88)^2)^(1/2)),"")</f>
        <v/>
      </c>
      <c r="AD75" s="208"/>
      <c r="AE75" s="215" t="str">
        <f>IF($AG$58&gt;=10,10,"")</f>
        <v/>
      </c>
      <c r="AF75" s="217" t="str">
        <f t="shared" si="2"/>
        <v/>
      </c>
      <c r="AG75" s="217" t="str">
        <f t="shared" si="3"/>
        <v/>
      </c>
      <c r="AH75" s="215" t="str">
        <f>IF($AG$58&gt;=35,35,"")</f>
        <v/>
      </c>
      <c r="AI75" s="217" t="str">
        <f t="shared" si="4"/>
        <v/>
      </c>
      <c r="AJ75" s="217" t="str">
        <f t="shared" si="5"/>
        <v/>
      </c>
      <c r="AK75" s="215" t="str">
        <f>IF($AG$58&gt;=60,60,"")</f>
        <v/>
      </c>
      <c r="AL75" s="217" t="str">
        <f t="shared" si="6"/>
        <v/>
      </c>
      <c r="AM75" s="217" t="str">
        <f t="shared" si="7"/>
        <v/>
      </c>
      <c r="AN75" s="202"/>
      <c r="AO75" s="202"/>
    </row>
    <row r="76" spans="1:41" x14ac:dyDescent="0.25">
      <c r="A76" s="260" t="str">
        <f>IF($C$9&gt;=3,"#3:","")</f>
        <v>#3:</v>
      </c>
      <c r="B76" s="147">
        <f t="shared" si="8"/>
        <v>81.26262637410467</v>
      </c>
      <c r="C76" s="148">
        <f t="shared" si="9"/>
        <v>1.8027756377319946</v>
      </c>
      <c r="D76" s="260" t="str">
        <f>IF($C$9&gt;=28,"#28:","")</f>
        <v>#28:</v>
      </c>
      <c r="E76" s="147">
        <f t="shared" si="10"/>
        <v>72.070707025895331</v>
      </c>
      <c r="F76" s="148">
        <f t="shared" si="11"/>
        <v>1.8027756377319946</v>
      </c>
      <c r="G76" s="261" t="str">
        <f>IF($C$9&gt;=53,"#53:","")</f>
        <v/>
      </c>
      <c r="H76" s="147" t="str">
        <f t="shared" si="12"/>
        <v/>
      </c>
      <c r="I76" s="148" t="str">
        <f t="shared" si="13"/>
        <v/>
      </c>
      <c r="K76" s="9">
        <v>72</v>
      </c>
      <c r="L76" s="16" t="str">
        <f>IF($C$9&gt;=72,$I33-$L$85,"")</f>
        <v/>
      </c>
      <c r="M76" s="16" t="str">
        <f>IF($C$9&gt;=72,$H33-$L$84,"")</f>
        <v/>
      </c>
      <c r="N76" s="16" t="str">
        <f>IF($C$9&gt;=72,$L76^2,"")</f>
        <v/>
      </c>
      <c r="O76" s="16" t="str">
        <f>IF($C$9&gt;=72,$M76^2,"")</f>
        <v/>
      </c>
      <c r="P76" s="16" t="str">
        <f>IF($C$9&gt;=72,$L76*$M76,"")</f>
        <v/>
      </c>
      <c r="Q76" s="17" t="str">
        <f>IF($C$9&gt;=72,$H33-$L$84,"")</f>
        <v/>
      </c>
      <c r="R76" s="17" t="str">
        <f>IF($C$9&gt;=72,$I33-$L$85,"")</f>
        <v/>
      </c>
      <c r="S76" s="18" t="str">
        <f>IF($C$9&gt;=72,(-$P$93/$C$9+($P$97*$L$86--$P$96*$L$89)/($L$86*$L$87-$L$89^2)*$Q76+(-$P$96*$L$87-$P$97*$L$89)/($L$86*$L$87-$L$89^2)*$R76),"")</f>
        <v/>
      </c>
      <c r="T76" s="18" t="str">
        <f>IF($C$9&gt;=72,((($P$94/$C$9+$P$98*-$R76/$L$88)^2+($P$95/$C$9+$P$98*$Q76/$L$88)^2)^(1/2)),"")</f>
        <v/>
      </c>
      <c r="AD76" s="208"/>
      <c r="AE76" s="215" t="str">
        <f>IF($AG$58&gt;=11,11,"")</f>
        <v/>
      </c>
      <c r="AF76" s="217" t="str">
        <f t="shared" si="2"/>
        <v/>
      </c>
      <c r="AG76" s="217" t="str">
        <f t="shared" si="3"/>
        <v/>
      </c>
      <c r="AH76" s="215" t="str">
        <f>IF($AG$58&gt;=36,36,"")</f>
        <v/>
      </c>
      <c r="AI76" s="217" t="str">
        <f t="shared" si="4"/>
        <v/>
      </c>
      <c r="AJ76" s="217" t="str">
        <f t="shared" si="5"/>
        <v/>
      </c>
      <c r="AK76" s="215" t="str">
        <f>IF($AG$58&gt;=61,61,"")</f>
        <v/>
      </c>
      <c r="AL76" s="217" t="str">
        <f t="shared" si="6"/>
        <v/>
      </c>
      <c r="AM76" s="217" t="str">
        <f t="shared" si="7"/>
        <v/>
      </c>
      <c r="AN76" s="202"/>
      <c r="AO76" s="202"/>
    </row>
    <row r="77" spans="1:41" x14ac:dyDescent="0.25">
      <c r="A77" s="260" t="str">
        <f>IF($C$9&gt;=4,"#4:","")</f>
        <v>#4:</v>
      </c>
      <c r="B77" s="147">
        <f t="shared" si="8"/>
        <v>80.757575864462808</v>
      </c>
      <c r="C77" s="148">
        <f t="shared" si="9"/>
        <v>1.8027756377319946</v>
      </c>
      <c r="D77" s="260" t="str">
        <f>IF($C$9&gt;=29,"#29:","")</f>
        <v>#29:</v>
      </c>
      <c r="E77" s="147">
        <f t="shared" si="10"/>
        <v>71.565656516253455</v>
      </c>
      <c r="F77" s="148">
        <f t="shared" si="11"/>
        <v>1.8027756377319946</v>
      </c>
      <c r="G77" s="261" t="str">
        <f>IF($C$9&gt;=54,"#54:","")</f>
        <v/>
      </c>
      <c r="H77" s="147" t="str">
        <f t="shared" si="12"/>
        <v/>
      </c>
      <c r="I77" s="148" t="str">
        <f t="shared" si="13"/>
        <v/>
      </c>
      <c r="K77" s="9">
        <v>73</v>
      </c>
      <c r="L77" s="16" t="str">
        <f>IF($C$9&gt;=73,$I34-$L$85,"")</f>
        <v/>
      </c>
      <c r="M77" s="16" t="str">
        <f>IF($C$9&gt;=73,$H34-$L$84,"")</f>
        <v/>
      </c>
      <c r="N77" s="16" t="str">
        <f>IF($C$9&gt;=73,$L77^2,"")</f>
        <v/>
      </c>
      <c r="O77" s="16" t="str">
        <f>IF($C$9&gt;=73,$M77^2,"")</f>
        <v/>
      </c>
      <c r="P77" s="16" t="str">
        <f>IF($C$9&gt;=73,$L77*$M77,"")</f>
        <v/>
      </c>
      <c r="Q77" s="17" t="str">
        <f>IF($C$9&gt;=73,$H34-$L$84,"")</f>
        <v/>
      </c>
      <c r="R77" s="17" t="str">
        <f>IF($C$9&gt;=73,$I34-$L$85,"")</f>
        <v/>
      </c>
      <c r="S77" s="18" t="str">
        <f>IF($C$9&gt;=73,(-$P$93/$C$9+($P$97*$L$86--$P$96*$L$89)/($L$86*$L$87-$L$89^2)*$Q77+(-$P$96*$L$87-$P$97*$L$89)/($L$86*$L$87-$L$89^2)*$R77),"")</f>
        <v/>
      </c>
      <c r="T77" s="18" t="str">
        <f>IF($C$9&gt;=73,((($P$94/$C$9+$P$98*-$R77/$L$88)^2+($P$95/$C$9+$P$98*$Q77/$L$88)^2)^(1/2)),"")</f>
        <v/>
      </c>
      <c r="AD77" s="208"/>
      <c r="AE77" s="215" t="str">
        <f>IF($AG$58&gt;=12,12,"")</f>
        <v/>
      </c>
      <c r="AF77" s="217" t="str">
        <f t="shared" si="2"/>
        <v/>
      </c>
      <c r="AG77" s="217" t="str">
        <f t="shared" si="3"/>
        <v/>
      </c>
      <c r="AH77" s="215" t="str">
        <f>IF($AG$58&gt;=37,37,"")</f>
        <v/>
      </c>
      <c r="AI77" s="217" t="str">
        <f t="shared" si="4"/>
        <v/>
      </c>
      <c r="AJ77" s="217" t="str">
        <f t="shared" si="5"/>
        <v/>
      </c>
      <c r="AK77" s="215" t="str">
        <f>IF($AG$58&gt;=62,62,"")</f>
        <v/>
      </c>
      <c r="AL77" s="217" t="str">
        <f t="shared" si="6"/>
        <v/>
      </c>
      <c r="AM77" s="217" t="str">
        <f t="shared" si="7"/>
        <v/>
      </c>
      <c r="AN77" s="202"/>
      <c r="AO77" s="194" t="s">
        <v>177</v>
      </c>
    </row>
    <row r="78" spans="1:41" x14ac:dyDescent="0.25">
      <c r="A78" s="260" t="str">
        <f>IF($C$9&gt;=5,"#5:","")</f>
        <v>#5:</v>
      </c>
      <c r="B78" s="147">
        <f t="shared" si="8"/>
        <v>80.252525354820932</v>
      </c>
      <c r="C78" s="148">
        <f t="shared" si="9"/>
        <v>1.8027756377319946</v>
      </c>
      <c r="D78" s="260" t="str">
        <f>IF($C$9&gt;=30,"#30:","")</f>
        <v>#30:</v>
      </c>
      <c r="E78" s="147">
        <f t="shared" si="10"/>
        <v>71.060606006611579</v>
      </c>
      <c r="F78" s="148">
        <f t="shared" si="11"/>
        <v>1.8027756377319946</v>
      </c>
      <c r="G78" s="261" t="str">
        <f>IF($C$9&gt;=55,"#55:","")</f>
        <v/>
      </c>
      <c r="H78" s="147" t="str">
        <f t="shared" si="12"/>
        <v/>
      </c>
      <c r="I78" s="148" t="str">
        <f t="shared" si="13"/>
        <v/>
      </c>
      <c r="K78" s="9">
        <v>74</v>
      </c>
      <c r="L78" s="16" t="str">
        <f>IF($C$9&gt;=74,$I35-$L$85,"")</f>
        <v/>
      </c>
      <c r="M78" s="16" t="str">
        <f>IF($C$9&gt;=74,$H35-$L$84,"")</f>
        <v/>
      </c>
      <c r="N78" s="16" t="str">
        <f>IF($C$9&gt;=74,$L78^2,"")</f>
        <v/>
      </c>
      <c r="O78" s="16" t="str">
        <f>IF($C$9&gt;=74,$M78^2,"")</f>
        <v/>
      </c>
      <c r="P78" s="16" t="str">
        <f>IF($C$9&gt;=74,$L78*$M78,"")</f>
        <v/>
      </c>
      <c r="Q78" s="17" t="str">
        <f>IF($C$9&gt;=74,$H35-$L$84,"")</f>
        <v/>
      </c>
      <c r="R78" s="17" t="str">
        <f>IF($C$9&gt;=74,$I35-$L$85,"")</f>
        <v/>
      </c>
      <c r="S78" s="18" t="str">
        <f>IF($C$9&gt;=74,(-$P$93/$C$9+($P$97*$L$86--$P$96*$L$89)/($L$86*$L$87-$L$89^2)*$Q78+(-$P$96*$L$87-$P$97*$L$89)/($L$86*$L$87-$L$89^2)*$R78),"")</f>
        <v/>
      </c>
      <c r="T78" s="18" t="str">
        <f>IF($C$9&gt;=74,((($P$94/$C$9+$P$98*-$R78/$L$88)^2+($P$95/$C$9+$P$98*$Q78/$L$88)^2)^(1/2)),"")</f>
        <v/>
      </c>
      <c r="AD78" s="208"/>
      <c r="AE78" s="215" t="str">
        <f>IF($AG$58&gt;=13,13,"")</f>
        <v/>
      </c>
      <c r="AF78" s="217" t="str">
        <f t="shared" si="2"/>
        <v/>
      </c>
      <c r="AG78" s="217" t="str">
        <f t="shared" si="3"/>
        <v/>
      </c>
      <c r="AH78" s="215" t="str">
        <f>IF($AG$58&gt;=38,38,"")</f>
        <v/>
      </c>
      <c r="AI78" s="217" t="str">
        <f t="shared" si="4"/>
        <v/>
      </c>
      <c r="AJ78" s="217" t="str">
        <f t="shared" si="5"/>
        <v/>
      </c>
      <c r="AK78" s="215" t="str">
        <f>IF($AG$58&gt;=63,63,"")</f>
        <v/>
      </c>
      <c r="AL78" s="217" t="str">
        <f t="shared" si="6"/>
        <v/>
      </c>
      <c r="AM78" s="217" t="str">
        <f t="shared" si="7"/>
        <v/>
      </c>
      <c r="AN78" s="202"/>
      <c r="AO78" s="194" t="s">
        <v>178</v>
      </c>
    </row>
    <row r="79" spans="1:41" x14ac:dyDescent="0.25">
      <c r="A79" s="260" t="str">
        <f>IF($C$9&gt;=6,"#6:","")</f>
        <v>#6:</v>
      </c>
      <c r="B79" s="147">
        <f t="shared" si="8"/>
        <v>79.747474845179056</v>
      </c>
      <c r="C79" s="148">
        <f t="shared" si="9"/>
        <v>1.8027756377319946</v>
      </c>
      <c r="D79" s="260" t="str">
        <f>IF($C$9&gt;=31,"#31:","")</f>
        <v>#31:</v>
      </c>
      <c r="E79" s="147">
        <f t="shared" si="10"/>
        <v>72.272727193388434</v>
      </c>
      <c r="F79" s="148">
        <f t="shared" si="11"/>
        <v>1.8027756377319946</v>
      </c>
      <c r="G79" s="261" t="str">
        <f>IF($C$9&gt;=56,"#56:","")</f>
        <v/>
      </c>
      <c r="H79" s="147" t="str">
        <f t="shared" si="12"/>
        <v/>
      </c>
      <c r="I79" s="148" t="str">
        <f t="shared" si="13"/>
        <v/>
      </c>
      <c r="K79" s="9">
        <v>75</v>
      </c>
      <c r="L79" s="16" t="str">
        <f>IF($C$9=75,$I36-$L$85,"")</f>
        <v/>
      </c>
      <c r="M79" s="16" t="str">
        <f>IF($C$9=75,$H36-$L$84,"")</f>
        <v/>
      </c>
      <c r="N79" s="16" t="str">
        <f>IF($C$9=75,$L79^2,"")</f>
        <v/>
      </c>
      <c r="O79" s="16" t="str">
        <f>IF($C$9=75,$M79^2,"")</f>
        <v/>
      </c>
      <c r="P79" s="16" t="str">
        <f>IF($C$9=75,$L79*$M79,"")</f>
        <v/>
      </c>
      <c r="Q79" s="17" t="str">
        <f>IF($C$9=75,$H36-$L$84,"")</f>
        <v/>
      </c>
      <c r="R79" s="17" t="str">
        <f>IF($C$9=75,$I36-$L$85,"")</f>
        <v/>
      </c>
      <c r="S79" s="18" t="str">
        <f>IF($C$9=75,(-$P$93/$C$9+($P$97*$L$86--$P$96*$L$89)/($L$86*$L$87-$L$89^2)*$Q79+(-$P$96*$L$87-$P$97*$L$89)/($L$86*$L$87-$L$89^2)*$R79),"")</f>
        <v/>
      </c>
      <c r="T79" s="18" t="str">
        <f>IF($C$9=75,((($P$94/$C$9+$P$98*-$R79/$L$88)^2+($P$95/$C$9+$P$98*$Q79/$L$88)^2)^(1/2)),"")</f>
        <v/>
      </c>
      <c r="AD79" s="208"/>
      <c r="AE79" s="215" t="str">
        <f>IF($AG$58&gt;=14,14,"")</f>
        <v/>
      </c>
      <c r="AF79" s="217" t="str">
        <f t="shared" si="2"/>
        <v/>
      </c>
      <c r="AG79" s="217" t="str">
        <f t="shared" si="3"/>
        <v/>
      </c>
      <c r="AH79" s="215" t="str">
        <f>IF($AG$58&gt;=39,39,"")</f>
        <v/>
      </c>
      <c r="AI79" s="217" t="str">
        <f t="shared" si="4"/>
        <v/>
      </c>
      <c r="AJ79" s="217" t="str">
        <f t="shared" si="5"/>
        <v/>
      </c>
      <c r="AK79" s="215" t="str">
        <f>IF($AG$58&gt;=64,64,"")</f>
        <v/>
      </c>
      <c r="AL79" s="217" t="str">
        <f t="shared" si="6"/>
        <v/>
      </c>
      <c r="AM79" s="217" t="str">
        <f t="shared" si="7"/>
        <v/>
      </c>
      <c r="AN79" s="202"/>
      <c r="AO79" s="202"/>
    </row>
    <row r="80" spans="1:41" x14ac:dyDescent="0.25">
      <c r="A80" s="260" t="str">
        <f>IF($C$9&gt;=7,"#7:","")</f>
        <v>#7:</v>
      </c>
      <c r="B80" s="147">
        <f t="shared" si="8"/>
        <v>79.24242433553718</v>
      </c>
      <c r="C80" s="148">
        <f t="shared" si="9"/>
        <v>1.8027756377319946</v>
      </c>
      <c r="D80" s="260" t="str">
        <f>IF($C$9&gt;=32,"#32:","")</f>
        <v>#32:</v>
      </c>
      <c r="E80" s="147">
        <f t="shared" si="10"/>
        <v>71.767676683746558</v>
      </c>
      <c r="F80" s="148">
        <f t="shared" si="11"/>
        <v>1.8027756377319946</v>
      </c>
      <c r="G80" s="261" t="str">
        <f>IF($C$9&gt;=57,"#57:","")</f>
        <v/>
      </c>
      <c r="H80" s="147" t="str">
        <f t="shared" si="12"/>
        <v/>
      </c>
      <c r="I80" s="148" t="str">
        <f t="shared" si="13"/>
        <v/>
      </c>
      <c r="AD80" s="208"/>
      <c r="AE80" s="215" t="str">
        <f>IF($AG$58&gt;=15,15,"")</f>
        <v/>
      </c>
      <c r="AF80" s="217" t="str">
        <f t="shared" si="2"/>
        <v/>
      </c>
      <c r="AG80" s="217" t="str">
        <f t="shared" si="3"/>
        <v/>
      </c>
      <c r="AH80" s="215" t="str">
        <f>IF($AG$58&gt;=40,40,"")</f>
        <v/>
      </c>
      <c r="AI80" s="217" t="str">
        <f t="shared" si="4"/>
        <v/>
      </c>
      <c r="AJ80" s="217" t="str">
        <f t="shared" si="5"/>
        <v/>
      </c>
      <c r="AK80" s="215" t="str">
        <f>IF($AG$58&gt;=65,65,"")</f>
        <v/>
      </c>
      <c r="AL80" s="217" t="str">
        <f t="shared" si="6"/>
        <v/>
      </c>
      <c r="AM80" s="217" t="str">
        <f t="shared" si="7"/>
        <v/>
      </c>
      <c r="AN80" s="202"/>
      <c r="AO80" s="202"/>
    </row>
    <row r="81" spans="1:41" x14ac:dyDescent="0.25">
      <c r="A81" s="260" t="str">
        <f>IF($C$9&gt;=8,"#8:","")</f>
        <v>#8:</v>
      </c>
      <c r="B81" s="147">
        <f t="shared" si="8"/>
        <v>78.737373825895318</v>
      </c>
      <c r="C81" s="148">
        <f t="shared" si="9"/>
        <v>1.8027756377319946</v>
      </c>
      <c r="D81" s="260" t="str">
        <f>IF($C$9&gt;=33,"#33:","")</f>
        <v>#33:</v>
      </c>
      <c r="E81" s="147">
        <f t="shared" si="10"/>
        <v>71.262626174104682</v>
      </c>
      <c r="F81" s="148">
        <f t="shared" si="11"/>
        <v>1.8027756377319946</v>
      </c>
      <c r="G81" s="261" t="str">
        <f>IF($C$9&gt;=58,"#58:","")</f>
        <v/>
      </c>
      <c r="H81" s="147" t="str">
        <f t="shared" si="12"/>
        <v/>
      </c>
      <c r="I81" s="148" t="str">
        <f t="shared" si="13"/>
        <v/>
      </c>
      <c r="K81" s="12" t="s">
        <v>32</v>
      </c>
      <c r="L81" s="8"/>
      <c r="M81" s="8"/>
      <c r="N81" s="3"/>
      <c r="O81" s="12" t="s">
        <v>7</v>
      </c>
      <c r="T81" s="24"/>
      <c r="AD81" s="208"/>
      <c r="AE81" s="215" t="str">
        <f>IF($AG$58&gt;=16,16,"")</f>
        <v/>
      </c>
      <c r="AF81" s="217" t="str">
        <f t="shared" si="2"/>
        <v/>
      </c>
      <c r="AG81" s="217" t="str">
        <f t="shared" si="3"/>
        <v/>
      </c>
      <c r="AH81" s="215" t="str">
        <f>IF($AG$58&gt;=41,41,"")</f>
        <v/>
      </c>
      <c r="AI81" s="217" t="str">
        <f t="shared" si="4"/>
        <v/>
      </c>
      <c r="AJ81" s="217" t="str">
        <f t="shared" si="5"/>
        <v/>
      </c>
      <c r="AK81" s="215" t="str">
        <f>IF($AG$58&gt;=66,66,"")</f>
        <v/>
      </c>
      <c r="AL81" s="217" t="str">
        <f t="shared" si="6"/>
        <v/>
      </c>
      <c r="AM81" s="217" t="str">
        <f t="shared" si="7"/>
        <v/>
      </c>
      <c r="AN81" s="202"/>
      <c r="AO81" s="202"/>
    </row>
    <row r="82" spans="1:41" x14ac:dyDescent="0.25">
      <c r="A82" s="260" t="str">
        <f>IF($C$9&gt;=9,"#9:","")</f>
        <v>#9:</v>
      </c>
      <c r="B82" s="147">
        <f t="shared" si="8"/>
        <v>78.232323316253442</v>
      </c>
      <c r="C82" s="148">
        <f t="shared" si="9"/>
        <v>1.8027756377319946</v>
      </c>
      <c r="D82" s="260" t="str">
        <f>IF($C$9&gt;=34,"#34:","")</f>
        <v>#34:</v>
      </c>
      <c r="E82" s="147">
        <f t="shared" si="10"/>
        <v>70.75757566446282</v>
      </c>
      <c r="F82" s="148">
        <f t="shared" si="11"/>
        <v>1.8027756377319946</v>
      </c>
      <c r="G82" s="261" t="str">
        <f>IF($C$9&gt;=59,"#59:","")</f>
        <v/>
      </c>
      <c r="H82" s="147" t="str">
        <f t="shared" si="12"/>
        <v/>
      </c>
      <c r="I82" s="148" t="str">
        <f t="shared" si="13"/>
        <v/>
      </c>
      <c r="K82" s="11" t="s">
        <v>85</v>
      </c>
      <c r="L82" s="4">
        <f>SUM($B$12:$B$36)+SUM($E$12:$E$36)+SUM($H$12:$H$36)</f>
        <v>180</v>
      </c>
      <c r="O82" s="8"/>
      <c r="P82" s="23" t="s">
        <v>8</v>
      </c>
      <c r="Q82" s="23" t="s">
        <v>9</v>
      </c>
      <c r="R82" s="23" t="s">
        <v>10</v>
      </c>
      <c r="S82" s="23" t="s">
        <v>11</v>
      </c>
      <c r="T82" s="23" t="s">
        <v>45</v>
      </c>
      <c r="U82" s="23" t="s">
        <v>46</v>
      </c>
      <c r="V82" s="23" t="s">
        <v>47</v>
      </c>
      <c r="W82" s="23" t="s">
        <v>48</v>
      </c>
      <c r="X82" s="23"/>
      <c r="Y82" s="23"/>
      <c r="Z82" s="23"/>
      <c r="AD82" s="208"/>
      <c r="AE82" s="215" t="str">
        <f>IF($AG$58&gt;=17,17,"")</f>
        <v/>
      </c>
      <c r="AF82" s="217" t="str">
        <f t="shared" si="2"/>
        <v/>
      </c>
      <c r="AG82" s="217" t="str">
        <f t="shared" si="3"/>
        <v/>
      </c>
      <c r="AH82" s="215" t="str">
        <f>IF($AG$58&gt;=42,42,"")</f>
        <v/>
      </c>
      <c r="AI82" s="217" t="str">
        <f t="shared" si="4"/>
        <v/>
      </c>
      <c r="AJ82" s="217" t="str">
        <f t="shared" si="5"/>
        <v/>
      </c>
      <c r="AK82" s="215" t="str">
        <f>IF($AG$58&gt;=67,67,"")</f>
        <v/>
      </c>
      <c r="AL82" s="217" t="str">
        <f t="shared" si="6"/>
        <v/>
      </c>
      <c r="AM82" s="217" t="str">
        <f t="shared" si="7"/>
        <v/>
      </c>
      <c r="AN82" s="202"/>
      <c r="AO82" s="202"/>
    </row>
    <row r="83" spans="1:41" x14ac:dyDescent="0.25">
      <c r="A83" s="260" t="str">
        <f>IF($C$9&gt;=10,"#10:","")</f>
        <v>#10:</v>
      </c>
      <c r="B83" s="147">
        <f t="shared" si="8"/>
        <v>77.727272806611566</v>
      </c>
      <c r="C83" s="148">
        <f t="shared" si="9"/>
        <v>1.8027756377319946</v>
      </c>
      <c r="D83" s="260" t="str">
        <f>IF($C$9&gt;=35,"#35:","")</f>
        <v>#35:</v>
      </c>
      <c r="E83" s="147">
        <f t="shared" si="10"/>
        <v>70.252525154820944</v>
      </c>
      <c r="F83" s="148">
        <f t="shared" si="11"/>
        <v>1.8027756377319946</v>
      </c>
      <c r="G83" s="261" t="str">
        <f>IF($C$9&gt;=60,"#60:","")</f>
        <v/>
      </c>
      <c r="H83" s="147" t="str">
        <f t="shared" si="12"/>
        <v/>
      </c>
      <c r="I83" s="148" t="str">
        <f t="shared" si="13"/>
        <v/>
      </c>
      <c r="K83" s="11" t="s">
        <v>86</v>
      </c>
      <c r="L83" s="4">
        <f>SUM($C$12:$C$36)+SUM($F$12:$F$36)+SUM($I$12:$I$36)</f>
        <v>540</v>
      </c>
      <c r="O83" s="4" t="s">
        <v>88</v>
      </c>
      <c r="P83" s="3">
        <f>IF($B$38&gt;=1,$B$41-$L$84,"")</f>
        <v>0</v>
      </c>
      <c r="Q83" s="3">
        <f>IF($B$38&gt;=2,$C$41-$L$84,"")</f>
        <v>0</v>
      </c>
      <c r="R83" s="3" t="str">
        <f>IF($B$38&gt;=3,$D$41-$L$84,"")</f>
        <v/>
      </c>
      <c r="S83" s="3" t="str">
        <f>IF($B$38&gt;=4,$E$41-$L$84,"")</f>
        <v/>
      </c>
      <c r="T83" s="3" t="str">
        <f>IF($B$38&gt;=5,$F$41-$L$84,"")</f>
        <v/>
      </c>
      <c r="U83" s="3" t="str">
        <f>IF($B$38&gt;=6,$G$41-$L$84,"")</f>
        <v/>
      </c>
      <c r="V83" s="3" t="str">
        <f>IF($B$38&gt;=7,$H$41-$L$84,"")</f>
        <v/>
      </c>
      <c r="W83" s="3" t="str">
        <f>IF($B$38=8,$I$41-$L$84,"")</f>
        <v/>
      </c>
      <c r="X83" s="3"/>
      <c r="Y83" s="3"/>
      <c r="Z83" s="3"/>
      <c r="AD83" s="208"/>
      <c r="AE83" s="215" t="str">
        <f>IF($AG$58&gt;=18,18,"")</f>
        <v/>
      </c>
      <c r="AF83" s="217" t="str">
        <f t="shared" si="2"/>
        <v/>
      </c>
      <c r="AG83" s="217" t="str">
        <f t="shared" si="3"/>
        <v/>
      </c>
      <c r="AH83" s="215" t="str">
        <f>IF($AG$58&gt;=43,43,"")</f>
        <v/>
      </c>
      <c r="AI83" s="217" t="str">
        <f t="shared" si="4"/>
        <v/>
      </c>
      <c r="AJ83" s="217" t="str">
        <f t="shared" si="5"/>
        <v/>
      </c>
      <c r="AK83" s="215" t="str">
        <f>IF($AG$58&gt;=68,68,"")</f>
        <v/>
      </c>
      <c r="AL83" s="217" t="str">
        <f t="shared" si="6"/>
        <v/>
      </c>
      <c r="AM83" s="217" t="str">
        <f t="shared" si="7"/>
        <v/>
      </c>
      <c r="AN83" s="200"/>
      <c r="AO83" s="200"/>
    </row>
    <row r="84" spans="1:41" x14ac:dyDescent="0.25">
      <c r="A84" s="260" t="str">
        <f>IF($C$9&gt;=11,"#11:","")</f>
        <v>#11:</v>
      </c>
      <c r="B84" s="147">
        <f t="shared" si="8"/>
        <v>78.939393993388421</v>
      </c>
      <c r="C84" s="148">
        <f t="shared" si="9"/>
        <v>1.8027756377319946</v>
      </c>
      <c r="D84" s="260" t="str">
        <f>IF($C$9&gt;=36,"#36:","")</f>
        <v>#36:</v>
      </c>
      <c r="E84" s="147">
        <f t="shared" si="10"/>
        <v>69.747474645179068</v>
      </c>
      <c r="F84" s="148">
        <f t="shared" si="11"/>
        <v>1.8027756377319946</v>
      </c>
      <c r="G84" s="261" t="str">
        <f>IF($C$9&gt;=61,"#61","")</f>
        <v/>
      </c>
      <c r="H84" s="147" t="str">
        <f t="shared" si="12"/>
        <v/>
      </c>
      <c r="I84" s="148" t="str">
        <f t="shared" si="13"/>
        <v/>
      </c>
      <c r="K84" s="19" t="s">
        <v>5</v>
      </c>
      <c r="L84" s="16">
        <f>$L$82/$C$9</f>
        <v>4.5</v>
      </c>
      <c r="O84" s="4" t="s">
        <v>87</v>
      </c>
      <c r="P84" s="3">
        <f>IF($B$38&gt;=1,$B$42-$L$85,"")</f>
        <v>-4.5</v>
      </c>
      <c r="Q84" s="3">
        <f>IF($B$38&gt;=2,$C$42-$L$85,"")</f>
        <v>4.5</v>
      </c>
      <c r="R84" s="3" t="str">
        <f>IF($B$38&gt;=3,$D$42-$L$85,"")</f>
        <v/>
      </c>
      <c r="S84" s="3" t="str">
        <f>IF($B$38&gt;=4,$E$42-$L$85,"")</f>
        <v/>
      </c>
      <c r="T84" s="3" t="str">
        <f>IF($B$38&gt;=5,$F$42-$L$85,"")</f>
        <v/>
      </c>
      <c r="U84" s="3" t="str">
        <f>IF($B$38&gt;=6,$G$42-$L$85,"")</f>
        <v/>
      </c>
      <c r="V84" s="3" t="str">
        <f>IF($B$38&gt;=7,$H$42-$L$85,"")</f>
        <v/>
      </c>
      <c r="W84" s="3" t="str">
        <f>IF($B$38=8,$I$42-$L$85,"")</f>
        <v/>
      </c>
      <c r="X84" s="3"/>
      <c r="Y84" s="3"/>
      <c r="Z84" s="3"/>
      <c r="AD84" s="208"/>
      <c r="AE84" s="215" t="str">
        <f>IF($AG$58&gt;=19,19,"")</f>
        <v/>
      </c>
      <c r="AF84" s="217" t="str">
        <f t="shared" si="2"/>
        <v/>
      </c>
      <c r="AG84" s="217" t="str">
        <f t="shared" si="3"/>
        <v/>
      </c>
      <c r="AH84" s="215" t="str">
        <f>IF($AG$58&gt;=44,44,"")</f>
        <v/>
      </c>
      <c r="AI84" s="217" t="str">
        <f t="shared" si="4"/>
        <v/>
      </c>
      <c r="AJ84" s="217" t="str">
        <f t="shared" si="5"/>
        <v/>
      </c>
      <c r="AK84" s="215" t="str">
        <f>IF($AG$58&gt;=69,69,"")</f>
        <v/>
      </c>
      <c r="AL84" s="217" t="str">
        <f t="shared" si="6"/>
        <v/>
      </c>
      <c r="AM84" s="217" t="str">
        <f t="shared" si="7"/>
        <v/>
      </c>
      <c r="AN84" s="200"/>
      <c r="AO84" s="200"/>
    </row>
    <row r="85" spans="1:41" x14ac:dyDescent="0.25">
      <c r="A85" s="260" t="str">
        <f>IF($C$9&gt;=12,"#12:","")</f>
        <v>#12:</v>
      </c>
      <c r="B85" s="147">
        <f t="shared" si="8"/>
        <v>78.434343483746545</v>
      </c>
      <c r="C85" s="148">
        <f t="shared" si="9"/>
        <v>1.8027756377319946</v>
      </c>
      <c r="D85" s="260" t="str">
        <f>IF($C$9&gt;=37,"#37:","")</f>
        <v>#37:</v>
      </c>
      <c r="E85" s="147">
        <f t="shared" si="10"/>
        <v>69.242424135537192</v>
      </c>
      <c r="F85" s="148">
        <f t="shared" si="11"/>
        <v>1.8027756377319946</v>
      </c>
      <c r="G85" s="261" t="str">
        <f>IF($C$9&gt;=62,"#62","")</f>
        <v/>
      </c>
      <c r="H85" s="147" t="str">
        <f t="shared" si="12"/>
        <v/>
      </c>
      <c r="I85" s="148" t="str">
        <f t="shared" si="13"/>
        <v/>
      </c>
      <c r="K85" s="19" t="s">
        <v>6</v>
      </c>
      <c r="L85" s="16">
        <f>$L$83/$C$9</f>
        <v>13.5</v>
      </c>
      <c r="O85" s="23" t="s">
        <v>12</v>
      </c>
      <c r="P85" s="3">
        <f>IF($B$38&gt;=1,$B$44*$P$84,"")</f>
        <v>6750</v>
      </c>
      <c r="Q85" s="3">
        <f>IF($B$38&gt;=2,$C$44*$Q$84,"")</f>
        <v>-6750</v>
      </c>
      <c r="R85" s="3" t="str">
        <f>IF($B$38&gt;=3,$D$44*$R$84,"")</f>
        <v/>
      </c>
      <c r="S85" s="3" t="str">
        <f>IF($B$38&gt;=4,$E$44*$S$84,"")</f>
        <v/>
      </c>
      <c r="T85" s="3" t="str">
        <f>IF($B$38&gt;=5,$F$44*$T$84,"")</f>
        <v/>
      </c>
      <c r="U85" s="3" t="str">
        <f>IF($B$38&gt;=6,$G$44*$U$84,"")</f>
        <v/>
      </c>
      <c r="V85" s="3" t="str">
        <f>IF($B$38&gt;=7,$H$44*$V$84,"")</f>
        <v/>
      </c>
      <c r="W85" s="3" t="str">
        <f>IF($B$38=8,$I$44*$W$84,"")</f>
        <v/>
      </c>
      <c r="X85" s="3"/>
      <c r="Y85" s="3"/>
      <c r="Z85" s="3"/>
      <c r="AD85" s="208"/>
      <c r="AE85" s="215" t="str">
        <f>IF($AG$58&gt;=20,20,"")</f>
        <v/>
      </c>
      <c r="AF85" s="217" t="str">
        <f t="shared" si="2"/>
        <v/>
      </c>
      <c r="AG85" s="217" t="str">
        <f t="shared" si="3"/>
        <v/>
      </c>
      <c r="AH85" s="215" t="str">
        <f>IF($AG$58&gt;=45,45,"")</f>
        <v/>
      </c>
      <c r="AI85" s="217" t="str">
        <f t="shared" si="4"/>
        <v/>
      </c>
      <c r="AJ85" s="217" t="str">
        <f t="shared" si="5"/>
        <v/>
      </c>
      <c r="AK85" s="215" t="str">
        <f>IF($AG$58&gt;=70,70,"")</f>
        <v/>
      </c>
      <c r="AL85" s="217" t="str">
        <f t="shared" si="6"/>
        <v/>
      </c>
      <c r="AM85" s="217" t="str">
        <f t="shared" si="7"/>
        <v/>
      </c>
      <c r="AN85" s="200"/>
      <c r="AO85" s="200"/>
    </row>
    <row r="86" spans="1:41" x14ac:dyDescent="0.25">
      <c r="A86" s="260" t="str">
        <f>IF($C$9&gt;=13,"#13:","")</f>
        <v>#13:</v>
      </c>
      <c r="B86" s="147">
        <f t="shared" si="8"/>
        <v>77.929292974104669</v>
      </c>
      <c r="C86" s="148">
        <f t="shared" si="9"/>
        <v>1.8027756377319946</v>
      </c>
      <c r="D86" s="260" t="str">
        <f>IF($C$9&gt;=38,"#38:","")</f>
        <v>#38:</v>
      </c>
      <c r="E86" s="147">
        <f t="shared" si="10"/>
        <v>68.73737362589533</v>
      </c>
      <c r="F86" s="148">
        <f t="shared" si="11"/>
        <v>1.8027756377319946</v>
      </c>
      <c r="G86" s="261" t="str">
        <f>IF($C$9&gt;=63,"#63","")</f>
        <v/>
      </c>
      <c r="H86" s="147" t="str">
        <f t="shared" si="12"/>
        <v/>
      </c>
      <c r="I86" s="148" t="str">
        <f t="shared" si="13"/>
        <v/>
      </c>
      <c r="K86" s="20" t="s">
        <v>92</v>
      </c>
      <c r="L86" s="30">
        <f>SUM($N$5:$N$79)</f>
        <v>2969.9999730000009</v>
      </c>
      <c r="O86" s="23" t="s">
        <v>13</v>
      </c>
      <c r="P86" s="3">
        <f>IF($B$38&gt;=1,$B$44*-$P$83,"")</f>
        <v>0</v>
      </c>
      <c r="Q86" s="3">
        <f>IF($B$38&gt;=2,$C$44*-$Q$83,"")</f>
        <v>0</v>
      </c>
      <c r="R86" s="3" t="str">
        <f>IF($B$38&gt;=3,$D$44*-$R$83,"")</f>
        <v/>
      </c>
      <c r="S86" s="3" t="str">
        <f>IF($B$38&gt;=4,$E$44*-$S$83,"")</f>
        <v/>
      </c>
      <c r="T86" s="3" t="str">
        <f>IF($B$38&gt;=5,$F$44*-$T$83,"")</f>
        <v/>
      </c>
      <c r="U86" s="3" t="str">
        <f>IF($B$38&gt;=6,$G$44*-$U$83,"")</f>
        <v/>
      </c>
      <c r="V86" s="3" t="str">
        <f>IF($B$38&gt;=7,$H$44*-$V$83,"")</f>
        <v/>
      </c>
      <c r="W86" s="3" t="str">
        <f>IF($B$38=8,$I$44*-$W$83,"")</f>
        <v/>
      </c>
      <c r="X86" s="3"/>
      <c r="Y86" s="3"/>
      <c r="Z86" s="3"/>
      <c r="AD86" s="208"/>
      <c r="AE86" s="215" t="str">
        <f>IF($AG$58&gt;=21,21,"")</f>
        <v/>
      </c>
      <c r="AF86" s="217" t="str">
        <f t="shared" si="2"/>
        <v/>
      </c>
      <c r="AG86" s="217" t="str">
        <f t="shared" si="3"/>
        <v/>
      </c>
      <c r="AH86" s="215" t="str">
        <f>IF($AG$58&gt;=46,46,"")</f>
        <v/>
      </c>
      <c r="AI86" s="217" t="str">
        <f t="shared" si="4"/>
        <v/>
      </c>
      <c r="AJ86" s="217" t="str">
        <f t="shared" si="5"/>
        <v/>
      </c>
      <c r="AK86" s="215" t="str">
        <f>IF($AG$58&gt;=71,71,"")</f>
        <v/>
      </c>
      <c r="AL86" s="217" t="str">
        <f t="shared" si="6"/>
        <v/>
      </c>
      <c r="AM86" s="217" t="str">
        <f t="shared" si="7"/>
        <v/>
      </c>
      <c r="AN86" s="206"/>
      <c r="AO86" s="218"/>
    </row>
    <row r="87" spans="1:41" x14ac:dyDescent="0.25">
      <c r="A87" s="260" t="str">
        <f>IF($C$9&gt;=14,"#14:","")</f>
        <v>#14:</v>
      </c>
      <c r="B87" s="147">
        <f t="shared" si="8"/>
        <v>77.424242464462807</v>
      </c>
      <c r="C87" s="148">
        <f t="shared" si="9"/>
        <v>1.8027756377319946</v>
      </c>
      <c r="D87" s="260" t="str">
        <f>IF($C$9&gt;=39,"#39:","")</f>
        <v>#39:</v>
      </c>
      <c r="E87" s="147">
        <f t="shared" si="10"/>
        <v>68.232323116253454</v>
      </c>
      <c r="F87" s="148">
        <f t="shared" si="11"/>
        <v>1.8027756377319946</v>
      </c>
      <c r="G87" s="261" t="str">
        <f>IF($C$9&gt;=64,"#64","")</f>
        <v/>
      </c>
      <c r="H87" s="147" t="str">
        <f t="shared" si="12"/>
        <v/>
      </c>
      <c r="I87" s="148" t="str">
        <f t="shared" si="13"/>
        <v/>
      </c>
      <c r="K87" s="20" t="s">
        <v>93</v>
      </c>
      <c r="L87" s="30">
        <f>SUM($O$5:$O$79)</f>
        <v>449.99999100000099</v>
      </c>
      <c r="O87" s="23" t="s">
        <v>14</v>
      </c>
      <c r="P87" s="3">
        <f>IF($B$38&gt;=1,$B$43*-$B$46,"")</f>
        <v>150</v>
      </c>
      <c r="Q87" s="3">
        <f>IF($B$38&gt;=2,$C$43*-$C$46,"")</f>
        <v>150</v>
      </c>
      <c r="R87" s="3" t="str">
        <f>IF($B$38&gt;=3,$D$43*-$D$46,"")</f>
        <v/>
      </c>
      <c r="S87" s="3" t="str">
        <f>IF($B$38&gt;=4,$E$43*-$E$46,"")</f>
        <v/>
      </c>
      <c r="T87" s="3" t="str">
        <f>IF($B$38&gt;=5,$F$43*-$F$46,"")</f>
        <v/>
      </c>
      <c r="U87" s="3" t="str">
        <f>IF($B$38&gt;=6,$G$43*-$G$46,"")</f>
        <v/>
      </c>
      <c r="V87" s="3" t="str">
        <f>IF($B$38&gt;=7,$H$43*-$H$46,"")</f>
        <v/>
      </c>
      <c r="W87" s="3" t="str">
        <f>IF($B$38=8,$I$43*-$I$46,"")</f>
        <v/>
      </c>
      <c r="X87" s="3"/>
      <c r="Y87" s="3"/>
      <c r="Z87" s="3"/>
      <c r="AD87" s="208"/>
      <c r="AE87" s="215" t="str">
        <f>IF($AG$58&gt;=22,22,"")</f>
        <v/>
      </c>
      <c r="AF87" s="217" t="str">
        <f t="shared" si="2"/>
        <v/>
      </c>
      <c r="AG87" s="217" t="str">
        <f t="shared" si="3"/>
        <v/>
      </c>
      <c r="AH87" s="215" t="str">
        <f>IF($AG$58&gt;=47,47,"")</f>
        <v/>
      </c>
      <c r="AI87" s="217" t="str">
        <f t="shared" si="4"/>
        <v/>
      </c>
      <c r="AJ87" s="217" t="str">
        <f t="shared" si="5"/>
        <v/>
      </c>
      <c r="AK87" s="215" t="str">
        <f>IF($AG$58&gt;=72,72,"")</f>
        <v/>
      </c>
      <c r="AL87" s="217" t="str">
        <f t="shared" si="6"/>
        <v/>
      </c>
      <c r="AM87" s="217" t="str">
        <f t="shared" si="7"/>
        <v/>
      </c>
      <c r="AN87" s="219"/>
      <c r="AO87" s="220"/>
    </row>
    <row r="88" spans="1:41" x14ac:dyDescent="0.25">
      <c r="A88" s="260" t="str">
        <f>IF($C$9&gt;=15,"#15:","")</f>
        <v>#15:</v>
      </c>
      <c r="B88" s="147">
        <f t="shared" si="8"/>
        <v>76.919191954820931</v>
      </c>
      <c r="C88" s="148">
        <f t="shared" si="9"/>
        <v>1.8027756377319946</v>
      </c>
      <c r="D88" s="260" t="str">
        <f>IF($C$9&gt;=40,"#40:","")</f>
        <v>#40:</v>
      </c>
      <c r="E88" s="147">
        <f t="shared" si="10"/>
        <v>67.727272606611578</v>
      </c>
      <c r="F88" s="148">
        <f t="shared" si="11"/>
        <v>1.8027756377319946</v>
      </c>
      <c r="G88" s="261" t="str">
        <f>IF($C$9&gt;=65,"#65","")</f>
        <v/>
      </c>
      <c r="H88" s="147" t="str">
        <f t="shared" si="12"/>
        <v/>
      </c>
      <c r="I88" s="148" t="str">
        <f t="shared" si="13"/>
        <v/>
      </c>
      <c r="K88" s="20" t="s">
        <v>22</v>
      </c>
      <c r="L88" s="30">
        <f>$L$86+$L$87</f>
        <v>3419.9999640000019</v>
      </c>
      <c r="O88" s="23" t="s">
        <v>15</v>
      </c>
      <c r="P88" s="3">
        <f>IF($B$38&gt;=1,$B$43*$B$45,"")</f>
        <v>-100</v>
      </c>
      <c r="Q88" s="3">
        <f>IF($B$38&gt;=2,$C$43*$C$45,"")</f>
        <v>-100</v>
      </c>
      <c r="R88" s="3" t="str">
        <f>IF($B$38&gt;=3,$D$43*$D$45,"")</f>
        <v/>
      </c>
      <c r="S88" s="3" t="str">
        <f>IF($B$38&gt;=4,$E$43*$E$45,"")</f>
        <v/>
      </c>
      <c r="T88" s="3" t="str">
        <f>IF($B$38&gt;=5,$F$43*$F$45,"")</f>
        <v/>
      </c>
      <c r="U88" s="3" t="str">
        <f>IF($B$38&gt;=6,$G$43*$G$45,"")</f>
        <v/>
      </c>
      <c r="V88" s="3" t="str">
        <f>IF($B$38&gt;=7,$H$43*$H$45,"")</f>
        <v/>
      </c>
      <c r="W88" s="3" t="str">
        <f>IF($B$38=8,$I$43*$I$45,"")</f>
        <v/>
      </c>
      <c r="X88" s="3"/>
      <c r="Y88" s="3"/>
      <c r="Z88" s="3"/>
      <c r="AD88" s="208"/>
      <c r="AE88" s="215" t="str">
        <f>IF($AG$58&gt;=23,23,"")</f>
        <v/>
      </c>
      <c r="AF88" s="217" t="str">
        <f t="shared" si="2"/>
        <v/>
      </c>
      <c r="AG88" s="217" t="str">
        <f t="shared" si="3"/>
        <v/>
      </c>
      <c r="AH88" s="215" t="str">
        <f>IF($AG$58&gt;=48,48,"")</f>
        <v/>
      </c>
      <c r="AI88" s="217" t="str">
        <f t="shared" si="4"/>
        <v/>
      </c>
      <c r="AJ88" s="217" t="str">
        <f t="shared" si="5"/>
        <v/>
      </c>
      <c r="AK88" s="215" t="str">
        <f>IF($AG$58&gt;=73,73,"")</f>
        <v/>
      </c>
      <c r="AL88" s="217" t="str">
        <f t="shared" si="6"/>
        <v/>
      </c>
      <c r="AM88" s="217" t="str">
        <f t="shared" si="7"/>
        <v/>
      </c>
      <c r="AN88" s="219"/>
      <c r="AO88" s="220"/>
    </row>
    <row r="89" spans="1:41" x14ac:dyDescent="0.25">
      <c r="A89" s="260" t="str">
        <f>IF($C$9&gt;=16,"#16:","")</f>
        <v>#16:</v>
      </c>
      <c r="B89" s="147">
        <f t="shared" si="8"/>
        <v>76.414141445179055</v>
      </c>
      <c r="C89" s="148">
        <f t="shared" si="9"/>
        <v>1.8027756377319946</v>
      </c>
      <c r="D89" s="260" t="str">
        <f>IF($C$9&gt;=41,"#41:","")</f>
        <v/>
      </c>
      <c r="E89" s="147" t="str">
        <f t="shared" si="10"/>
        <v/>
      </c>
      <c r="F89" s="148" t="str">
        <f t="shared" si="11"/>
        <v/>
      </c>
      <c r="G89" s="261" t="str">
        <f>IF($C$9&gt;=66,"#66","")</f>
        <v/>
      </c>
      <c r="H89" s="147" t="str">
        <f t="shared" si="12"/>
        <v/>
      </c>
      <c r="I89" s="148" t="str">
        <f t="shared" si="13"/>
        <v/>
      </c>
      <c r="K89" s="20" t="s">
        <v>94</v>
      </c>
      <c r="L89" s="4">
        <f>IF(ABS(SUM($P$5:$P$79))&lt;0.0005,0,SUM($P$5:$P$79))</f>
        <v>0</v>
      </c>
      <c r="O89" s="9" t="s">
        <v>16</v>
      </c>
      <c r="P89" s="28">
        <f>IF($B$38&gt;=1,$B$45*-$P$84,"")</f>
        <v>-90</v>
      </c>
      <c r="Q89" s="3">
        <f>IF($B$38&gt;=2,$C$45*-$Q$84,"")</f>
        <v>90</v>
      </c>
      <c r="R89" s="28" t="str">
        <f>IF($B$38&gt;=3,$D$45*-$R$84,"")</f>
        <v/>
      </c>
      <c r="S89" s="28" t="str">
        <f>IF($B$38&gt;=4,$E$45*-$S$84,"")</f>
        <v/>
      </c>
      <c r="T89" s="28" t="str">
        <f>IF($B$38&gt;=5,$F$45*-$T$84,"")</f>
        <v/>
      </c>
      <c r="U89" s="3" t="str">
        <f>IF($B$38&gt;=6,$G$45*-$U$84,"")</f>
        <v/>
      </c>
      <c r="V89" s="28" t="str">
        <f>IF($B$38&gt;=7,$H$45*-$V$84,"")</f>
        <v/>
      </c>
      <c r="W89" s="28" t="str">
        <f>IF($B$38=8,$I$45*-$W$84,"")</f>
        <v/>
      </c>
      <c r="X89" s="28"/>
      <c r="Y89" s="28"/>
      <c r="Z89" s="28"/>
      <c r="AD89" s="208"/>
      <c r="AE89" s="215" t="str">
        <f>IF($AG$58&gt;=24,24,"")</f>
        <v/>
      </c>
      <c r="AF89" s="221" t="str">
        <f t="shared" si="2"/>
        <v/>
      </c>
      <c r="AG89" s="221" t="str">
        <f t="shared" si="3"/>
        <v/>
      </c>
      <c r="AH89" s="215" t="str">
        <f>IF($AG$58&gt;=49,49,"")</f>
        <v/>
      </c>
      <c r="AI89" s="221" t="str">
        <f t="shared" si="4"/>
        <v/>
      </c>
      <c r="AJ89" s="221" t="str">
        <f t="shared" si="5"/>
        <v/>
      </c>
      <c r="AK89" s="215" t="str">
        <f>IF($AG$58&gt;=74,74,"")</f>
        <v/>
      </c>
      <c r="AL89" s="221" t="str">
        <f t="shared" si="6"/>
        <v/>
      </c>
      <c r="AM89" s="221" t="str">
        <f t="shared" si="7"/>
        <v/>
      </c>
      <c r="AN89" s="200"/>
      <c r="AO89" s="200"/>
    </row>
    <row r="90" spans="1:41" x14ac:dyDescent="0.25">
      <c r="A90" s="260" t="str">
        <f>IF($C$9&gt;=17,"#17:","")</f>
        <v>#17:</v>
      </c>
      <c r="B90" s="147">
        <f t="shared" si="8"/>
        <v>75.909090935537179</v>
      </c>
      <c r="C90" s="148">
        <f t="shared" si="9"/>
        <v>1.8027756377319946</v>
      </c>
      <c r="D90" s="260" t="str">
        <f>IF($C$9&gt;=42,"#42:","")</f>
        <v/>
      </c>
      <c r="E90" s="147" t="str">
        <f t="shared" si="10"/>
        <v/>
      </c>
      <c r="F90" s="148" t="str">
        <f t="shared" si="11"/>
        <v/>
      </c>
      <c r="G90" s="261" t="str">
        <f>IF($C$9&gt;=67,"#67","")</f>
        <v/>
      </c>
      <c r="H90" s="147" t="str">
        <f t="shared" si="12"/>
        <v/>
      </c>
      <c r="I90" s="148" t="str">
        <f t="shared" si="13"/>
        <v/>
      </c>
      <c r="K90" s="11" t="s">
        <v>23</v>
      </c>
      <c r="L90" s="4">
        <f>IF(ABS($L$86-$L$87)&lt;0.0005,IF($L$89&gt;0,-45,IF($L$89&lt;0,45,0)),DEGREES(ATAN(-2*$L$89/($L$86-$L$87))/2))</f>
        <v>0</v>
      </c>
      <c r="O90" s="9" t="s">
        <v>17</v>
      </c>
      <c r="P90" s="28">
        <f>IF($B$38&gt;=1,$B$46*$P$83,"")</f>
        <v>0</v>
      </c>
      <c r="Q90" s="3">
        <f>IF($B$38&gt;=2,$C$46*$Q$83,"")</f>
        <v>0</v>
      </c>
      <c r="R90" s="28" t="str">
        <f>IF($B$38&gt;=3,$D$46*$R$83,"")</f>
        <v/>
      </c>
      <c r="S90" s="28" t="str">
        <f>IF($B$38&gt;=4,$E$46*$S$83,"")</f>
        <v/>
      </c>
      <c r="T90" s="28" t="str">
        <f>IF($B$38&gt;=5,$F$46*$T$83,"")</f>
        <v/>
      </c>
      <c r="U90" s="3" t="str">
        <f>IF($B$38&gt;=6,$G$46*$U$83,"")</f>
        <v/>
      </c>
      <c r="V90" s="28" t="str">
        <f>IF($B$38&gt;=7,$H$46*$V$83,"")</f>
        <v/>
      </c>
      <c r="W90" s="28" t="str">
        <f>IF($B$38=8,$I$46*$W$83,"")</f>
        <v/>
      </c>
      <c r="X90" s="28"/>
      <c r="Y90" s="28"/>
      <c r="Z90" s="28"/>
      <c r="AD90" s="208"/>
      <c r="AE90" s="227" t="str">
        <f>IF($AG$58&gt;=25,25,"")</f>
        <v/>
      </c>
      <c r="AF90" s="222" t="str">
        <f t="shared" si="2"/>
        <v/>
      </c>
      <c r="AG90" s="222" t="str">
        <f t="shared" si="3"/>
        <v/>
      </c>
      <c r="AH90" s="227" t="str">
        <f>IF($AG$58&gt;=50,50,"")</f>
        <v/>
      </c>
      <c r="AI90" s="222" t="str">
        <f t="shared" si="4"/>
        <v/>
      </c>
      <c r="AJ90" s="222" t="str">
        <f t="shared" si="5"/>
        <v/>
      </c>
      <c r="AK90" s="215" t="str">
        <f>IF($AG$58=75,75,"")</f>
        <v/>
      </c>
      <c r="AL90" s="222" t="str">
        <f t="shared" si="6"/>
        <v/>
      </c>
      <c r="AM90" s="222" t="str">
        <f t="shared" si="7"/>
        <v/>
      </c>
      <c r="AN90" s="200"/>
      <c r="AO90" s="200"/>
    </row>
    <row r="91" spans="1:41" x14ac:dyDescent="0.25">
      <c r="A91" s="260" t="str">
        <f>IF($C$9&gt;=18,"#18:","")</f>
        <v>#18:</v>
      </c>
      <c r="B91" s="147">
        <f t="shared" si="8"/>
        <v>75.404040425895317</v>
      </c>
      <c r="C91" s="148">
        <f t="shared" si="9"/>
        <v>1.8027756377319946</v>
      </c>
      <c r="D91" s="260" t="str">
        <f>IF($C$9&gt;=43,"#43:","")</f>
        <v/>
      </c>
      <c r="E91" s="147" t="str">
        <f t="shared" si="10"/>
        <v/>
      </c>
      <c r="F91" s="148" t="str">
        <f t="shared" si="11"/>
        <v/>
      </c>
      <c r="G91" s="261" t="str">
        <f>IF($C$9&gt;=68,"#68","")</f>
        <v/>
      </c>
      <c r="H91" s="147" t="str">
        <f t="shared" si="12"/>
        <v/>
      </c>
      <c r="I91" s="148" t="str">
        <f t="shared" si="13"/>
        <v/>
      </c>
      <c r="O91" s="24"/>
      <c r="P91" s="24"/>
      <c r="Q91" s="24"/>
      <c r="R91" s="24"/>
      <c r="S91" s="24"/>
      <c r="T91" s="24"/>
      <c r="AD91" s="193"/>
      <c r="AE91" s="200"/>
      <c r="AF91" s="200"/>
      <c r="AG91" s="200"/>
      <c r="AH91" s="200"/>
      <c r="AI91" s="200"/>
      <c r="AJ91" s="92"/>
      <c r="AK91" s="92"/>
      <c r="AL91" s="92"/>
      <c r="AM91" s="92"/>
      <c r="AN91" s="92"/>
      <c r="AO91" s="92"/>
    </row>
    <row r="92" spans="1:41" x14ac:dyDescent="0.25">
      <c r="A92" s="260" t="str">
        <f>IF($C$9&gt;=19,"#19:","")</f>
        <v>#19:</v>
      </c>
      <c r="B92" s="147">
        <f t="shared" si="8"/>
        <v>74.898989916253441</v>
      </c>
      <c r="C92" s="148">
        <f t="shared" si="9"/>
        <v>1.8027756377319946</v>
      </c>
      <c r="D92" s="260" t="str">
        <f>IF($C$9&gt;=44,"#44:","")</f>
        <v/>
      </c>
      <c r="E92" s="147" t="str">
        <f t="shared" si="10"/>
        <v/>
      </c>
      <c r="F92" s="148" t="str">
        <f t="shared" si="11"/>
        <v/>
      </c>
      <c r="G92" s="261" t="str">
        <f>IF($C$9&gt;=69,"#69","")</f>
        <v/>
      </c>
      <c r="H92" s="147" t="str">
        <f t="shared" si="12"/>
        <v/>
      </c>
      <c r="I92" s="148" t="str">
        <f t="shared" si="13"/>
        <v/>
      </c>
      <c r="O92" s="26" t="s">
        <v>98</v>
      </c>
      <c r="Q92" s="24"/>
      <c r="R92" s="24"/>
      <c r="S92" s="24"/>
      <c r="T92" s="24"/>
      <c r="AD92" s="223" t="s">
        <v>195</v>
      </c>
      <c r="AE92" s="202"/>
      <c r="AF92" s="202"/>
      <c r="AG92" s="202"/>
      <c r="AH92" s="202"/>
      <c r="AI92" s="202"/>
      <c r="AJ92" s="92"/>
      <c r="AK92" s="92"/>
      <c r="AL92" s="92"/>
      <c r="AM92" s="92"/>
      <c r="AN92" s="92"/>
      <c r="AO92" s="92"/>
    </row>
    <row r="93" spans="1:41" x14ac:dyDescent="0.25">
      <c r="A93" s="260" t="str">
        <f>IF($C$9&gt;=20,"#20:","")</f>
        <v>#20:</v>
      </c>
      <c r="B93" s="147">
        <f t="shared" si="8"/>
        <v>74.393939406611565</v>
      </c>
      <c r="C93" s="148">
        <f t="shared" si="9"/>
        <v>1.8027756377319946</v>
      </c>
      <c r="D93" s="260" t="str">
        <f>IF($C$9&gt;=45,"#45:","")</f>
        <v/>
      </c>
      <c r="E93" s="147" t="str">
        <f t="shared" si="10"/>
        <v/>
      </c>
      <c r="F93" s="148" t="str">
        <f t="shared" si="11"/>
        <v/>
      </c>
      <c r="G93" s="261" t="str">
        <f>IF($C$9&gt;=70,"#70","")</f>
        <v/>
      </c>
      <c r="H93" s="147" t="str">
        <f t="shared" si="12"/>
        <v/>
      </c>
      <c r="I93" s="148" t="str">
        <f t="shared" si="13"/>
        <v/>
      </c>
      <c r="O93" s="11" t="s">
        <v>26</v>
      </c>
      <c r="P93" s="3">
        <f>SUM($B$44:$I$44)</f>
        <v>-3000</v>
      </c>
      <c r="Q93" s="24" t="s">
        <v>33</v>
      </c>
      <c r="R93" s="24"/>
      <c r="S93" s="24"/>
      <c r="T93" s="24"/>
      <c r="AD93" s="224" t="s">
        <v>180</v>
      </c>
      <c r="AE93" s="202"/>
      <c r="AF93" s="202"/>
      <c r="AG93" s="202"/>
      <c r="AH93" s="202"/>
      <c r="AI93" s="202"/>
      <c r="AJ93" s="92"/>
      <c r="AK93" s="92"/>
      <c r="AL93" s="92"/>
      <c r="AM93" s="92"/>
      <c r="AN93" s="92"/>
      <c r="AO93" s="92"/>
    </row>
    <row r="94" spans="1:41" x14ac:dyDescent="0.25">
      <c r="A94" s="260" t="str">
        <f>IF($C$9&gt;=21,"#21:","")</f>
        <v>#21:</v>
      </c>
      <c r="B94" s="147">
        <f t="shared" si="8"/>
        <v>75.606060593388435</v>
      </c>
      <c r="C94" s="148">
        <f t="shared" si="9"/>
        <v>1.8027756377319946</v>
      </c>
      <c r="D94" s="260" t="str">
        <f>IF($C$9&gt;=46,"#46:","")</f>
        <v/>
      </c>
      <c r="E94" s="147" t="str">
        <f t="shared" si="10"/>
        <v/>
      </c>
      <c r="F94" s="148" t="str">
        <f t="shared" si="11"/>
        <v/>
      </c>
      <c r="G94" s="261" t="str">
        <f>IF($C$9&gt;=71,"#71","")</f>
        <v/>
      </c>
      <c r="H94" s="147" t="str">
        <f t="shared" si="12"/>
        <v/>
      </c>
      <c r="I94" s="148" t="str">
        <f t="shared" si="13"/>
        <v/>
      </c>
      <c r="O94" s="11" t="s">
        <v>27</v>
      </c>
      <c r="P94" s="3">
        <f>SUM($B$45:$I$45)</f>
        <v>-40</v>
      </c>
      <c r="Q94" s="24" t="s">
        <v>33</v>
      </c>
      <c r="R94" s="24"/>
      <c r="S94" s="24"/>
      <c r="T94" s="24"/>
      <c r="AD94" s="224" t="s">
        <v>187</v>
      </c>
      <c r="AE94" s="202"/>
      <c r="AF94" s="202"/>
      <c r="AG94" s="202"/>
      <c r="AH94" s="202"/>
      <c r="AI94" s="202"/>
      <c r="AJ94" s="92"/>
      <c r="AK94" s="92"/>
      <c r="AL94" s="92"/>
      <c r="AM94" s="92"/>
      <c r="AN94" s="92"/>
      <c r="AO94" s="92"/>
    </row>
    <row r="95" spans="1:41" x14ac:dyDescent="0.25">
      <c r="A95" s="260" t="str">
        <f>IF($C$9&gt;=22,"#22:","")</f>
        <v>#22:</v>
      </c>
      <c r="B95" s="147">
        <f t="shared" si="8"/>
        <v>75.101010083746559</v>
      </c>
      <c r="C95" s="148">
        <f t="shared" si="9"/>
        <v>1.8027756377319946</v>
      </c>
      <c r="D95" s="260" t="str">
        <f>IF($C$9&gt;=47,"#47:","")</f>
        <v/>
      </c>
      <c r="E95" s="147" t="str">
        <f t="shared" si="10"/>
        <v/>
      </c>
      <c r="F95" s="148" t="str">
        <f t="shared" si="11"/>
        <v/>
      </c>
      <c r="G95" s="261" t="str">
        <f>IF($C$9&gt;=72,"#72","")</f>
        <v/>
      </c>
      <c r="H95" s="147" t="str">
        <f t="shared" si="12"/>
        <v/>
      </c>
      <c r="I95" s="148" t="str">
        <f t="shared" si="13"/>
        <v/>
      </c>
      <c r="O95" s="11" t="s">
        <v>28</v>
      </c>
      <c r="P95" s="3">
        <f>SUM($B$46:$I$46)</f>
        <v>-60</v>
      </c>
      <c r="Q95" s="24" t="s">
        <v>33</v>
      </c>
      <c r="R95" s="24"/>
      <c r="S95" s="24"/>
      <c r="T95" s="24"/>
      <c r="AD95" s="224" t="s">
        <v>188</v>
      </c>
      <c r="AE95" s="200"/>
      <c r="AF95" s="200"/>
      <c r="AG95" s="200"/>
      <c r="AH95" s="200"/>
      <c r="AI95" s="200"/>
      <c r="AJ95" s="92"/>
      <c r="AK95" s="92"/>
      <c r="AL95" s="92"/>
      <c r="AM95" s="92"/>
      <c r="AN95" s="92"/>
      <c r="AO95" s="92"/>
    </row>
    <row r="96" spans="1:41" x14ac:dyDescent="0.25">
      <c r="A96" s="260" t="str">
        <f>IF($C$9&gt;=23,"#23:","")</f>
        <v>#23:</v>
      </c>
      <c r="B96" s="147">
        <f t="shared" si="8"/>
        <v>74.595959574104683</v>
      </c>
      <c r="C96" s="148">
        <f t="shared" si="9"/>
        <v>1.8027756377319946</v>
      </c>
      <c r="D96" s="260" t="str">
        <f>IF($C$9&gt;=48,"#48:","")</f>
        <v/>
      </c>
      <c r="E96" s="147" t="str">
        <f t="shared" si="10"/>
        <v/>
      </c>
      <c r="F96" s="148" t="str">
        <f t="shared" si="11"/>
        <v/>
      </c>
      <c r="G96" s="261" t="str">
        <f>IF($C$9&gt;=73,"#73","")</f>
        <v/>
      </c>
      <c r="H96" s="147" t="str">
        <f t="shared" si="12"/>
        <v/>
      </c>
      <c r="I96" s="148" t="str">
        <f t="shared" si="13"/>
        <v/>
      </c>
      <c r="O96" s="11" t="s">
        <v>29</v>
      </c>
      <c r="P96" s="18">
        <f>ROUND(SUM($B$47:$I$47)+SUM($P$85:$W$85)+SUM($P$87:$W$87),2)</f>
        <v>500</v>
      </c>
      <c r="Q96" s="24" t="s">
        <v>34</v>
      </c>
      <c r="R96" s="24"/>
      <c r="S96" s="24"/>
      <c r="T96" s="24"/>
      <c r="AD96" s="200" t="s">
        <v>189</v>
      </c>
      <c r="AE96" s="200"/>
      <c r="AF96" s="200"/>
      <c r="AG96" s="200"/>
      <c r="AH96" s="200"/>
      <c r="AI96" s="200"/>
      <c r="AJ96" s="92"/>
      <c r="AK96" s="92"/>
      <c r="AL96" s="92"/>
      <c r="AM96" s="92"/>
      <c r="AN96" s="92"/>
      <c r="AO96" s="92"/>
    </row>
    <row r="97" spans="1:20" x14ac:dyDescent="0.25">
      <c r="A97" s="260" t="str">
        <f>IF($C$9&gt;=24,"#24:","")</f>
        <v>#24:</v>
      </c>
      <c r="B97" s="147">
        <f t="shared" si="8"/>
        <v>74.090909064462821</v>
      </c>
      <c r="C97" s="148">
        <f t="shared" si="9"/>
        <v>1.8027756377319946</v>
      </c>
      <c r="D97" s="260" t="str">
        <f>IF($C$9&gt;=49,"#49:","")</f>
        <v/>
      </c>
      <c r="E97" s="147" t="str">
        <f t="shared" si="10"/>
        <v/>
      </c>
      <c r="F97" s="148" t="str">
        <f t="shared" si="11"/>
        <v/>
      </c>
      <c r="G97" s="261" t="str">
        <f>IF($C$9&gt;=74,"#74","")</f>
        <v/>
      </c>
      <c r="H97" s="147" t="str">
        <f t="shared" si="12"/>
        <v/>
      </c>
      <c r="I97" s="148" t="str">
        <f t="shared" si="13"/>
        <v/>
      </c>
      <c r="O97" s="11" t="s">
        <v>30</v>
      </c>
      <c r="P97" s="18">
        <f>ROUND(SUM($B$48:$I$48)+SUM($P$86:$W$86)+SUM($P$88:$W$88),2)</f>
        <v>-500</v>
      </c>
      <c r="Q97" s="24" t="s">
        <v>34</v>
      </c>
      <c r="R97" s="24"/>
      <c r="S97" s="24"/>
      <c r="T97" s="24"/>
    </row>
    <row r="98" spans="1:20" x14ac:dyDescent="0.25">
      <c r="A98" s="260" t="str">
        <f>IF($C$9&gt;=25,"#25:","")</f>
        <v>#25:</v>
      </c>
      <c r="B98" s="154">
        <f t="shared" si="8"/>
        <v>73.585858554820945</v>
      </c>
      <c r="C98" s="155">
        <f t="shared" si="9"/>
        <v>1.8027756377319946</v>
      </c>
      <c r="D98" s="260" t="str">
        <f>IF($C$9&gt;=50,"#50:","")</f>
        <v/>
      </c>
      <c r="E98" s="154" t="str">
        <f t="shared" si="10"/>
        <v/>
      </c>
      <c r="F98" s="155" t="str">
        <f t="shared" si="11"/>
        <v/>
      </c>
      <c r="G98" s="261" t="str">
        <f>IF($C$9=75,"#75","")</f>
        <v/>
      </c>
      <c r="H98" s="154" t="str">
        <f t="shared" si="12"/>
        <v/>
      </c>
      <c r="I98" s="155" t="str">
        <f t="shared" si="13"/>
        <v/>
      </c>
      <c r="O98" s="11" t="s">
        <v>31</v>
      </c>
      <c r="P98" s="29">
        <f>ROUND(SUM($B$49:$I$49)+SUM($P$89:$W$89)+SUM($P$90:$W$90),2)</f>
        <v>0</v>
      </c>
      <c r="Q98" s="24" t="s">
        <v>34</v>
      </c>
      <c r="R98" s="24"/>
      <c r="S98" s="24"/>
      <c r="T98" s="24"/>
    </row>
    <row r="99" spans="1:20" x14ac:dyDescent="0.25">
      <c r="A99" s="48"/>
      <c r="B99" s="54"/>
      <c r="C99" s="54"/>
      <c r="D99" s="54"/>
      <c r="E99" s="54"/>
      <c r="F99" s="54"/>
      <c r="G99" s="54"/>
      <c r="H99" s="54"/>
      <c r="I99" s="60"/>
    </row>
    <row r="100" spans="1:20" x14ac:dyDescent="0.25">
      <c r="A100" s="48"/>
      <c r="B100" s="52" t="s">
        <v>99</v>
      </c>
      <c r="C100" s="70"/>
      <c r="D100" s="70"/>
      <c r="E100" s="54"/>
      <c r="F100" s="54"/>
      <c r="G100" s="54"/>
      <c r="H100" s="77"/>
      <c r="I100" s="187"/>
    </row>
    <row r="101" spans="1:20" x14ac:dyDescent="0.25">
      <c r="A101" s="48"/>
      <c r="B101" s="72" t="s">
        <v>100</v>
      </c>
      <c r="C101" s="143">
        <f>MAX($S$5:$S$79)</f>
        <v>82.272727393388422</v>
      </c>
      <c r="D101" s="116" t="s">
        <v>33</v>
      </c>
      <c r="E101" s="54"/>
      <c r="F101" s="54"/>
      <c r="G101" s="54"/>
      <c r="H101" s="77"/>
      <c r="I101" s="186"/>
    </row>
    <row r="102" spans="1:20" x14ac:dyDescent="0.25">
      <c r="A102" s="48"/>
      <c r="B102" s="72" t="s">
        <v>101</v>
      </c>
      <c r="C102" s="147">
        <f>MIN($S$5:$S$79)</f>
        <v>67.727272606611578</v>
      </c>
      <c r="D102" s="116" t="s">
        <v>33</v>
      </c>
      <c r="E102" s="54"/>
      <c r="F102" s="54"/>
      <c r="G102" s="54"/>
      <c r="H102" s="77"/>
      <c r="I102" s="182"/>
    </row>
    <row r="103" spans="1:20" x14ac:dyDescent="0.25">
      <c r="A103" s="48"/>
      <c r="B103" s="73" t="s">
        <v>102</v>
      </c>
      <c r="C103" s="154">
        <f>MAX($T$5:$T$79)</f>
        <v>1.8027756377319946</v>
      </c>
      <c r="D103" s="116" t="s">
        <v>33</v>
      </c>
      <c r="E103" s="54"/>
      <c r="F103" s="54"/>
      <c r="G103" s="54"/>
      <c r="H103" s="54"/>
      <c r="I103" s="60"/>
    </row>
    <row r="104" spans="1:20" x14ac:dyDescent="0.25">
      <c r="A104" s="79"/>
      <c r="B104" s="106"/>
      <c r="C104" s="106"/>
      <c r="D104" s="106"/>
      <c r="E104" s="106"/>
      <c r="F104" s="106"/>
      <c r="G104" s="106"/>
      <c r="H104" s="106"/>
      <c r="I104" s="118"/>
    </row>
    <row r="105" spans="1:20" x14ac:dyDescent="0.25">
      <c r="A105" s="54"/>
      <c r="B105" s="54"/>
      <c r="C105" s="54"/>
      <c r="D105" s="54"/>
      <c r="E105" s="54"/>
      <c r="F105" s="54"/>
      <c r="G105" s="54"/>
      <c r="H105" s="54"/>
      <c r="I105" s="54"/>
    </row>
  </sheetData>
  <sheetProtection sheet="1" objects="1" scenarios="1"/>
  <phoneticPr fontId="41" type="noConversion"/>
  <conditionalFormatting sqref="E54">
    <cfRule type="cellIs" dxfId="6" priority="1" stopIfTrue="1" operator="notEqual">
      <formula>"OK"</formula>
    </cfRule>
  </conditionalFormatting>
  <dataValidations count="7">
    <dataValidation type="decimal" operator="greaterThanOrEqual" allowBlank="1" showInputMessage="1" showErrorMessage="1" prompt="'Xo' is the x-coordinate location of the center of the pile circle from the origin Y-axis.  Xo &gt;=  Dc/2" sqref="AG60">
      <formula1>$AG$59/2</formula1>
    </dataValidation>
    <dataValidation allowBlank="1" showInputMessage="1" showErrorMessage="1" prompt="'Dc' is the diameter of the pile circle." sqref="AG59"/>
    <dataValidation type="decimal" operator="greaterThanOrEqual" allowBlank="1" showInputMessage="1" showErrorMessage="1" prompt="'Yo' is the y-coordinate location of the center of the pile circle from the origin X-axis.  Yo &gt;=  Dc/2" sqref="AG61">
      <formula1>$AG$59/2</formula1>
    </dataValidation>
    <dataValidation type="decimal" operator="greaterThanOrEqual" allowBlank="1" showInputMessage="1" showErrorMessage="1" prompt="The angle to Pile #1 is measured counterclockwise from the origin X-axis." sqref="AG62">
      <formula1>0</formula1>
    </dataValidation>
    <dataValidation type="list" allowBlank="1" showInputMessage="1" showErrorMessage="1" errorTitle="Warning!" error="Invalid input for number of piles_x000a_(must input a value between 2 and 75)" sqref="C9">
      <formula1>$K$6:$K$79</formula1>
    </dataValidation>
    <dataValidation type="list" allowBlank="1" showInputMessage="1" showErrorMessage="1" errorTitle="Warning!" error="Invalid input for number of piers_x000a_(must input a value between 1 and 4)" sqref="B38">
      <formula1>$K$5:$K$12</formula1>
    </dataValidation>
    <dataValidation type="list" allowBlank="1" showInputMessage="1" showErrorMessage="1" errorTitle="Warning!" error="Invalid input for number of piles_x000a_(must input a value between 2 and 75)" sqref="AG58">
      <formula1>$K$7:$K$79</formula1>
    </dataValidation>
  </dataValidations>
  <pageMargins left="1" right="0.5" top="1" bottom="1" header="0.5" footer="0.5"/>
  <pageSetup scale="98" orientation="portrait" r:id="rId1"/>
  <headerFooter alignWithMargins="0">
    <oddHeader>&amp;R"PILEGRP.xls" Program
Version 3.6</oddHeader>
    <oddFooter>&amp;C&amp;P of &amp;N&amp;R&amp;D  &amp;T</oddFooter>
  </headerFooter>
  <rowBreaks count="1" manualBreakCount="1">
    <brk id="52" max="8" man="1"/>
  </rowBreaks>
  <drawing r:id="rId2"/>
  <mc:AlternateContent xmlns:mc="http://schemas.openxmlformats.org/markup-compatibility/2006">
    <mc:Choice Requires="v">
      <legacyDrawing r:id="rId3"/>
    </mc:Choice>
  </mc:AlternateContent>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dimension ref="A1:AO105"/>
  <sheetViews>
    <sheetView zoomScaleNormal="100" workbookViewId="0"/>
  </sheetViews>
  <sheetFormatPr defaultColWidth="9.109375" defaultRowHeight="13.2" x14ac:dyDescent="0.25"/>
  <cols>
    <col min="1" max="1" width="11.88671875" style="92" customWidth="1"/>
    <col min="2" max="2" width="10.6640625" style="92" customWidth="1"/>
    <col min="3" max="3" width="9.6640625" style="92" bestFit="1" customWidth="1"/>
    <col min="4" max="4" width="9.5546875" style="92" customWidth="1"/>
    <col min="5" max="8" width="9.109375" style="92"/>
    <col min="9" max="9" width="12.109375" style="92" customWidth="1"/>
    <col min="10" max="11" width="9.109375" style="1" hidden="1" customWidth="1"/>
    <col min="12" max="12" width="10.6640625" style="1" hidden="1" customWidth="1"/>
    <col min="13" max="26" width="9.109375" style="1" hidden="1" customWidth="1"/>
    <col min="27" max="27" width="9.109375" style="1"/>
    <col min="28" max="28" width="9.109375" style="9"/>
    <col min="29" max="30" width="9.109375" style="1"/>
    <col min="31" max="32" width="9.33203125" style="1" bestFit="1" customWidth="1"/>
    <col min="33" max="16384" width="9.109375" style="1"/>
  </cols>
  <sheetData>
    <row r="1" spans="1:39" ht="15.6" x14ac:dyDescent="0.3">
      <c r="A1" s="32" t="s">
        <v>67</v>
      </c>
      <c r="B1" s="33"/>
      <c r="C1" s="34"/>
      <c r="D1" s="34"/>
      <c r="E1" s="34"/>
      <c r="F1" s="34"/>
      <c r="G1" s="33"/>
      <c r="H1" s="33"/>
      <c r="I1" s="35"/>
      <c r="J1" s="2"/>
      <c r="K1" s="7" t="s">
        <v>4</v>
      </c>
      <c r="N1" s="7"/>
      <c r="AA1" s="184" t="s">
        <v>373</v>
      </c>
    </row>
    <row r="2" spans="1:39" x14ac:dyDescent="0.25">
      <c r="A2" s="36" t="s">
        <v>51</v>
      </c>
      <c r="B2" s="37"/>
      <c r="C2" s="38"/>
      <c r="D2" s="37"/>
      <c r="E2" s="37"/>
      <c r="F2" s="37"/>
      <c r="G2" s="39"/>
      <c r="H2" s="39"/>
      <c r="I2" s="40"/>
      <c r="J2" s="2"/>
      <c r="AB2" s="134" t="s">
        <v>109</v>
      </c>
      <c r="AC2" s="129"/>
    </row>
    <row r="3" spans="1:39" x14ac:dyDescent="0.25">
      <c r="A3" s="136" t="s">
        <v>162</v>
      </c>
      <c r="B3" s="41"/>
      <c r="C3" s="41"/>
      <c r="D3" s="41"/>
      <c r="E3" s="41"/>
      <c r="F3" s="41"/>
      <c r="G3" s="42"/>
      <c r="H3" s="42"/>
      <c r="I3" s="43"/>
      <c r="J3" s="2"/>
      <c r="L3" s="25" t="s">
        <v>55</v>
      </c>
      <c r="M3" s="21"/>
      <c r="N3" s="25" t="s">
        <v>84</v>
      </c>
      <c r="O3" s="6"/>
      <c r="P3" s="21"/>
      <c r="Q3" s="25" t="s">
        <v>24</v>
      </c>
      <c r="R3" s="21"/>
      <c r="S3" s="25" t="s">
        <v>25</v>
      </c>
      <c r="T3" s="22"/>
      <c r="AB3" s="130" t="s">
        <v>110</v>
      </c>
      <c r="AC3" s="130" t="s">
        <v>111</v>
      </c>
    </row>
    <row r="4" spans="1:39" x14ac:dyDescent="0.25">
      <c r="A4" s="44" t="s">
        <v>2</v>
      </c>
      <c r="B4" s="125"/>
      <c r="C4" s="121"/>
      <c r="D4" s="121"/>
      <c r="E4" s="121"/>
      <c r="F4" s="127" t="s">
        <v>108</v>
      </c>
      <c r="G4" s="126"/>
      <c r="H4" s="123"/>
      <c r="I4" s="124"/>
      <c r="J4" s="5"/>
      <c r="K4" s="13" t="s">
        <v>56</v>
      </c>
      <c r="L4" s="14" t="s">
        <v>87</v>
      </c>
      <c r="M4" s="14" t="s">
        <v>88</v>
      </c>
      <c r="N4" s="23" t="s">
        <v>95</v>
      </c>
      <c r="O4" s="23" t="s">
        <v>96</v>
      </c>
      <c r="P4" s="23" t="s">
        <v>97</v>
      </c>
      <c r="Q4" s="15" t="s">
        <v>18</v>
      </c>
      <c r="R4" s="15" t="s">
        <v>19</v>
      </c>
      <c r="S4" s="15" t="s">
        <v>20</v>
      </c>
      <c r="T4" s="15" t="s">
        <v>21</v>
      </c>
      <c r="AB4" s="27">
        <v>5</v>
      </c>
      <c r="AC4" s="133">
        <v>10</v>
      </c>
    </row>
    <row r="5" spans="1:39" x14ac:dyDescent="0.25">
      <c r="A5" s="44" t="s">
        <v>3</v>
      </c>
      <c r="B5" s="122"/>
      <c r="C5" s="123"/>
      <c r="D5" s="123"/>
      <c r="E5" s="124"/>
      <c r="F5" s="120" t="s">
        <v>107</v>
      </c>
      <c r="G5" s="178"/>
      <c r="H5" s="179" t="s">
        <v>106</v>
      </c>
      <c r="I5" s="180"/>
      <c r="J5" s="5"/>
      <c r="K5" s="9">
        <v>1</v>
      </c>
      <c r="L5" s="16">
        <f>IF($C$9&gt;=1,$C12+0.000001-$L$85,"")</f>
        <v>-4.1147990000000005</v>
      </c>
      <c r="M5" s="16">
        <f>IF($C$9&gt;=1,$B12+0.000001-$L$84,"")</f>
        <v>-1.3715990000000005</v>
      </c>
      <c r="N5" s="16">
        <f>IF($C$9&gt;=1,$L5^2,"")</f>
        <v>16.931570810401006</v>
      </c>
      <c r="O5" s="16">
        <f>IF($C$9&gt;=1,$M5^2,"")</f>
        <v>1.8812838168010013</v>
      </c>
      <c r="P5" s="16">
        <f>IF($C$9&gt;=1,$L5*$M5,"")</f>
        <v>5.6438541936010029</v>
      </c>
      <c r="Q5" s="17">
        <f>IF($C$9&gt;=1,$B12-$L$84,"")</f>
        <v>-1.3716000000000004</v>
      </c>
      <c r="R5" s="17">
        <f>IF($C$9&gt;=1,$C12-$L$85,"")</f>
        <v>-4.1148000000000007</v>
      </c>
      <c r="S5" s="18">
        <f>IF($C$9&gt;=1,(-$P$93/$C$9+($P$97*$L$86--$P$96*$L$89)/($L$86*$L$87-$L$89^2)*$Q5+(-$P$96*$L$87-$P$97*$L$89)/($L$86*$L$87-$L$89^2)*$R5),"")</f>
        <v>365.96740337151357</v>
      </c>
      <c r="T5" s="18">
        <f>IF($C$9&gt;=1,((($P$94/$C$9+$P$98*-$R5/$L$88)^2+($P$95/$C$9+$P$98*$Q5/$L$88)^2)^(1/2)),"")</f>
        <v>8.0191462528234894</v>
      </c>
      <c r="AE5" s="139" t="s">
        <v>169</v>
      </c>
      <c r="AF5" s="137"/>
      <c r="AG5" s="137"/>
      <c r="AH5" s="137"/>
    </row>
    <row r="6" spans="1:39" x14ac:dyDescent="0.25">
      <c r="A6" s="45"/>
      <c r="B6" s="93"/>
      <c r="C6" s="93"/>
      <c r="D6" s="93"/>
      <c r="E6" s="93"/>
      <c r="F6" s="93"/>
      <c r="G6" s="54"/>
      <c r="H6" s="77"/>
      <c r="I6" s="181"/>
      <c r="J6" s="2"/>
      <c r="K6" s="9">
        <v>2</v>
      </c>
      <c r="L6" s="16">
        <f>IF($C$9&gt;=2,$C13-$L$85,"")</f>
        <v>-3.2004000000000006</v>
      </c>
      <c r="M6" s="16">
        <f>IF($C$9&gt;=2,$B13-$L$84,"")</f>
        <v>-1.3716000000000004</v>
      </c>
      <c r="N6" s="16">
        <f>IF($C$9&gt;=2,$L6^2,"")</f>
        <v>10.242560160000004</v>
      </c>
      <c r="O6" s="16">
        <f>IF($C$9&gt;=2,$M6^2,"")</f>
        <v>1.8812865600000011</v>
      </c>
      <c r="P6" s="16">
        <f>IF($C$9&gt;=2,$L6*$M6,"")</f>
        <v>4.3896686400000018</v>
      </c>
      <c r="Q6" s="17">
        <f>IF($C$9&gt;=2,$B13-$L$84,"")</f>
        <v>-1.3716000000000004</v>
      </c>
      <c r="R6" s="17">
        <f>IF($C$9&gt;=2,$C13-$L$85,"")</f>
        <v>-3.2004000000000006</v>
      </c>
      <c r="S6" s="18">
        <f>IF($C$9&gt;=2,(-$P$93/$C$9+($P$97*$L$86--$P$96*$L$89)/($L$86*$L$87-$L$89^2)*$Q6+(-$P$96*$L$87-$P$97*$L$89)/($L$86*$L$87-$L$89^2)*$R6),"")</f>
        <v>363.72082333154958</v>
      </c>
      <c r="T6" s="18">
        <f>IF($C$9&gt;=2,((($P$94/$C$9+$P$98*-$R6/$L$88)^2+($P$95/$C$9+$P$98*$Q6/$L$88)^2)^(1/2)),"")</f>
        <v>8.0191462528234894</v>
      </c>
      <c r="AE6" s="137" t="s">
        <v>170</v>
      </c>
      <c r="AF6" s="137"/>
      <c r="AG6" s="137"/>
      <c r="AH6" s="137"/>
    </row>
    <row r="7" spans="1:39" x14ac:dyDescent="0.25">
      <c r="A7" s="47" t="s">
        <v>1</v>
      </c>
      <c r="B7" s="93"/>
      <c r="C7" s="94"/>
      <c r="D7" s="93"/>
      <c r="E7" s="93"/>
      <c r="F7" s="93"/>
      <c r="G7" s="46"/>
      <c r="H7" s="77"/>
      <c r="I7" s="182"/>
      <c r="J7" s="2"/>
      <c r="K7" s="9">
        <v>3</v>
      </c>
      <c r="L7" s="16">
        <f>IF($C$9&gt;=3,$C14-$L$85,"")</f>
        <v>-2.2860000000000005</v>
      </c>
      <c r="M7" s="16">
        <f>IF($C$9&gt;=3,$B14-$L$84,"")</f>
        <v>-1.3716000000000004</v>
      </c>
      <c r="N7" s="16">
        <f>IF($C$9&gt;=3,$L7^2,"")</f>
        <v>5.2257960000000026</v>
      </c>
      <c r="O7" s="16">
        <f>IF($C$9&gt;=3,$M7^2,"")</f>
        <v>1.8812865600000011</v>
      </c>
      <c r="P7" s="16">
        <f>IF($C$9&gt;=3,$L7*$M7,"")</f>
        <v>3.1354776000000015</v>
      </c>
      <c r="Q7" s="17">
        <f>IF($C$9&gt;=3,$B14-$L$84,"")</f>
        <v>-1.3716000000000004</v>
      </c>
      <c r="R7" s="17">
        <f>IF($C$9&gt;=3,$C14-$L$85,"")</f>
        <v>-2.2860000000000005</v>
      </c>
      <c r="S7" s="18">
        <f>IF($C$9&gt;=3,(-$P$93/$C$9+($P$97*$L$86--$P$96*$L$89)/($L$86*$L$87-$L$89^2)*$Q7+(-$P$96*$L$87-$P$97*$L$89)/($L$86*$L$87-$L$89^2)*$R7),"")</f>
        <v>361.47424329158559</v>
      </c>
      <c r="T7" s="18">
        <f>IF($C$9&gt;=3,((($P$94/$C$9+$P$98*-$R7/$L$88)^2+($P$95/$C$9+$P$98*$Q7/$L$88)^2)^(1/2)),"")</f>
        <v>8.0191462528234894</v>
      </c>
      <c r="AE7" s="137" t="s">
        <v>172</v>
      </c>
      <c r="AF7" s="137"/>
      <c r="AG7" s="137"/>
      <c r="AH7" s="137"/>
    </row>
    <row r="8" spans="1:39" x14ac:dyDescent="0.25">
      <c r="A8" s="48"/>
      <c r="B8" s="128"/>
      <c r="C8" s="93"/>
      <c r="D8" s="93"/>
      <c r="E8" s="93"/>
      <c r="F8" s="93"/>
      <c r="G8" s="46"/>
      <c r="H8" s="77"/>
      <c r="I8" s="183"/>
      <c r="J8" s="2"/>
      <c r="K8" s="9">
        <v>4</v>
      </c>
      <c r="L8" s="16">
        <f>IF($C$9&gt;=4,$C15-$L$85,"")</f>
        <v>-1.3716000000000004</v>
      </c>
      <c r="M8" s="16">
        <f>IF($C$9&gt;=4,$B15-$L$84,"")</f>
        <v>-1.3716000000000004</v>
      </c>
      <c r="N8" s="16">
        <f>IF($C$9&gt;=4,$L8^2,"")</f>
        <v>1.8812865600000011</v>
      </c>
      <c r="O8" s="16">
        <f>IF($C$9&gt;=4,$M8^2,"")</f>
        <v>1.8812865600000011</v>
      </c>
      <c r="P8" s="16">
        <f>IF($C$9&gt;=4,$L8*$M8,"")</f>
        <v>1.8812865600000011</v>
      </c>
      <c r="Q8" s="17">
        <f>IF($C$9&gt;=4,$B15-$L$84,"")</f>
        <v>-1.3716000000000004</v>
      </c>
      <c r="R8" s="17">
        <f>IF($C$9&gt;=4,$C15-$L$85,"")</f>
        <v>-1.3716000000000004</v>
      </c>
      <c r="S8" s="18">
        <f>IF($C$9&gt;=4,(-$P$93/$C$9+($P$97*$L$86--$P$96*$L$89)/($L$86*$L$87-$L$89^2)*$Q8+(-$P$96*$L$87-$P$97*$L$89)/($L$86*$L$87-$L$89^2)*$R8),"")</f>
        <v>359.22766325162155</v>
      </c>
      <c r="T8" s="18">
        <f>IF($C$9&gt;=4,((($P$94/$C$9+$P$98*-$R8/$L$88)^2+($P$95/$C$9+$P$98*$Q8/$L$88)^2)^(1/2)),"")</f>
        <v>8.0191462528234894</v>
      </c>
      <c r="AE8" s="137" t="s">
        <v>171</v>
      </c>
      <c r="AF8" s="137"/>
      <c r="AG8" s="137"/>
      <c r="AH8" s="137"/>
    </row>
    <row r="9" spans="1:39" x14ac:dyDescent="0.25">
      <c r="A9" s="45"/>
      <c r="B9" s="50" t="s">
        <v>57</v>
      </c>
      <c r="C9" s="27">
        <v>40</v>
      </c>
      <c r="D9" s="54"/>
      <c r="E9" s="54"/>
      <c r="F9" s="53"/>
      <c r="G9" s="54"/>
      <c r="H9" s="54"/>
      <c r="I9" s="60" t="s">
        <v>0</v>
      </c>
      <c r="J9" s="2"/>
      <c r="K9" s="9">
        <v>5</v>
      </c>
      <c r="L9" s="16">
        <f>IF($C$9&gt;=5,$C16-$L$85,"")</f>
        <v>-0.45720000000000027</v>
      </c>
      <c r="M9" s="16">
        <f>IF($C$9&gt;=5,$B16-$L$84,"")</f>
        <v>-1.3716000000000004</v>
      </c>
      <c r="N9" s="16">
        <f>IF($C$9&gt;=5,$L9^2,"")</f>
        <v>0.20903184000000025</v>
      </c>
      <c r="O9" s="16">
        <f>IF($C$9&gt;=5,$M9^2,"")</f>
        <v>1.8812865600000011</v>
      </c>
      <c r="P9" s="16">
        <f>IF($C$9&gt;=5,$L9*$M9,"")</f>
        <v>0.62709552000000057</v>
      </c>
      <c r="Q9" s="17">
        <f>IF($C$9&gt;=5,$B16-$L$84,"")</f>
        <v>-1.3716000000000004</v>
      </c>
      <c r="R9" s="17">
        <f>IF($C$9&gt;=5,$C16-$L$85,"")</f>
        <v>-0.45720000000000027</v>
      </c>
      <c r="S9" s="18">
        <f>IF($C$9&gt;=5,(-$P$93/$C$9+($P$97*$L$86--$P$96*$L$89)/($L$86*$L$87-$L$89^2)*$Q9+(-$P$96*$L$87-$P$97*$L$89)/($L$86*$L$87-$L$89^2)*$R9),"")</f>
        <v>356.98108321165756</v>
      </c>
      <c r="T9" s="18">
        <f>IF($C$9&gt;=5,((($P$94/$C$9+$P$98*-$R9/$L$88)^2+($P$95/$C$9+$P$98*$Q9/$L$88)^2)^(1/2)),"")</f>
        <v>8.0191462528234894</v>
      </c>
      <c r="AD9" s="2"/>
    </row>
    <row r="10" spans="1:39" x14ac:dyDescent="0.25">
      <c r="A10" s="97"/>
      <c r="B10" s="56" t="s">
        <v>53</v>
      </c>
      <c r="C10" s="53"/>
      <c r="D10" s="74"/>
      <c r="E10" s="56" t="s">
        <v>53</v>
      </c>
      <c r="F10" s="53"/>
      <c r="G10" s="74"/>
      <c r="H10" s="56" t="s">
        <v>54</v>
      </c>
      <c r="I10" s="64"/>
      <c r="K10" s="9">
        <v>6</v>
      </c>
      <c r="L10" s="16">
        <f>IF($C$9&gt;=6,$C17-$L$85,"")</f>
        <v>0.45719999999999938</v>
      </c>
      <c r="M10" s="16">
        <f>IF($C$9&gt;=6,$B17-$L$84,"")</f>
        <v>-1.3716000000000004</v>
      </c>
      <c r="N10" s="16">
        <f>IF($C$9&gt;=6,$L10^2,"")</f>
        <v>0.20903183999999944</v>
      </c>
      <c r="O10" s="16">
        <f>IF($C$9&gt;=6,$M10^2,"")</f>
        <v>1.8812865600000011</v>
      </c>
      <c r="P10" s="16">
        <f>IF($C$9&gt;=6,$L10*$M10,"")</f>
        <v>-0.62709551999999935</v>
      </c>
      <c r="Q10" s="17">
        <f>IF($C$9&gt;=6,$B17-$L$84,"")</f>
        <v>-1.3716000000000004</v>
      </c>
      <c r="R10" s="17">
        <f>IF($C$9&gt;=6,$C17-$L$85,"")</f>
        <v>0.45719999999999938</v>
      </c>
      <c r="S10" s="18">
        <f>IF($C$9&gt;=6,(-$P$93/$C$9+($P$97*$L$86--$P$96*$L$89)/($L$86*$L$87-$L$89^2)*$Q10+(-$P$96*$L$87-$P$97*$L$89)/($L$86*$L$87-$L$89^2)*$R10),"")</f>
        <v>354.73450317169358</v>
      </c>
      <c r="T10" s="18">
        <f>IF($C$9&gt;=6,((($P$94/$C$9+$P$98*-$R10/$L$88)^2+($P$95/$C$9+$P$98*$Q10/$L$88)^2)^(1/2)),"")</f>
        <v>8.0191462528234894</v>
      </c>
      <c r="AD10" s="239" t="s">
        <v>165</v>
      </c>
      <c r="AE10" s="22"/>
      <c r="AF10" s="22"/>
      <c r="AG10" s="22"/>
      <c r="AH10" s="8"/>
      <c r="AI10" s="8"/>
      <c r="AJ10" s="8"/>
      <c r="AK10" s="213"/>
      <c r="AL10" s="226"/>
      <c r="AM10" s="240"/>
    </row>
    <row r="11" spans="1:39" x14ac:dyDescent="0.25">
      <c r="A11" s="45"/>
      <c r="B11" s="77" t="s">
        <v>127</v>
      </c>
      <c r="C11" s="77" t="s">
        <v>128</v>
      </c>
      <c r="D11" s="54"/>
      <c r="E11" s="77" t="s">
        <v>127</v>
      </c>
      <c r="F11" s="77" t="s">
        <v>128</v>
      </c>
      <c r="G11" s="54"/>
      <c r="H11" s="77" t="s">
        <v>127</v>
      </c>
      <c r="I11" s="98" t="s">
        <v>128</v>
      </c>
      <c r="K11" s="9">
        <v>7</v>
      </c>
      <c r="L11" s="16">
        <f>IF($C$9&gt;=7,$C18-$L$85,"")</f>
        <v>1.3715999999999999</v>
      </c>
      <c r="M11" s="16">
        <f>IF($C$9&gt;=7,$B18-$L$84,"")</f>
        <v>-1.3716000000000004</v>
      </c>
      <c r="N11" s="16">
        <f>IF($C$9&gt;=7,$L11^2,"")</f>
        <v>1.8812865599999997</v>
      </c>
      <c r="O11" s="16">
        <f>IF($C$9&gt;=7,$M11^2,"")</f>
        <v>1.8812865600000011</v>
      </c>
      <c r="P11" s="16">
        <f>IF($C$9&gt;=7,$L11*$M11,"")</f>
        <v>-1.8812865600000004</v>
      </c>
      <c r="Q11" s="17">
        <f>IF($C$9&gt;=7,$B18-$L$84,"")</f>
        <v>-1.3716000000000004</v>
      </c>
      <c r="R11" s="17">
        <f>IF($C$9&gt;=7,$C18-$L$85,"")</f>
        <v>1.3715999999999999</v>
      </c>
      <c r="S11" s="18">
        <f>IF($C$9&gt;=7,(-$P$93/$C$9+($P$97*$L$86--$P$96*$L$89)/($L$86*$L$87-$L$89^2)*$Q11+(-$P$96*$L$87-$P$97*$L$89)/($L$86*$L$87-$L$89^2)*$R11),"")</f>
        <v>352.48792313172959</v>
      </c>
      <c r="T11" s="18">
        <f>IF($C$9&gt;=7,((($P$94/$C$9+$P$98*-$R11/$L$88)^2+($P$95/$C$9+$P$98*$Q11/$L$88)^2)^(1/2)),"")</f>
        <v>8.0191462528234894</v>
      </c>
      <c r="AD11" s="199"/>
      <c r="AE11" s="196" t="s">
        <v>196</v>
      </c>
      <c r="AF11" s="196" t="s">
        <v>197</v>
      </c>
      <c r="AG11" s="194"/>
      <c r="AH11" s="196" t="s">
        <v>196</v>
      </c>
      <c r="AI11" s="196" t="s">
        <v>197</v>
      </c>
      <c r="AJ11" s="194"/>
      <c r="AK11" s="196" t="s">
        <v>196</v>
      </c>
      <c r="AL11" s="196" t="s">
        <v>197</v>
      </c>
      <c r="AM11" s="5"/>
    </row>
    <row r="12" spans="1:39" x14ac:dyDescent="0.25">
      <c r="A12" s="260" t="str">
        <f>IF($C$9&gt;=1,"#1:","")</f>
        <v>#1:</v>
      </c>
      <c r="B12" s="141">
        <v>0</v>
      </c>
      <c r="C12" s="142">
        <v>0</v>
      </c>
      <c r="D12" s="260" t="str">
        <f>IF($C$9&gt;=26,"#26:","")</f>
        <v>#26:</v>
      </c>
      <c r="E12" s="141">
        <v>1.8288000000000002</v>
      </c>
      <c r="F12" s="142">
        <v>4.5720000000000001</v>
      </c>
      <c r="G12" s="260" t="str">
        <f>IF($C$9&gt;=51,"#51:","")</f>
        <v/>
      </c>
      <c r="H12" s="141"/>
      <c r="I12" s="142"/>
      <c r="K12" s="9">
        <v>8</v>
      </c>
      <c r="L12" s="16">
        <f>IF($C$9&gt;=8,$C19-$L$85,"")</f>
        <v>2.2859999999999996</v>
      </c>
      <c r="M12" s="16">
        <f>IF($C$9&gt;=8,$B19-$L$84,"")</f>
        <v>-1.3716000000000004</v>
      </c>
      <c r="N12" s="16">
        <f>IF($C$9&gt;=8,$L12^2,"")</f>
        <v>5.2257959999999981</v>
      </c>
      <c r="O12" s="16">
        <f>IF($C$9&gt;=8,$M12^2,"")</f>
        <v>1.8812865600000011</v>
      </c>
      <c r="P12" s="16">
        <f>IF($C$9&gt;=8,$L12*$M12,"")</f>
        <v>-3.1354776000000002</v>
      </c>
      <c r="Q12" s="17">
        <f>IF($C$9&gt;=8,$B19-$L$84,"")</f>
        <v>-1.3716000000000004</v>
      </c>
      <c r="R12" s="17">
        <f>IF($C$9&gt;=8,$C19-$L$85,"")</f>
        <v>2.2859999999999996</v>
      </c>
      <c r="S12" s="18">
        <f>IF($C$9&gt;=8,(-$P$93/$C$9+($P$97*$L$86--$P$96*$L$89)/($L$86*$L$87-$L$89^2)*$Q12+(-$P$96*$L$87-$P$97*$L$89)/($L$86*$L$87-$L$89^2)*$R12),"")</f>
        <v>350.24134309176554</v>
      </c>
      <c r="T12" s="18">
        <f>IF($C$9&gt;=8,((($P$94/$C$9+$P$98*-$R12/$L$88)^2+($P$95/$C$9+$P$98*$Q12/$L$88)^2)^(1/2)),"")</f>
        <v>8.0191462528234894</v>
      </c>
      <c r="AD12" s="262" t="str">
        <f>IF($C$9&gt;=1,"#1:","")</f>
        <v>#1:</v>
      </c>
      <c r="AE12" s="216">
        <f>IF($C$9&gt;=1,$B12*3.28084,"")</f>
        <v>0</v>
      </c>
      <c r="AF12" s="228">
        <f>IF($C$9&gt;=1,$C12*3.28084,"")</f>
        <v>0</v>
      </c>
      <c r="AG12" s="279" t="str">
        <f>IF($C$9&gt;=26,"#26:","")</f>
        <v>#26:</v>
      </c>
      <c r="AH12" s="216">
        <f>IF($C$9&gt;=26,$E12*3.28084,"")</f>
        <v>6.0000001920000008</v>
      </c>
      <c r="AI12" s="228">
        <f>IF($C$9&gt;=26,$F12*3.28084,"")</f>
        <v>15.000000480000001</v>
      </c>
      <c r="AJ12" s="279" t="str">
        <f>IF($C$9&gt;=51,"#51:","")</f>
        <v/>
      </c>
      <c r="AK12" s="216" t="str">
        <f>IF($C$9&gt;=51,$H12*3.28084,"")</f>
        <v/>
      </c>
      <c r="AL12" s="228" t="str">
        <f>IF($C$9&gt;=51,$I12*3.28084,"")</f>
        <v/>
      </c>
      <c r="AM12" s="8"/>
    </row>
    <row r="13" spans="1:39" x14ac:dyDescent="0.25">
      <c r="A13" s="260" t="str">
        <f>IF($C$9&gt;=2,"#2:","")</f>
        <v>#2:</v>
      </c>
      <c r="B13" s="145">
        <v>0</v>
      </c>
      <c r="C13" s="146">
        <v>0.9144000000000001</v>
      </c>
      <c r="D13" s="260" t="str">
        <f>IF($C$9&gt;=27,"#27:","")</f>
        <v>#27:</v>
      </c>
      <c r="E13" s="145">
        <v>1.8288000000000002</v>
      </c>
      <c r="F13" s="146">
        <v>5.4864000000000006</v>
      </c>
      <c r="G13" s="260" t="str">
        <f>IF($C$9&gt;=52,"#52:","")</f>
        <v/>
      </c>
      <c r="H13" s="145"/>
      <c r="I13" s="146"/>
      <c r="K13" s="9">
        <v>9</v>
      </c>
      <c r="L13" s="16">
        <f>IF($C$9&gt;=9,$C20-$L$85,"")</f>
        <v>3.2004000000000001</v>
      </c>
      <c r="M13" s="16">
        <f>IF($C$9&gt;=9,$B20-$L$84,"")</f>
        <v>-1.3716000000000004</v>
      </c>
      <c r="N13" s="16">
        <f>IF($C$9&gt;=9,$L13^2,"")</f>
        <v>10.24256016</v>
      </c>
      <c r="O13" s="16">
        <f>IF($C$9&gt;=9,$M13^2,"")</f>
        <v>1.8812865600000011</v>
      </c>
      <c r="P13" s="16">
        <f>IF($C$9&gt;=9,$L13*$M13,"")</f>
        <v>-4.3896686400000018</v>
      </c>
      <c r="Q13" s="17">
        <f>IF($C$9&gt;=9,$B20-$L$84,"")</f>
        <v>-1.3716000000000004</v>
      </c>
      <c r="R13" s="17">
        <f>IF($C$9&gt;=9,$C20-$L$85,"")</f>
        <v>3.2004000000000001</v>
      </c>
      <c r="S13" s="18">
        <f>IF($C$9&gt;=9,(-$P$93/$C$9+($P$97*$L$86--$P$96*$L$89)/($L$86*$L$87-$L$89^2)*$Q13+(-$P$96*$L$87-$P$97*$L$89)/($L$86*$L$87-$L$89^2)*$R13),"")</f>
        <v>347.99476305180156</v>
      </c>
      <c r="T13" s="18">
        <f>IF($C$9&gt;=9,((($P$94/$C$9+$P$98*-$R13/$L$88)^2+($P$95/$C$9+$P$98*$Q13/$L$88)^2)^(1/2)),"")</f>
        <v>8.0191462528234894</v>
      </c>
      <c r="AD13" s="262" t="str">
        <f>IF($C$9&gt;=2,"#2:","")</f>
        <v>#2:</v>
      </c>
      <c r="AE13" s="217">
        <f>IF($C$9&gt;=2,$B13*3.28084,"")</f>
        <v>0</v>
      </c>
      <c r="AF13" s="229">
        <f>IF($C$9&gt;=2,$C13*3.28084,"")</f>
        <v>3.0000000960000004</v>
      </c>
      <c r="AG13" s="279" t="str">
        <f>IF($C$9&gt;=27,"#27:","")</f>
        <v>#27:</v>
      </c>
      <c r="AH13" s="217">
        <f>IF($C$9&gt;=27,$E13*3.28084,"")</f>
        <v>6.0000001920000008</v>
      </c>
      <c r="AI13" s="229">
        <f>IF($C$9&gt;=27,$F13*3.28084,"")</f>
        <v>18.000000576000001</v>
      </c>
      <c r="AJ13" s="279" t="str">
        <f>IF($C$9&gt;=52,"#52:","")</f>
        <v/>
      </c>
      <c r="AK13" s="217" t="str">
        <f>IF($C$9&gt;=52,$H13*3.28084,"")</f>
        <v/>
      </c>
      <c r="AL13" s="229" t="str">
        <f>IF($C$9&gt;=52,$I13*3.28084,"")</f>
        <v/>
      </c>
      <c r="AM13" s="8"/>
    </row>
    <row r="14" spans="1:39" x14ac:dyDescent="0.25">
      <c r="A14" s="260" t="str">
        <f>IF($C$9&gt;=3,"#3:","")</f>
        <v>#3:</v>
      </c>
      <c r="B14" s="145">
        <v>0</v>
      </c>
      <c r="C14" s="146">
        <v>1.8288000000000002</v>
      </c>
      <c r="D14" s="260" t="str">
        <f>IF($C$9&gt;=28,"#28:","")</f>
        <v>#28:</v>
      </c>
      <c r="E14" s="145">
        <v>1.8288000000000002</v>
      </c>
      <c r="F14" s="146">
        <v>6.4008000000000003</v>
      </c>
      <c r="G14" s="260" t="str">
        <f>IF($C$9&gt;=53,"#53:","")</f>
        <v/>
      </c>
      <c r="H14" s="145"/>
      <c r="I14" s="146"/>
      <c r="K14" s="9">
        <v>10</v>
      </c>
      <c r="L14" s="16">
        <f>IF($C$9&gt;=10,$C21-$L$85,"")</f>
        <v>4.1147999999999989</v>
      </c>
      <c r="M14" s="16">
        <f>IF($C$9&gt;=10,$B21-$L$84,"")</f>
        <v>-1.3716000000000004</v>
      </c>
      <c r="N14" s="16">
        <f>IF($C$9&gt;=10,$L14^2,"")</f>
        <v>16.931579039999992</v>
      </c>
      <c r="O14" s="16">
        <f>IF($C$9&gt;=10,$M14^2,"")</f>
        <v>1.8812865600000011</v>
      </c>
      <c r="P14" s="16">
        <f>IF($C$9&gt;=10,$L14*$M14,"")</f>
        <v>-5.6438596800000003</v>
      </c>
      <c r="Q14" s="17">
        <f>IF($C$9&gt;=10,$B21-$L$84,"")</f>
        <v>-1.3716000000000004</v>
      </c>
      <c r="R14" s="17">
        <f>IF($C$9&gt;=10,$C21-$L$85,"")</f>
        <v>4.1147999999999989</v>
      </c>
      <c r="S14" s="18">
        <f>IF($C$9&gt;=10,(-$P$93/$C$9+($P$97*$L$86--$P$96*$L$89)/($L$86*$L$87-$L$89^2)*$Q14+(-$P$96*$L$87-$P$97*$L$89)/($L$86*$L$87-$L$89^2)*$R14),"")</f>
        <v>345.74818301183757</v>
      </c>
      <c r="T14" s="18">
        <f>IF($C$9&gt;=10,((($P$94/$C$9+$P$98*-$R14/$L$88)^2+($P$95/$C$9+$P$98*$Q14/$L$88)^2)^(1/2)),"")</f>
        <v>8.0191462528234894</v>
      </c>
      <c r="AD14" s="262" t="str">
        <f>IF($C$9&gt;=3,"#3:","")</f>
        <v>#3:</v>
      </c>
      <c r="AE14" s="217">
        <f>IF($C$9&gt;=3,$B14*3.28084,"")</f>
        <v>0</v>
      </c>
      <c r="AF14" s="229">
        <f>IF($C$9&gt;=3,$C14*3.28084,"")</f>
        <v>6.0000001920000008</v>
      </c>
      <c r="AG14" s="279" t="str">
        <f>IF($C$9&gt;=28,"#28:","")</f>
        <v>#28:</v>
      </c>
      <c r="AH14" s="217">
        <f>IF($C$9&gt;=28,$E14*3.28084,"")</f>
        <v>6.0000001920000008</v>
      </c>
      <c r="AI14" s="229">
        <f>IF($C$9&gt;=28,$F14*3.28084,"")</f>
        <v>21.000000672000002</v>
      </c>
      <c r="AJ14" s="279" t="str">
        <f>IF($C$9&gt;=53,"#53:","")</f>
        <v/>
      </c>
      <c r="AK14" s="217" t="str">
        <f>IF($C$9&gt;=53,$H14*3.28084,"")</f>
        <v/>
      </c>
      <c r="AL14" s="229" t="str">
        <f>IF($C$9&gt;=53,$I14*3.28084,"")</f>
        <v/>
      </c>
      <c r="AM14" s="8"/>
    </row>
    <row r="15" spans="1:39" x14ac:dyDescent="0.25">
      <c r="A15" s="260" t="str">
        <f>IF($C$9&gt;=4,"#4:","")</f>
        <v>#4:</v>
      </c>
      <c r="B15" s="145">
        <v>0</v>
      </c>
      <c r="C15" s="146">
        <v>2.7432000000000003</v>
      </c>
      <c r="D15" s="260" t="str">
        <f>IF($C$9&gt;=29,"#29:","")</f>
        <v>#29:</v>
      </c>
      <c r="E15" s="145">
        <v>1.8288000000000002</v>
      </c>
      <c r="F15" s="146">
        <v>7.3152000000000008</v>
      </c>
      <c r="G15" s="260" t="str">
        <f>IF($C$9&gt;=54,"#54:","")</f>
        <v/>
      </c>
      <c r="H15" s="145"/>
      <c r="I15" s="146"/>
      <c r="K15" s="9">
        <v>11</v>
      </c>
      <c r="L15" s="16">
        <f>IF($C$9&gt;=11,$C22-$L$85,"")</f>
        <v>-4.1148000000000007</v>
      </c>
      <c r="M15" s="16">
        <f>IF($C$9&gt;=11,$B22-$L$84,"")</f>
        <v>-0.45720000000000027</v>
      </c>
      <c r="N15" s="16">
        <f>IF($C$9&gt;=11,$L15^2,"")</f>
        <v>16.931579040000006</v>
      </c>
      <c r="O15" s="16">
        <f>IF($C$9&gt;=11,$M15^2,"")</f>
        <v>0.20903184000000025</v>
      </c>
      <c r="P15" s="16">
        <f>IF($C$9&gt;=11,$L15*$M15,"")</f>
        <v>1.8812865600000015</v>
      </c>
      <c r="Q15" s="17">
        <f>IF($C$9&gt;=11,$B22-$L$84,"")</f>
        <v>-0.45720000000000027</v>
      </c>
      <c r="R15" s="17">
        <f>IF($C$9&gt;=11,$C22-$L$85,"")</f>
        <v>-4.1148000000000007</v>
      </c>
      <c r="S15" s="18">
        <f>IF($C$9&gt;=11,(-$P$93/$C$9+($P$97*$L$86--$P$96*$L$89)/($L$86*$L$87-$L$89^2)*$Q15+(-$P$96*$L$87-$P$97*$L$89)/($L$86*$L$87-$L$89^2)*$R15),"")</f>
        <v>351.13997457706324</v>
      </c>
      <c r="T15" s="18">
        <f>IF($C$9&gt;=11,((($P$94/$C$9+$P$98*-$R15/$L$88)^2+($P$95/$C$9+$P$98*$Q15/$L$88)^2)^(1/2)),"")</f>
        <v>8.0191462528234894</v>
      </c>
      <c r="AD15" s="262" t="str">
        <f>IF($C$9&gt;=4,"#4:","")</f>
        <v>#4:</v>
      </c>
      <c r="AE15" s="217">
        <f>IF($C$9&gt;=4,$B15*3.28084,"")</f>
        <v>0</v>
      </c>
      <c r="AF15" s="229">
        <f>IF($C$9&gt;=4,$C15*3.28084,"")</f>
        <v>9.0000002880000007</v>
      </c>
      <c r="AG15" s="279" t="str">
        <f>IF($C$9&gt;=29,"#29:","")</f>
        <v>#29:</v>
      </c>
      <c r="AH15" s="217">
        <f>IF($C$9&gt;=29,$E15*3.28084,"")</f>
        <v>6.0000001920000008</v>
      </c>
      <c r="AI15" s="229">
        <f>IF($C$9&gt;=29,$F15*3.28084,"")</f>
        <v>24.000000768000003</v>
      </c>
      <c r="AJ15" s="279" t="str">
        <f>IF($C$9&gt;=54,"#54:","")</f>
        <v/>
      </c>
      <c r="AK15" s="217" t="str">
        <f>IF($C$9&gt;=54,$H15*3.28084,"")</f>
        <v/>
      </c>
      <c r="AL15" s="229" t="str">
        <f>IF($C$9&gt;=54,$I15*3.28084,"")</f>
        <v/>
      </c>
      <c r="AM15" s="8"/>
    </row>
    <row r="16" spans="1:39" x14ac:dyDescent="0.25">
      <c r="A16" s="260" t="str">
        <f>IF($C$9&gt;=5,"#5:","")</f>
        <v>#5:</v>
      </c>
      <c r="B16" s="145">
        <v>0</v>
      </c>
      <c r="C16" s="146">
        <v>3.6576000000000004</v>
      </c>
      <c r="D16" s="260" t="str">
        <f>IF($C$9&gt;=30,"#30:","")</f>
        <v>#30:</v>
      </c>
      <c r="E16" s="145">
        <v>1.8288000000000002</v>
      </c>
      <c r="F16" s="146">
        <v>8.2295999999999996</v>
      </c>
      <c r="G16" s="260" t="str">
        <f>IF($C$9&gt;=55,"#55:","")</f>
        <v/>
      </c>
      <c r="H16" s="145"/>
      <c r="I16" s="146"/>
      <c r="K16" s="9">
        <v>12</v>
      </c>
      <c r="L16" s="16">
        <f>IF($C$9&gt;=12,$C23-$L$85,"")</f>
        <v>-3.2004000000000006</v>
      </c>
      <c r="M16" s="16">
        <f>IF($C$9&gt;=12,$B23-$L$84,"")</f>
        <v>-0.45720000000000027</v>
      </c>
      <c r="N16" s="16">
        <f>IF($C$9&gt;=12,$L16^2,"")</f>
        <v>10.242560160000004</v>
      </c>
      <c r="O16" s="16">
        <f>IF($C$9&gt;=12,$M16^2,"")</f>
        <v>0.20903184000000025</v>
      </c>
      <c r="P16" s="16">
        <f>IF($C$9&gt;=12,$L16*$M16,"")</f>
        <v>1.4632228800000011</v>
      </c>
      <c r="Q16" s="17">
        <f>IF($C$9&gt;=12,$B23-$L$84,"")</f>
        <v>-0.45720000000000027</v>
      </c>
      <c r="R16" s="17">
        <f>IF($C$9&gt;=12,$C23-$L$85,"")</f>
        <v>-3.2004000000000006</v>
      </c>
      <c r="S16" s="18">
        <f>IF($C$9&gt;=12,(-$P$93/$C$9+($P$97*$L$86--$P$96*$L$89)/($L$86*$L$87-$L$89^2)*$Q16+(-$P$96*$L$87-$P$97*$L$89)/($L$86*$L$87-$L$89^2)*$R16),"")</f>
        <v>348.89339453709925</v>
      </c>
      <c r="T16" s="18">
        <f>IF($C$9&gt;=12,((($P$94/$C$9+$P$98*-$R16/$L$88)^2+($P$95/$C$9+$P$98*$Q16/$L$88)^2)^(1/2)),"")</f>
        <v>8.0191462528234894</v>
      </c>
      <c r="AD16" s="262" t="str">
        <f>IF($C$9&gt;=5,"#5:","")</f>
        <v>#5:</v>
      </c>
      <c r="AE16" s="217">
        <f>IF($C$9&gt;=5,$B16*3.28084,"")</f>
        <v>0</v>
      </c>
      <c r="AF16" s="229">
        <f>IF($C$9&gt;=5,$C16*3.28084,"")</f>
        <v>12.000000384000002</v>
      </c>
      <c r="AG16" s="279" t="str">
        <f>IF($C$9&gt;=30,"#30:","")</f>
        <v>#30:</v>
      </c>
      <c r="AH16" s="217">
        <f>IF($C$9&gt;=30,$E16*3.28084,"")</f>
        <v>6.0000001920000008</v>
      </c>
      <c r="AI16" s="229">
        <f>IF($C$9&gt;=30,$F16*3.28084,"")</f>
        <v>27.000000863999997</v>
      </c>
      <c r="AJ16" s="279" t="str">
        <f>IF($C$9&gt;=55,"#55:","")</f>
        <v/>
      </c>
      <c r="AK16" s="217" t="str">
        <f>IF($C$9&gt;=55,$H16*3.28084,"")</f>
        <v/>
      </c>
      <c r="AL16" s="229" t="str">
        <f>IF($C$9&gt;=55,$I16*3.28084,"")</f>
        <v/>
      </c>
      <c r="AM16" s="8"/>
    </row>
    <row r="17" spans="1:39" x14ac:dyDescent="0.25">
      <c r="A17" s="260" t="str">
        <f>IF($C$9&gt;=6,"#6:","")</f>
        <v>#6:</v>
      </c>
      <c r="B17" s="145">
        <v>0</v>
      </c>
      <c r="C17" s="146">
        <v>4.5720000000000001</v>
      </c>
      <c r="D17" s="260" t="str">
        <f>IF($C$9&gt;=31,"#31:","")</f>
        <v>#31:</v>
      </c>
      <c r="E17" s="145">
        <v>2.7432000000000003</v>
      </c>
      <c r="F17" s="146">
        <v>0</v>
      </c>
      <c r="G17" s="260" t="str">
        <f>IF($C$9&gt;=56,"#56:","")</f>
        <v/>
      </c>
      <c r="H17" s="145"/>
      <c r="I17" s="146"/>
      <c r="K17" s="9">
        <v>13</v>
      </c>
      <c r="L17" s="16">
        <f>IF($C$9&gt;=13,$C24-$L$85,"")</f>
        <v>-2.2860000000000005</v>
      </c>
      <c r="M17" s="16">
        <f>IF($C$9&gt;=13,$B24-$L$84,"")</f>
        <v>-0.45720000000000027</v>
      </c>
      <c r="N17" s="16">
        <f>IF($C$9&gt;=13,$L17^2,"")</f>
        <v>5.2257960000000026</v>
      </c>
      <c r="O17" s="16">
        <f>IF($C$9&gt;=13,$M17^2,"")</f>
        <v>0.20903184000000025</v>
      </c>
      <c r="P17" s="16">
        <f>IF($C$9&gt;=13,$L17*$M17,"")</f>
        <v>1.0451592000000007</v>
      </c>
      <c r="Q17" s="17">
        <f>IF($C$9&gt;=13,$B24-$L$84,"")</f>
        <v>-0.45720000000000027</v>
      </c>
      <c r="R17" s="17">
        <f>IF($C$9&gt;=13,$C24-$L$85,"")</f>
        <v>-2.2860000000000005</v>
      </c>
      <c r="S17" s="18">
        <f>IF($C$9&gt;=13,(-$P$93/$C$9+($P$97*$L$86--$P$96*$L$89)/($L$86*$L$87-$L$89^2)*$Q17+(-$P$96*$L$87-$P$97*$L$89)/($L$86*$L$87-$L$89^2)*$R17),"")</f>
        <v>346.64681449713527</v>
      </c>
      <c r="T17" s="18">
        <f>IF($C$9&gt;=13,((($P$94/$C$9+$P$98*-$R17/$L$88)^2+($P$95/$C$9+$P$98*$Q17/$L$88)^2)^(1/2)),"")</f>
        <v>8.0191462528234894</v>
      </c>
      <c r="AD17" s="262" t="str">
        <f>IF($C$9&gt;=6,"#6:","")</f>
        <v>#6:</v>
      </c>
      <c r="AE17" s="217">
        <f>IF($C$9&gt;=6,$B17*3.28084,"")</f>
        <v>0</v>
      </c>
      <c r="AF17" s="229">
        <f>IF($C$9&gt;=6,$C17*3.28084,"")</f>
        <v>15.000000480000001</v>
      </c>
      <c r="AG17" s="279" t="str">
        <f>IF($C$9&gt;=31,"#31:","")</f>
        <v>#31:</v>
      </c>
      <c r="AH17" s="217">
        <f>IF($C$9&gt;=31,$E17*3.28084,"")</f>
        <v>9.0000002880000007</v>
      </c>
      <c r="AI17" s="229">
        <f>IF($C$9&gt;=31,$F17*3.28084,"")</f>
        <v>0</v>
      </c>
      <c r="AJ17" s="279" t="str">
        <f>IF($C$9&gt;=56,"#56:","")</f>
        <v/>
      </c>
      <c r="AK17" s="217" t="str">
        <f>IF($C$9&gt;=56,$H17*3.28084,"")</f>
        <v/>
      </c>
      <c r="AL17" s="229" t="str">
        <f>IF($C$9&gt;=56,$I17*3.28084,"")</f>
        <v/>
      </c>
      <c r="AM17" s="8"/>
    </row>
    <row r="18" spans="1:39" x14ac:dyDescent="0.25">
      <c r="A18" s="260" t="str">
        <f>IF($C$9&gt;=7,"#7:","")</f>
        <v>#7:</v>
      </c>
      <c r="B18" s="145">
        <v>0</v>
      </c>
      <c r="C18" s="146">
        <v>5.4864000000000006</v>
      </c>
      <c r="D18" s="260" t="str">
        <f>IF($C$9&gt;=32,"#32:","")</f>
        <v>#32:</v>
      </c>
      <c r="E18" s="145">
        <v>2.7432000000000003</v>
      </c>
      <c r="F18" s="146">
        <v>0.9144000000000001</v>
      </c>
      <c r="G18" s="260" t="str">
        <f>IF($C$9&gt;=57,"#57:","")</f>
        <v/>
      </c>
      <c r="H18" s="145"/>
      <c r="I18" s="146"/>
      <c r="K18" s="9">
        <v>14</v>
      </c>
      <c r="L18" s="16">
        <f>IF($C$9&gt;=14,$C25-$L$85,"")</f>
        <v>-1.3716000000000004</v>
      </c>
      <c r="M18" s="16">
        <f>IF($C$9&gt;=14,$B25-$L$84,"")</f>
        <v>-0.45720000000000027</v>
      </c>
      <c r="N18" s="16">
        <f>IF($C$9&gt;=14,$L18^2,"")</f>
        <v>1.8812865600000011</v>
      </c>
      <c r="O18" s="16">
        <f>IF($C$9&gt;=14,$M18^2,"")</f>
        <v>0.20903184000000025</v>
      </c>
      <c r="P18" s="16">
        <f>IF($C$9&gt;=14,$L18*$M18,"")</f>
        <v>0.62709552000000057</v>
      </c>
      <c r="Q18" s="17">
        <f>IF($C$9&gt;=14,$B25-$L$84,"")</f>
        <v>-0.45720000000000027</v>
      </c>
      <c r="R18" s="17">
        <f>IF($C$9&gt;=14,$C25-$L$85,"")</f>
        <v>-1.3716000000000004</v>
      </c>
      <c r="S18" s="18">
        <f>IF($C$9&gt;=14,(-$P$93/$C$9+($P$97*$L$86--$P$96*$L$89)/($L$86*$L$87-$L$89^2)*$Q18+(-$P$96*$L$87-$P$97*$L$89)/($L$86*$L$87-$L$89^2)*$R18),"")</f>
        <v>344.40023445717122</v>
      </c>
      <c r="T18" s="18">
        <f>IF($C$9&gt;=14,((($P$94/$C$9+$P$98*-$R18/$L$88)^2+($P$95/$C$9+$P$98*$Q18/$L$88)^2)^(1/2)),"")</f>
        <v>8.0191462528234894</v>
      </c>
      <c r="AD18" s="262" t="str">
        <f>IF($C$9&gt;=7,"#7:","")</f>
        <v>#7:</v>
      </c>
      <c r="AE18" s="217">
        <f>IF($C$9&gt;=7,$B18*3.28084,"")</f>
        <v>0</v>
      </c>
      <c r="AF18" s="229">
        <f>IF($C$9&gt;=7,$C18*3.28084,"")</f>
        <v>18.000000576000001</v>
      </c>
      <c r="AG18" s="279" t="str">
        <f>IF($C$9&gt;=32,"#32:","")</f>
        <v>#32:</v>
      </c>
      <c r="AH18" s="217">
        <f>IF($C$9&gt;=32,$E18*3.28084,"")</f>
        <v>9.0000002880000007</v>
      </c>
      <c r="AI18" s="229">
        <f>IF($C$9&gt;=32,$F18*3.28084,"")</f>
        <v>3.0000000960000004</v>
      </c>
      <c r="AJ18" s="279" t="str">
        <f>IF($C$9&gt;=57,"#57:","")</f>
        <v/>
      </c>
      <c r="AK18" s="217" t="str">
        <f>IF($C$9&gt;=57,$H18*3.28084,"")</f>
        <v/>
      </c>
      <c r="AL18" s="229" t="str">
        <f>IF($C$9&gt;=57,$I18*3.28084,"")</f>
        <v/>
      </c>
      <c r="AM18" s="8"/>
    </row>
    <row r="19" spans="1:39" x14ac:dyDescent="0.25">
      <c r="A19" s="260" t="str">
        <f>IF($C$9&gt;=8,"#8:","")</f>
        <v>#8:</v>
      </c>
      <c r="B19" s="145">
        <v>0</v>
      </c>
      <c r="C19" s="146">
        <v>6.4008000000000003</v>
      </c>
      <c r="D19" s="260" t="str">
        <f>IF($C$9&gt;=33,"#33:","")</f>
        <v>#33:</v>
      </c>
      <c r="E19" s="145">
        <v>2.7432000000000003</v>
      </c>
      <c r="F19" s="146">
        <v>1.8288000000000002</v>
      </c>
      <c r="G19" s="260" t="str">
        <f>IF($C$9&gt;=58,"#58:","")</f>
        <v/>
      </c>
      <c r="H19" s="145"/>
      <c r="I19" s="146"/>
      <c r="K19" s="9">
        <v>15</v>
      </c>
      <c r="L19" s="16">
        <f>IF($C$9&gt;=15,$C26-$L$85,"")</f>
        <v>-0.45720000000000027</v>
      </c>
      <c r="M19" s="16">
        <f>IF($C$9&gt;=15,$B26-$L$84,"")</f>
        <v>-0.45720000000000027</v>
      </c>
      <c r="N19" s="16">
        <f>IF($C$9&gt;=15,$L19^2,"")</f>
        <v>0.20903184000000025</v>
      </c>
      <c r="O19" s="16">
        <f>IF($C$9&gt;=15,$M19^2,"")</f>
        <v>0.20903184000000025</v>
      </c>
      <c r="P19" s="16">
        <f>IF($C$9&gt;=15,$L19*$M19,"")</f>
        <v>0.20903184000000025</v>
      </c>
      <c r="Q19" s="17">
        <f>IF($C$9&gt;=15,$B26-$L$84,"")</f>
        <v>-0.45720000000000027</v>
      </c>
      <c r="R19" s="17">
        <f>IF($C$9&gt;=15,$C26-$L$85,"")</f>
        <v>-0.45720000000000027</v>
      </c>
      <c r="S19" s="18">
        <f>IF($C$9&gt;=15,(-$P$93/$C$9+($P$97*$L$86--$P$96*$L$89)/($L$86*$L$87-$L$89^2)*$Q19+(-$P$96*$L$87-$P$97*$L$89)/($L$86*$L$87-$L$89^2)*$R19),"")</f>
        <v>342.15365441720724</v>
      </c>
      <c r="T19" s="18">
        <f>IF($C$9&gt;=15,((($P$94/$C$9+$P$98*-$R19/$L$88)^2+($P$95/$C$9+$P$98*$Q19/$L$88)^2)^(1/2)),"")</f>
        <v>8.0191462528234894</v>
      </c>
      <c r="AD19" s="262" t="str">
        <f>IF($C$9&gt;=8,"#8:","")</f>
        <v>#8:</v>
      </c>
      <c r="AE19" s="217">
        <f>IF($C$9&gt;=8,$B19*3.28084,"")</f>
        <v>0</v>
      </c>
      <c r="AF19" s="229">
        <f>IF($C$9&gt;=8,$C19*3.28084,"")</f>
        <v>21.000000672000002</v>
      </c>
      <c r="AG19" s="279" t="str">
        <f>IF($C$9&gt;=33,"#33:","")</f>
        <v>#33:</v>
      </c>
      <c r="AH19" s="217">
        <f>IF($C$9&gt;=33,$E19*3.28084,"")</f>
        <v>9.0000002880000007</v>
      </c>
      <c r="AI19" s="229">
        <f>IF($C$9&gt;=33,$F19*3.28084,"")</f>
        <v>6.0000001920000008</v>
      </c>
      <c r="AJ19" s="279" t="str">
        <f>IF($C$9&gt;=58,"#58:","")</f>
        <v/>
      </c>
      <c r="AK19" s="217" t="str">
        <f>IF($C$9&gt;=58,$H19*3.28084,"")</f>
        <v/>
      </c>
      <c r="AL19" s="229" t="str">
        <f>IF($C$9&gt;=58,$I19*3.28084,"")</f>
        <v/>
      </c>
      <c r="AM19" s="8"/>
    </row>
    <row r="20" spans="1:39" x14ac:dyDescent="0.25">
      <c r="A20" s="260" t="str">
        <f>IF($C$9&gt;=9,"#9:","")</f>
        <v>#9:</v>
      </c>
      <c r="B20" s="145">
        <v>0</v>
      </c>
      <c r="C20" s="146">
        <v>7.3152000000000008</v>
      </c>
      <c r="D20" s="260" t="str">
        <f>IF($C$9&gt;=34,"#34:","")</f>
        <v>#34:</v>
      </c>
      <c r="E20" s="145">
        <v>2.7432000000000003</v>
      </c>
      <c r="F20" s="146">
        <v>2.7432000000000003</v>
      </c>
      <c r="G20" s="260" t="str">
        <f>IF($C$9&gt;=59,"#59:","")</f>
        <v/>
      </c>
      <c r="H20" s="145"/>
      <c r="I20" s="146"/>
      <c r="K20" s="9">
        <v>16</v>
      </c>
      <c r="L20" s="16">
        <f>IF($C$9&gt;=16,$C27-$L$85,"")</f>
        <v>0.45719999999999938</v>
      </c>
      <c r="M20" s="16">
        <f>IF($C$9&gt;=16,$B27-$L$84,"")</f>
        <v>-0.45720000000000027</v>
      </c>
      <c r="N20" s="16">
        <f>IF($C$9&gt;=16,$L20^2,"")</f>
        <v>0.20903183999999944</v>
      </c>
      <c r="O20" s="16">
        <f>IF($C$9&gt;=16,$M20^2,"")</f>
        <v>0.20903184000000025</v>
      </c>
      <c r="P20" s="16">
        <f>IF($C$9&gt;=16,$L20*$M20,"")</f>
        <v>-0.20903183999999983</v>
      </c>
      <c r="Q20" s="17">
        <f>IF($C$9&gt;=16,$B27-$L$84,"")</f>
        <v>-0.45720000000000027</v>
      </c>
      <c r="R20" s="17">
        <f>IF($C$9&gt;=16,$C27-$L$85,"")</f>
        <v>0.45719999999999938</v>
      </c>
      <c r="S20" s="18">
        <f>IF($C$9&gt;=16,(-$P$93/$C$9+($P$97*$L$86--$P$96*$L$89)/($L$86*$L$87-$L$89^2)*$Q20+(-$P$96*$L$87-$P$97*$L$89)/($L$86*$L$87-$L$89^2)*$R20),"")</f>
        <v>339.90707437724325</v>
      </c>
      <c r="T20" s="18">
        <f>IF($C$9&gt;=16,((($P$94/$C$9+$P$98*-$R20/$L$88)^2+($P$95/$C$9+$P$98*$Q20/$L$88)^2)^(1/2)),"")</f>
        <v>8.0191462528234894</v>
      </c>
      <c r="AD20" s="262" t="str">
        <f>IF($C$9&gt;=9,"#9:","")</f>
        <v>#9:</v>
      </c>
      <c r="AE20" s="217">
        <f>IF($C$9&gt;=9,$B20*3.28084,"")</f>
        <v>0</v>
      </c>
      <c r="AF20" s="229">
        <f>IF($C$9&gt;=9,$C20*3.28084,"")</f>
        <v>24.000000768000003</v>
      </c>
      <c r="AG20" s="279" t="str">
        <f>IF($C$9&gt;=34,"#34:","")</f>
        <v>#34:</v>
      </c>
      <c r="AH20" s="217">
        <f>IF($C$9&gt;=34,$E20*3.28084,"")</f>
        <v>9.0000002880000007</v>
      </c>
      <c r="AI20" s="229">
        <f>IF($C$9&gt;=34,$F20*3.28084,"")</f>
        <v>9.0000002880000007</v>
      </c>
      <c r="AJ20" s="279" t="str">
        <f>IF($C$9&gt;=59,"#59:","")</f>
        <v/>
      </c>
      <c r="AK20" s="217" t="str">
        <f>IF($C$9&gt;=59,$H20*3.28084,"")</f>
        <v/>
      </c>
      <c r="AL20" s="229" t="str">
        <f>IF($C$9&gt;=59,$I20*3.28084,"")</f>
        <v/>
      </c>
      <c r="AM20" s="8"/>
    </row>
    <row r="21" spans="1:39" x14ac:dyDescent="0.25">
      <c r="A21" s="260" t="str">
        <f>IF($C$9&gt;=10,"#10:","")</f>
        <v>#10:</v>
      </c>
      <c r="B21" s="145">
        <v>0</v>
      </c>
      <c r="C21" s="146">
        <v>8.2295999999999996</v>
      </c>
      <c r="D21" s="260" t="str">
        <f>IF($C$9&gt;=35,"#35:","")</f>
        <v>#35:</v>
      </c>
      <c r="E21" s="145">
        <v>2.7432000000000003</v>
      </c>
      <c r="F21" s="146">
        <v>3.6576000000000004</v>
      </c>
      <c r="G21" s="260" t="str">
        <f>IF($C$9&gt;=60,"#60:","")</f>
        <v/>
      </c>
      <c r="H21" s="145"/>
      <c r="I21" s="146"/>
      <c r="K21" s="9">
        <v>17</v>
      </c>
      <c r="L21" s="16">
        <f>IF($C$9&gt;=17,$C28-$L$85,"")</f>
        <v>1.3715999999999999</v>
      </c>
      <c r="M21" s="16">
        <f>IF($C$9&gt;=17,$B28-$L$84,"")</f>
        <v>-0.45720000000000027</v>
      </c>
      <c r="N21" s="16">
        <f>IF($C$9&gt;=17,$L21^2,"")</f>
        <v>1.8812865599999997</v>
      </c>
      <c r="O21" s="16">
        <f>IF($C$9&gt;=17,$M21^2,"")</f>
        <v>0.20903184000000025</v>
      </c>
      <c r="P21" s="16">
        <f>IF($C$9&gt;=17,$L21*$M21,"")</f>
        <v>-0.62709552000000035</v>
      </c>
      <c r="Q21" s="17">
        <f>IF($C$9&gt;=17,$B28-$L$84,"")</f>
        <v>-0.45720000000000027</v>
      </c>
      <c r="R21" s="17">
        <f>IF($C$9&gt;=17,$C28-$L$85,"")</f>
        <v>1.3715999999999999</v>
      </c>
      <c r="S21" s="18">
        <f>IF($C$9&gt;=17,(-$P$93/$C$9+($P$97*$L$86--$P$96*$L$89)/($L$86*$L$87-$L$89^2)*$Q21+(-$P$96*$L$87-$P$97*$L$89)/($L$86*$L$87-$L$89^2)*$R21),"")</f>
        <v>337.66049433727926</v>
      </c>
      <c r="T21" s="18">
        <f>IF($C$9&gt;=17,((($P$94/$C$9+$P$98*-$R21/$L$88)^2+($P$95/$C$9+$P$98*$Q21/$L$88)^2)^(1/2)),"")</f>
        <v>8.0191462528234894</v>
      </c>
      <c r="AD21" s="262" t="str">
        <f>IF($C$9&gt;=10,"#10:","")</f>
        <v>#10:</v>
      </c>
      <c r="AE21" s="217">
        <f>IF($C$9&gt;=10,$B21*3.28084,"")</f>
        <v>0</v>
      </c>
      <c r="AF21" s="229">
        <f>IF($C$9&gt;=10,$C21*3.28084,"")</f>
        <v>27.000000863999997</v>
      </c>
      <c r="AG21" s="279" t="str">
        <f>IF($C$9&gt;=35,"#35:","")</f>
        <v>#35:</v>
      </c>
      <c r="AH21" s="217">
        <f>IF($C$9&gt;=35,$E21*3.28084,"")</f>
        <v>9.0000002880000007</v>
      </c>
      <c r="AI21" s="229">
        <f>IF($C$9&gt;=35,$F21*3.28084,"")</f>
        <v>12.000000384000002</v>
      </c>
      <c r="AJ21" s="279" t="str">
        <f>IF($C$9&gt;=60,"#60:","")</f>
        <v/>
      </c>
      <c r="AK21" s="217" t="str">
        <f>IF($C$9&gt;=60,$H21*3.28084,"")</f>
        <v/>
      </c>
      <c r="AL21" s="229" t="str">
        <f>IF($C$9&gt;=60,$I21*3.28084,"")</f>
        <v/>
      </c>
      <c r="AM21" s="8"/>
    </row>
    <row r="22" spans="1:39" x14ac:dyDescent="0.25">
      <c r="A22" s="260" t="str">
        <f>IF($C$9&gt;=11,"#11:","")</f>
        <v>#11:</v>
      </c>
      <c r="B22" s="145">
        <v>0.9144000000000001</v>
      </c>
      <c r="C22" s="146">
        <v>0</v>
      </c>
      <c r="D22" s="260" t="str">
        <f>IF($C$9&gt;=36,"#36:","")</f>
        <v>#36:</v>
      </c>
      <c r="E22" s="145">
        <v>2.7432000000000003</v>
      </c>
      <c r="F22" s="146">
        <v>4.5720000000000001</v>
      </c>
      <c r="G22" s="260" t="str">
        <f>IF($C$9&gt;=61,"#61","")</f>
        <v/>
      </c>
      <c r="H22" s="145"/>
      <c r="I22" s="146"/>
      <c r="K22" s="9">
        <v>18</v>
      </c>
      <c r="L22" s="16">
        <f>IF($C$9&gt;=18,$C29-$L$85,"")</f>
        <v>2.2859999999999996</v>
      </c>
      <c r="M22" s="16">
        <f>IF($C$9&gt;=18,$B29-$L$84,"")</f>
        <v>-0.45720000000000027</v>
      </c>
      <c r="N22" s="16">
        <f>IF($C$9&gt;=18,$L22^2,"")</f>
        <v>5.2257959999999981</v>
      </c>
      <c r="O22" s="16">
        <f>IF($C$9&gt;=18,$M22^2,"")</f>
        <v>0.20903184000000025</v>
      </c>
      <c r="P22" s="16">
        <f>IF($C$9&gt;=18,$L22*$M22,"")</f>
        <v>-1.0451592000000005</v>
      </c>
      <c r="Q22" s="17">
        <f>IF($C$9&gt;=18,$B29-$L$84,"")</f>
        <v>-0.45720000000000027</v>
      </c>
      <c r="R22" s="17">
        <f>IF($C$9&gt;=18,$C29-$L$85,"")</f>
        <v>2.2859999999999996</v>
      </c>
      <c r="S22" s="18">
        <f>IF($C$9&gt;=18,(-$P$93/$C$9+($P$97*$L$86--$P$96*$L$89)/($L$86*$L$87-$L$89^2)*$Q22+(-$P$96*$L$87-$P$97*$L$89)/($L$86*$L$87-$L$89^2)*$R22),"")</f>
        <v>335.41391429731522</v>
      </c>
      <c r="T22" s="18">
        <f>IF($C$9&gt;=18,((($P$94/$C$9+$P$98*-$R22/$L$88)^2+($P$95/$C$9+$P$98*$Q22/$L$88)^2)^(1/2)),"")</f>
        <v>8.0191462528234894</v>
      </c>
      <c r="AD22" s="262" t="str">
        <f>IF($C$9&gt;=11,"#11:","")</f>
        <v>#11:</v>
      </c>
      <c r="AE22" s="217">
        <f>IF($C$9&gt;=11,$B22*3.28084,"")</f>
        <v>3.0000000960000004</v>
      </c>
      <c r="AF22" s="229">
        <f>IF($C$9&gt;=11,$C22*3.28084,"")</f>
        <v>0</v>
      </c>
      <c r="AG22" s="279" t="str">
        <f>IF($C$9&gt;=36,"#36:","")</f>
        <v>#36:</v>
      </c>
      <c r="AH22" s="217">
        <f>IF($C$9&gt;=36,$E22*3.28084,"")</f>
        <v>9.0000002880000007</v>
      </c>
      <c r="AI22" s="229">
        <f>IF($C$9&gt;=36,$F22*3.28084,"")</f>
        <v>15.000000480000001</v>
      </c>
      <c r="AJ22" s="279" t="str">
        <f>IF($C$9&gt;=61,"#61","")</f>
        <v/>
      </c>
      <c r="AK22" s="217" t="str">
        <f>IF($C$9&gt;=61,$H22*3.28084,"")</f>
        <v/>
      </c>
      <c r="AL22" s="229" t="str">
        <f>IF($C$9&gt;=61,$I22*3.28084,"")</f>
        <v/>
      </c>
      <c r="AM22" s="8"/>
    </row>
    <row r="23" spans="1:39" x14ac:dyDescent="0.25">
      <c r="A23" s="260" t="str">
        <f>IF($C$9&gt;=12,"#12:","")</f>
        <v>#12:</v>
      </c>
      <c r="B23" s="145">
        <v>0.9144000000000001</v>
      </c>
      <c r="C23" s="146">
        <v>0.9144000000000001</v>
      </c>
      <c r="D23" s="260" t="str">
        <f>IF($C$9&gt;=37,"#37:","")</f>
        <v>#37:</v>
      </c>
      <c r="E23" s="145">
        <v>2.7432000000000003</v>
      </c>
      <c r="F23" s="146">
        <v>5.4864000000000006</v>
      </c>
      <c r="G23" s="260" t="str">
        <f>IF($C$9&gt;=62,"#62","")</f>
        <v/>
      </c>
      <c r="H23" s="145"/>
      <c r="I23" s="146"/>
      <c r="K23" s="9">
        <v>19</v>
      </c>
      <c r="L23" s="16">
        <f>IF($C$9&gt;=19,$C30-$L$85,"")</f>
        <v>3.2004000000000001</v>
      </c>
      <c r="M23" s="16">
        <f>IF($C$9&gt;=19,$B30-$L$84,"")</f>
        <v>-0.45720000000000027</v>
      </c>
      <c r="N23" s="16">
        <f>IF($C$9&gt;=19,$L23^2,"")</f>
        <v>10.24256016</v>
      </c>
      <c r="O23" s="16">
        <f>IF($C$9&gt;=19,$M23^2,"")</f>
        <v>0.20903184000000025</v>
      </c>
      <c r="P23" s="16">
        <f>IF($C$9&gt;=19,$L23*$M23,"")</f>
        <v>-1.4632228800000009</v>
      </c>
      <c r="Q23" s="17">
        <f>IF($C$9&gt;=19,$B30-$L$84,"")</f>
        <v>-0.45720000000000027</v>
      </c>
      <c r="R23" s="17">
        <f>IF($C$9&gt;=19,$C30-$L$85,"")</f>
        <v>3.2004000000000001</v>
      </c>
      <c r="S23" s="18">
        <f>IF($C$9&gt;=19,(-$P$93/$C$9+($P$97*$L$86--$P$96*$L$89)/($L$86*$L$87-$L$89^2)*$Q23+(-$P$96*$L$87-$P$97*$L$89)/($L$86*$L$87-$L$89^2)*$R23),"")</f>
        <v>333.16733425735123</v>
      </c>
      <c r="T23" s="18">
        <f>IF($C$9&gt;=19,((($P$94/$C$9+$P$98*-$R23/$L$88)^2+($P$95/$C$9+$P$98*$Q23/$L$88)^2)^(1/2)),"")</f>
        <v>8.0191462528234894</v>
      </c>
      <c r="AD23" s="262" t="str">
        <f>IF($C$9&gt;=12,"#12:","")</f>
        <v>#12:</v>
      </c>
      <c r="AE23" s="217">
        <f>IF($C$9&gt;=12,$B23*3.28084,"")</f>
        <v>3.0000000960000004</v>
      </c>
      <c r="AF23" s="229">
        <f>IF($C$9&gt;=12,$C23*3.28084,"")</f>
        <v>3.0000000960000004</v>
      </c>
      <c r="AG23" s="279" t="str">
        <f>IF($C$9&gt;=37,"#37:","")</f>
        <v>#37:</v>
      </c>
      <c r="AH23" s="217">
        <f>IF($C$9&gt;=37,$E23*3.28084,"")</f>
        <v>9.0000002880000007</v>
      </c>
      <c r="AI23" s="229">
        <f>IF($C$9&gt;=37,$F23*3.28084,"")</f>
        <v>18.000000576000001</v>
      </c>
      <c r="AJ23" s="279" t="str">
        <f>IF($C$9&gt;=62,"#62","")</f>
        <v/>
      </c>
      <c r="AK23" s="217" t="str">
        <f>IF($C$9&gt;=62,$H23*3.28084,"")</f>
        <v/>
      </c>
      <c r="AL23" s="229" t="str">
        <f>IF($C$9&gt;=62,$I23*3.28084,"")</f>
        <v/>
      </c>
      <c r="AM23" s="8"/>
    </row>
    <row r="24" spans="1:39" x14ac:dyDescent="0.25">
      <c r="A24" s="260" t="str">
        <f>IF($C$9&gt;=13,"#13:","")</f>
        <v>#13:</v>
      </c>
      <c r="B24" s="145">
        <v>0.9144000000000001</v>
      </c>
      <c r="C24" s="146">
        <v>1.8288000000000002</v>
      </c>
      <c r="D24" s="260" t="str">
        <f>IF($C$9&gt;=38,"#38:","")</f>
        <v>#38:</v>
      </c>
      <c r="E24" s="145">
        <v>2.7432000000000003</v>
      </c>
      <c r="F24" s="146">
        <v>6.4008000000000003</v>
      </c>
      <c r="G24" s="260" t="str">
        <f>IF($C$9&gt;=63,"#63","")</f>
        <v/>
      </c>
      <c r="H24" s="145"/>
      <c r="I24" s="146"/>
      <c r="K24" s="9">
        <v>20</v>
      </c>
      <c r="L24" s="16">
        <f>IF($C$9&gt;=20,$C31-$L$85,"")</f>
        <v>4.1147999999999989</v>
      </c>
      <c r="M24" s="16">
        <f>IF($C$9&gt;=20,$B31-$L$84,"")</f>
        <v>-0.45720000000000027</v>
      </c>
      <c r="N24" s="16">
        <f>IF($C$9&gt;=20,$L24^2,"")</f>
        <v>16.931579039999992</v>
      </c>
      <c r="O24" s="16">
        <f>IF($C$9&gt;=20,$M24^2,"")</f>
        <v>0.20903184000000025</v>
      </c>
      <c r="P24" s="16">
        <f>IF($C$9&gt;=20,$L24*$M24,"")</f>
        <v>-1.8812865600000006</v>
      </c>
      <c r="Q24" s="17">
        <f>IF($C$9&gt;=20,$B31-$L$84,"")</f>
        <v>-0.45720000000000027</v>
      </c>
      <c r="R24" s="17">
        <f>IF($C$9&gt;=20,$C31-$L$85,"")</f>
        <v>4.1147999999999989</v>
      </c>
      <c r="S24" s="18">
        <f>IF($C$9&gt;=20,(-$P$93/$C$9+($P$97*$L$86--$P$96*$L$89)/($L$86*$L$87-$L$89^2)*$Q24+(-$P$96*$L$87-$P$97*$L$89)/($L$86*$L$87-$L$89^2)*$R24),"")</f>
        <v>330.92075421738724</v>
      </c>
      <c r="T24" s="18">
        <f>IF($C$9&gt;=20,((($P$94/$C$9+$P$98*-$R24/$L$88)^2+($P$95/$C$9+$P$98*$Q24/$L$88)^2)^(1/2)),"")</f>
        <v>8.0191462528234894</v>
      </c>
      <c r="AD24" s="262" t="str">
        <f>IF($C$9&gt;=13,"#13:","")</f>
        <v>#13:</v>
      </c>
      <c r="AE24" s="217">
        <f>IF($C$9&gt;=13,$B24*3.28084,"")</f>
        <v>3.0000000960000004</v>
      </c>
      <c r="AF24" s="229">
        <f>IF($C$9&gt;=13,$C24*3.28084,"")</f>
        <v>6.0000001920000008</v>
      </c>
      <c r="AG24" s="279" t="str">
        <f>IF($C$9&gt;=38,"#38:","")</f>
        <v>#38:</v>
      </c>
      <c r="AH24" s="217">
        <f>IF($C$9&gt;=38,$E24*3.28084,"")</f>
        <v>9.0000002880000007</v>
      </c>
      <c r="AI24" s="229">
        <f>IF($C$9&gt;=38,$F24*3.28084,"")</f>
        <v>21.000000672000002</v>
      </c>
      <c r="AJ24" s="279" t="str">
        <f>IF($C$9&gt;=63,"#63","")</f>
        <v/>
      </c>
      <c r="AK24" s="217" t="str">
        <f>IF($C$9&gt;=63,$H24*3.28084,"")</f>
        <v/>
      </c>
      <c r="AL24" s="229" t="str">
        <f>IF($C$9&gt;=63,$I24*3.28084,"")</f>
        <v/>
      </c>
      <c r="AM24" s="8"/>
    </row>
    <row r="25" spans="1:39" x14ac:dyDescent="0.25">
      <c r="A25" s="260" t="str">
        <f>IF($C$9&gt;=14,"#14:","")</f>
        <v>#14:</v>
      </c>
      <c r="B25" s="145">
        <v>0.9144000000000001</v>
      </c>
      <c r="C25" s="146">
        <v>2.7432000000000003</v>
      </c>
      <c r="D25" s="260" t="str">
        <f>IF($C$9&gt;=39,"#39:","")</f>
        <v>#39:</v>
      </c>
      <c r="E25" s="145">
        <v>2.7432000000000003</v>
      </c>
      <c r="F25" s="146">
        <v>7.3152000000000008</v>
      </c>
      <c r="G25" s="260" t="str">
        <f>IF($C$9&gt;=64,"#64","")</f>
        <v/>
      </c>
      <c r="H25" s="145"/>
      <c r="I25" s="146"/>
      <c r="K25" s="9">
        <v>21</v>
      </c>
      <c r="L25" s="16">
        <f>IF($C$9&gt;=21,$C32-$L$85,"")</f>
        <v>-4.1148000000000007</v>
      </c>
      <c r="M25" s="16">
        <f>IF($C$9&gt;=21,$B32-$L$84,"")</f>
        <v>0.45719999999999983</v>
      </c>
      <c r="N25" s="16">
        <f>IF($C$9&gt;=21,$L25^2,"")</f>
        <v>16.931579040000006</v>
      </c>
      <c r="O25" s="16">
        <f>IF($C$9&gt;=21,$M25^2,"")</f>
        <v>0.20903183999999983</v>
      </c>
      <c r="P25" s="16">
        <f>IF($C$9&gt;=21,$L25*$M25,"")</f>
        <v>-1.8812865599999995</v>
      </c>
      <c r="Q25" s="17">
        <f>IF($C$9&gt;=21,$B32-$L$84,"")</f>
        <v>0.45719999999999983</v>
      </c>
      <c r="R25" s="17">
        <f>IF($C$9&gt;=21,$C32-$L$85,"")</f>
        <v>-4.1148000000000007</v>
      </c>
      <c r="S25" s="18">
        <f>IF($C$9&gt;=21,(-$P$93/$C$9+($P$97*$L$86--$P$96*$L$89)/($L$86*$L$87-$L$89^2)*$Q25+(-$P$96*$L$87-$P$97*$L$89)/($L$86*$L$87-$L$89^2)*$R25),"")</f>
        <v>336.31254578261286</v>
      </c>
      <c r="T25" s="18">
        <f>IF($C$9&gt;=21,((($P$94/$C$9+$P$98*-$R25/$L$88)^2+($P$95/$C$9+$P$98*$Q25/$L$88)^2)^(1/2)),"")</f>
        <v>8.0191462528234894</v>
      </c>
      <c r="AD25" s="262" t="str">
        <f>IF($C$9&gt;=14,"#14:","")</f>
        <v>#14:</v>
      </c>
      <c r="AE25" s="217">
        <f>IF($C$9&gt;=14,$B25*3.28084,"")</f>
        <v>3.0000000960000004</v>
      </c>
      <c r="AF25" s="229">
        <f>IF($C$9&gt;=14,$C25*3.28084,"")</f>
        <v>9.0000002880000007</v>
      </c>
      <c r="AG25" s="279" t="str">
        <f>IF($C$9&gt;=39,"#39:","")</f>
        <v>#39:</v>
      </c>
      <c r="AH25" s="217">
        <f>IF($C$9&gt;=39,$E25*3.28084,"")</f>
        <v>9.0000002880000007</v>
      </c>
      <c r="AI25" s="229">
        <f>IF($C$9&gt;=39,$F25*3.28084,"")</f>
        <v>24.000000768000003</v>
      </c>
      <c r="AJ25" s="279" t="str">
        <f>IF($C$9&gt;=64,"#64","")</f>
        <v/>
      </c>
      <c r="AK25" s="217" t="str">
        <f>IF($C$9&gt;=64,$H25*3.28084,"")</f>
        <v/>
      </c>
      <c r="AL25" s="229" t="str">
        <f>IF($C$9&gt;=64,$I25*3.28084,"")</f>
        <v/>
      </c>
      <c r="AM25" s="8"/>
    </row>
    <row r="26" spans="1:39" x14ac:dyDescent="0.25">
      <c r="A26" s="260" t="str">
        <f>IF($C$9&gt;=15,"#15:","")</f>
        <v>#15:</v>
      </c>
      <c r="B26" s="145">
        <v>0.9144000000000001</v>
      </c>
      <c r="C26" s="146">
        <v>3.6576000000000004</v>
      </c>
      <c r="D26" s="260" t="str">
        <f>IF($C$9&gt;=40,"#40:","")</f>
        <v>#40:</v>
      </c>
      <c r="E26" s="145">
        <v>2.7432000000000003</v>
      </c>
      <c r="F26" s="146">
        <v>8.2295999999999996</v>
      </c>
      <c r="G26" s="260" t="str">
        <f>IF($C$9&gt;=65,"#65","")</f>
        <v/>
      </c>
      <c r="H26" s="145"/>
      <c r="I26" s="146"/>
      <c r="K26" s="9">
        <v>22</v>
      </c>
      <c r="L26" s="16">
        <f>IF($C$9&gt;=22,$C33-$L$85,"")</f>
        <v>-3.2004000000000006</v>
      </c>
      <c r="M26" s="16">
        <f>IF($C$9&gt;=22,$B33-$L$84,"")</f>
        <v>0.45719999999999983</v>
      </c>
      <c r="N26" s="16">
        <f>IF($C$9&gt;=22,$L26^2,"")</f>
        <v>10.242560160000004</v>
      </c>
      <c r="O26" s="16">
        <f>IF($C$9&gt;=22,$M26^2,"")</f>
        <v>0.20903183999999983</v>
      </c>
      <c r="P26" s="16">
        <f>IF($C$9&gt;=22,$L26*$M26,"")</f>
        <v>-1.4632228799999998</v>
      </c>
      <c r="Q26" s="17">
        <f>IF($C$9&gt;=22,$B33-$L$84,"")</f>
        <v>0.45719999999999983</v>
      </c>
      <c r="R26" s="17">
        <f>IF($C$9&gt;=22,$C33-$L$85,"")</f>
        <v>-3.2004000000000006</v>
      </c>
      <c r="S26" s="18">
        <f>IF($C$9&gt;=22,(-$P$93/$C$9+($P$97*$L$86--$P$96*$L$89)/($L$86*$L$87-$L$89^2)*$Q26+(-$P$96*$L$87-$P$97*$L$89)/($L$86*$L$87-$L$89^2)*$R26),"")</f>
        <v>334.06596574264887</v>
      </c>
      <c r="T26" s="18">
        <f>IF($C$9&gt;=22,((($P$94/$C$9+$P$98*-$R26/$L$88)^2+($P$95/$C$9+$P$98*$Q26/$L$88)^2)^(1/2)),"")</f>
        <v>8.0191462528234894</v>
      </c>
      <c r="AD26" s="262" t="str">
        <f>IF($C$9&gt;=15,"#15:","")</f>
        <v>#15:</v>
      </c>
      <c r="AE26" s="217">
        <f>IF($C$9&gt;=15,$B26*3.28084,"")</f>
        <v>3.0000000960000004</v>
      </c>
      <c r="AF26" s="229">
        <f>IF($C$9&gt;=15,$C26*3.28084,"")</f>
        <v>12.000000384000002</v>
      </c>
      <c r="AG26" s="279" t="str">
        <f>IF($C$9&gt;=40,"#40:","")</f>
        <v>#40:</v>
      </c>
      <c r="AH26" s="217">
        <f>IF($C$9&gt;=40,$E26*3.28084,"")</f>
        <v>9.0000002880000007</v>
      </c>
      <c r="AI26" s="229">
        <f>IF($C$9&gt;=40,$F26*3.28084,"")</f>
        <v>27.000000863999997</v>
      </c>
      <c r="AJ26" s="279" t="str">
        <f>IF($C$9&gt;=65,"#65","")</f>
        <v/>
      </c>
      <c r="AK26" s="217" t="str">
        <f>IF($C$9&gt;=65,$H26*3.28084,"")</f>
        <v/>
      </c>
      <c r="AL26" s="229" t="str">
        <f>IF($C$9&gt;=65,$I26*3.28084,"")</f>
        <v/>
      </c>
      <c r="AM26" s="8"/>
    </row>
    <row r="27" spans="1:39" x14ac:dyDescent="0.25">
      <c r="A27" s="260" t="str">
        <f>IF($C$9&gt;=16,"#16:","")</f>
        <v>#16:</v>
      </c>
      <c r="B27" s="145">
        <v>0.9144000000000001</v>
      </c>
      <c r="C27" s="146">
        <v>4.5720000000000001</v>
      </c>
      <c r="D27" s="260" t="str">
        <f>IF($C$9&gt;=41,"#41:","")</f>
        <v/>
      </c>
      <c r="E27" s="145"/>
      <c r="F27" s="146"/>
      <c r="G27" s="260" t="str">
        <f>IF($C$9&gt;=66,"#66","")</f>
        <v/>
      </c>
      <c r="H27" s="145"/>
      <c r="I27" s="146"/>
      <c r="K27" s="9">
        <v>23</v>
      </c>
      <c r="L27" s="16">
        <f>IF($C$9&gt;=23,$C34-$L$85,"")</f>
        <v>-2.2860000000000005</v>
      </c>
      <c r="M27" s="16">
        <f>IF($C$9&gt;=23,$B34-$L$84,"")</f>
        <v>0.45719999999999983</v>
      </c>
      <c r="N27" s="16">
        <f>IF($C$9&gt;=23,$L27^2,"")</f>
        <v>5.2257960000000026</v>
      </c>
      <c r="O27" s="16">
        <f>IF($C$9&gt;=23,$M27^2,"")</f>
        <v>0.20903183999999983</v>
      </c>
      <c r="P27" s="16">
        <f>IF($C$9&gt;=23,$L27*$M27,"")</f>
        <v>-1.0451591999999998</v>
      </c>
      <c r="Q27" s="17">
        <f>IF($C$9&gt;=23,$B34-$L$84,"")</f>
        <v>0.45719999999999983</v>
      </c>
      <c r="R27" s="17">
        <f>IF($C$9&gt;=23,$C34-$L$85,"")</f>
        <v>-2.2860000000000005</v>
      </c>
      <c r="S27" s="18">
        <f>IF($C$9&gt;=23,(-$P$93/$C$9+($P$97*$L$86--$P$96*$L$89)/($L$86*$L$87-$L$89^2)*$Q27+(-$P$96*$L$87-$P$97*$L$89)/($L$86*$L$87-$L$89^2)*$R27),"")</f>
        <v>331.81938570268488</v>
      </c>
      <c r="T27" s="18">
        <f>IF($C$9&gt;=23,((($P$94/$C$9+$P$98*-$R27/$L$88)^2+($P$95/$C$9+$P$98*$Q27/$L$88)^2)^(1/2)),"")</f>
        <v>8.0191462528234894</v>
      </c>
      <c r="AD27" s="262" t="str">
        <f>IF($C$9&gt;=16,"#16:","")</f>
        <v>#16:</v>
      </c>
      <c r="AE27" s="217">
        <f>IF($C$9&gt;=16,$B27*3.28084,"")</f>
        <v>3.0000000960000004</v>
      </c>
      <c r="AF27" s="229">
        <f>IF($C$9&gt;=16,$C27*3.28084,"")</f>
        <v>15.000000480000001</v>
      </c>
      <c r="AG27" s="279" t="str">
        <f>IF($C$9&gt;=41,"#41:","")</f>
        <v/>
      </c>
      <c r="AH27" s="217" t="str">
        <f>IF($C$9&gt;=41,$E27*3.28084,"")</f>
        <v/>
      </c>
      <c r="AI27" s="229" t="str">
        <f>IF($C$9&gt;=41,$F27*3.28084,"")</f>
        <v/>
      </c>
      <c r="AJ27" s="279" t="str">
        <f>IF($C$9&gt;=66,"#66","")</f>
        <v/>
      </c>
      <c r="AK27" s="217" t="str">
        <f>IF($C$9&gt;=66,$H27*3.28084,"")</f>
        <v/>
      </c>
      <c r="AL27" s="229" t="str">
        <f>IF($C$9&gt;=66,$I27*3.28084,"")</f>
        <v/>
      </c>
      <c r="AM27" s="8"/>
    </row>
    <row r="28" spans="1:39" x14ac:dyDescent="0.25">
      <c r="A28" s="260" t="str">
        <f>IF($C$9&gt;=17,"#17:","")</f>
        <v>#17:</v>
      </c>
      <c r="B28" s="145">
        <v>0.9144000000000001</v>
      </c>
      <c r="C28" s="146">
        <v>5.4864000000000006</v>
      </c>
      <c r="D28" s="260" t="str">
        <f>IF($C$9&gt;=42,"#42:","")</f>
        <v/>
      </c>
      <c r="E28" s="145"/>
      <c r="F28" s="146"/>
      <c r="G28" s="260" t="str">
        <f>IF($C$9&gt;=67,"#67","")</f>
        <v/>
      </c>
      <c r="H28" s="145"/>
      <c r="I28" s="146"/>
      <c r="K28" s="9">
        <v>24</v>
      </c>
      <c r="L28" s="16">
        <f>IF($C$9&gt;=24,$C35-$L$85,"")</f>
        <v>-1.3716000000000004</v>
      </c>
      <c r="M28" s="16">
        <f>IF($C$9&gt;=24,$B35-$L$84,"")</f>
        <v>0.45719999999999983</v>
      </c>
      <c r="N28" s="16">
        <f>IF($C$9&gt;=24,$L28^2,"")</f>
        <v>1.8812865600000011</v>
      </c>
      <c r="O28" s="16">
        <f>IF($C$9&gt;=24,$M28^2,"")</f>
        <v>0.20903183999999983</v>
      </c>
      <c r="P28" s="16">
        <f>IF($C$9&gt;=24,$L28*$M28,"")</f>
        <v>-0.62709551999999991</v>
      </c>
      <c r="Q28" s="17">
        <f>IF($C$9&gt;=24,$B35-$L$84,"")</f>
        <v>0.45719999999999983</v>
      </c>
      <c r="R28" s="17">
        <f>IF($C$9&gt;=24,$C35-$L$85,"")</f>
        <v>-1.3716000000000004</v>
      </c>
      <c r="S28" s="18">
        <f>IF($C$9&gt;=24,(-$P$93/$C$9+($P$97*$L$86--$P$96*$L$89)/($L$86*$L$87-$L$89^2)*$Q28+(-$P$96*$L$87-$P$97*$L$89)/($L$86*$L$87-$L$89^2)*$R28),"")</f>
        <v>329.57280566272084</v>
      </c>
      <c r="T28" s="18">
        <f>IF($C$9&gt;=24,((($P$94/$C$9+$P$98*-$R28/$L$88)^2+($P$95/$C$9+$P$98*$Q28/$L$88)^2)^(1/2)),"")</f>
        <v>8.0191462528234894</v>
      </c>
      <c r="AD28" s="262" t="str">
        <f>IF($C$9&gt;=17,"#17:","")</f>
        <v>#17:</v>
      </c>
      <c r="AE28" s="217">
        <f>IF($C$9&gt;=17,$B28*3.28084,"")</f>
        <v>3.0000000960000004</v>
      </c>
      <c r="AF28" s="229">
        <f>IF($C$9&gt;=17,$C28*3.28084,"")</f>
        <v>18.000000576000001</v>
      </c>
      <c r="AG28" s="279" t="str">
        <f>IF($C$9&gt;=42,"#42:","")</f>
        <v/>
      </c>
      <c r="AH28" s="217" t="str">
        <f>IF($C$9&gt;=42,$E28*3.28084,"")</f>
        <v/>
      </c>
      <c r="AI28" s="229" t="str">
        <f>IF($C$9&gt;=42,$F28*3.28084,"")</f>
        <v/>
      </c>
      <c r="AJ28" s="279" t="str">
        <f>IF($C$9&gt;=67,"#67","")</f>
        <v/>
      </c>
      <c r="AK28" s="217" t="str">
        <f>IF($C$9&gt;=67,$H28*3.28084,"")</f>
        <v/>
      </c>
      <c r="AL28" s="229" t="str">
        <f>IF($C$9&gt;=67,$I28*3.28084,"")</f>
        <v/>
      </c>
      <c r="AM28" s="8"/>
    </row>
    <row r="29" spans="1:39" x14ac:dyDescent="0.25">
      <c r="A29" s="260" t="str">
        <f>IF($C$9&gt;=18,"#18:","")</f>
        <v>#18:</v>
      </c>
      <c r="B29" s="145">
        <v>0.9144000000000001</v>
      </c>
      <c r="C29" s="146">
        <v>6.4008000000000003</v>
      </c>
      <c r="D29" s="260" t="str">
        <f>IF($C$9&gt;=43,"#43:","")</f>
        <v/>
      </c>
      <c r="E29" s="145"/>
      <c r="F29" s="146"/>
      <c r="G29" s="260" t="str">
        <f>IF($C$9&gt;=68,"#68","")</f>
        <v/>
      </c>
      <c r="H29" s="145"/>
      <c r="I29" s="146"/>
      <c r="K29" s="9">
        <v>25</v>
      </c>
      <c r="L29" s="16">
        <f>IF($C$9&gt;=25,$C36-$L$85,"")</f>
        <v>-0.45720000000000027</v>
      </c>
      <c r="M29" s="16">
        <f>IF($C$9&gt;=25,$B36-$L$84,"")</f>
        <v>0.45719999999999983</v>
      </c>
      <c r="N29" s="16">
        <f>IF($C$9&gt;=25,$L29^2,"")</f>
        <v>0.20903184000000025</v>
      </c>
      <c r="O29" s="16">
        <f>IF($C$9&gt;=25,$M29^2,"")</f>
        <v>0.20903183999999983</v>
      </c>
      <c r="P29" s="16">
        <f>IF($C$9&gt;=25,$L29*$M29,"")</f>
        <v>-0.20903184000000005</v>
      </c>
      <c r="Q29" s="17">
        <f>IF($C$9&gt;=25,$B36-$L$84,"")</f>
        <v>0.45719999999999983</v>
      </c>
      <c r="R29" s="17">
        <f>IF($C$9&gt;=25,$C36-$L$85,"")</f>
        <v>-0.45720000000000027</v>
      </c>
      <c r="S29" s="18">
        <f>IF($C$9&gt;=25,(-$P$93/$C$9+($P$97*$L$86--$P$96*$L$89)/($L$86*$L$87-$L$89^2)*$Q29+(-$P$96*$L$87-$P$97*$L$89)/($L$86*$L$87-$L$89^2)*$R29),"")</f>
        <v>327.32622562275685</v>
      </c>
      <c r="T29" s="18">
        <f>IF($C$9&gt;=25,((($P$94/$C$9+$P$98*-$R29/$L$88)^2+($P$95/$C$9+$P$98*$Q29/$L$88)^2)^(1/2)),"")</f>
        <v>8.0191462528234894</v>
      </c>
      <c r="AD29" s="262" t="str">
        <f>IF($C$9&gt;=18,"#18:","")</f>
        <v>#18:</v>
      </c>
      <c r="AE29" s="217">
        <f>IF($C$9&gt;=18,$B29*3.28084,"")</f>
        <v>3.0000000960000004</v>
      </c>
      <c r="AF29" s="229">
        <f>IF($C$9&gt;=18,$C29*3.28084,"")</f>
        <v>21.000000672000002</v>
      </c>
      <c r="AG29" s="279" t="str">
        <f>IF($C$9&gt;=43,"#43:","")</f>
        <v/>
      </c>
      <c r="AH29" s="217" t="str">
        <f>IF($C$9&gt;=43,$E29*3.28084,"")</f>
        <v/>
      </c>
      <c r="AI29" s="229" t="str">
        <f>IF($C$9&gt;=43,$F29*3.28084,"")</f>
        <v/>
      </c>
      <c r="AJ29" s="279" t="str">
        <f>IF($C$9&gt;=68,"#68","")</f>
        <v/>
      </c>
      <c r="AK29" s="217" t="str">
        <f>IF($C$9&gt;=68,$H29*3.28084,"")</f>
        <v/>
      </c>
      <c r="AL29" s="229" t="str">
        <f>IF($C$9&gt;=68,$I29*3.28084,"")</f>
        <v/>
      </c>
      <c r="AM29" s="8"/>
    </row>
    <row r="30" spans="1:39" x14ac:dyDescent="0.25">
      <c r="A30" s="260" t="str">
        <f>IF($C$9&gt;=19,"#19:","")</f>
        <v>#19:</v>
      </c>
      <c r="B30" s="145">
        <v>0.9144000000000001</v>
      </c>
      <c r="C30" s="146">
        <v>7.3152000000000008</v>
      </c>
      <c r="D30" s="260" t="str">
        <f>IF($C$9&gt;=44,"#44:","")</f>
        <v/>
      </c>
      <c r="E30" s="145"/>
      <c r="F30" s="146"/>
      <c r="G30" s="260" t="str">
        <f>IF($C$9&gt;=69,"#69","")</f>
        <v/>
      </c>
      <c r="H30" s="145"/>
      <c r="I30" s="146"/>
      <c r="K30" s="9">
        <v>26</v>
      </c>
      <c r="L30" s="16">
        <f>IF($C$9&gt;=26,$F12-$L$85,"")</f>
        <v>0.45719999999999938</v>
      </c>
      <c r="M30" s="16">
        <f>IF($C$9&gt;=26,$E12-$L$84,"")</f>
        <v>0.45719999999999983</v>
      </c>
      <c r="N30" s="16">
        <f>IF($C$9&gt;=26,$L30^2,"")</f>
        <v>0.20903183999999944</v>
      </c>
      <c r="O30" s="16">
        <f>IF($C$9&gt;=26,$M30^2,"")</f>
        <v>0.20903183999999983</v>
      </c>
      <c r="P30" s="16">
        <f>IF($C$9&gt;=26,$L30*$M30,"")</f>
        <v>0.20903183999999964</v>
      </c>
      <c r="Q30" s="17">
        <f>IF($C$9&gt;=26,$E12-$L$84,"")</f>
        <v>0.45719999999999983</v>
      </c>
      <c r="R30" s="17">
        <f>IF($C$9&gt;=26,$F12-$L$85,"")</f>
        <v>0.45719999999999938</v>
      </c>
      <c r="S30" s="18">
        <f>IF($C$9&gt;=26,(-$P$93/$C$9+($P$97*$L$86--$P$96*$L$89)/($L$86*$L$87-$L$89^2)*$Q30+(-$P$96*$L$87-$P$97*$L$89)/($L$86*$L$87-$L$89^2)*$R30),"")</f>
        <v>325.07964558279286</v>
      </c>
      <c r="T30" s="18">
        <f>IF($C$9&gt;=26,((($P$94/$C$9+$P$98*-$R30/$L$88)^2+($P$95/$C$9+$P$98*$Q30/$L$88)^2)^(1/2)),"")</f>
        <v>8.0191462528234894</v>
      </c>
      <c r="AD30" s="262" t="str">
        <f>IF($C$9&gt;=19,"#19:","")</f>
        <v>#19:</v>
      </c>
      <c r="AE30" s="217">
        <f>IF($C$9&gt;=19,$B30*3.28084,"")</f>
        <v>3.0000000960000004</v>
      </c>
      <c r="AF30" s="229">
        <f>IF($C$9&gt;=19,$C30*3.28084,"")</f>
        <v>24.000000768000003</v>
      </c>
      <c r="AG30" s="279" t="str">
        <f>IF($C$9&gt;=44,"#44:","")</f>
        <v/>
      </c>
      <c r="AH30" s="217" t="str">
        <f>IF($C$9&gt;=44,$E30*3.28084,"")</f>
        <v/>
      </c>
      <c r="AI30" s="229" t="str">
        <f>IF($C$9&gt;=44,$F30*3.28084,"")</f>
        <v/>
      </c>
      <c r="AJ30" s="279" t="str">
        <f>IF($C$9&gt;=69,"#69","")</f>
        <v/>
      </c>
      <c r="AK30" s="217" t="str">
        <f>IF($C$9&gt;=69,$H30*3.28084,"")</f>
        <v/>
      </c>
      <c r="AL30" s="229" t="str">
        <f>IF($C$9&gt;=69,$I30*3.28084,"")</f>
        <v/>
      </c>
      <c r="AM30" s="8"/>
    </row>
    <row r="31" spans="1:39" x14ac:dyDescent="0.25">
      <c r="A31" s="260" t="str">
        <f>IF($C$9&gt;=20,"#20:","")</f>
        <v>#20:</v>
      </c>
      <c r="B31" s="145">
        <v>0.9144000000000001</v>
      </c>
      <c r="C31" s="146">
        <v>8.2295999999999996</v>
      </c>
      <c r="D31" s="260" t="str">
        <f>IF($C$9&gt;=45,"#45:","")</f>
        <v/>
      </c>
      <c r="E31" s="145"/>
      <c r="F31" s="146"/>
      <c r="G31" s="260" t="str">
        <f>IF($C$9&gt;=70,"#70","")</f>
        <v/>
      </c>
      <c r="H31" s="145"/>
      <c r="I31" s="146"/>
      <c r="J31" s="2"/>
      <c r="K31" s="9">
        <v>27</v>
      </c>
      <c r="L31" s="16">
        <f>IF($C$9&gt;=27,$F13-$L$85,"")</f>
        <v>1.3715999999999999</v>
      </c>
      <c r="M31" s="16">
        <f>IF($C$9&gt;=27,$E13-$L$84,"")</f>
        <v>0.45719999999999983</v>
      </c>
      <c r="N31" s="16">
        <f>IF($C$9&gt;=27,$L31^2,"")</f>
        <v>1.8812865599999997</v>
      </c>
      <c r="O31" s="16">
        <f>IF($C$9&gt;=27,$M31^2,"")</f>
        <v>0.20903183999999983</v>
      </c>
      <c r="P31" s="16">
        <f>IF($C$9&gt;=27,$L31*$M31,"")</f>
        <v>0.62709551999999968</v>
      </c>
      <c r="Q31" s="17">
        <f>IF($C$9&gt;=27,$E13-$L$84,"")</f>
        <v>0.45719999999999983</v>
      </c>
      <c r="R31" s="17">
        <f>IF($C$9&gt;=27,$F13-$L$85,"")</f>
        <v>1.3715999999999999</v>
      </c>
      <c r="S31" s="18">
        <f>IF($C$9&gt;=27,(-$P$93/$C$9+($P$97*$L$86--$P$96*$L$89)/($L$86*$L$87-$L$89^2)*$Q31+(-$P$96*$L$87-$P$97*$L$89)/($L$86*$L$87-$L$89^2)*$R31),"")</f>
        <v>322.83306554282888</v>
      </c>
      <c r="T31" s="18">
        <f>IF($C$9&gt;=27,((($P$94/$C$9+$P$98*-$R31/$L$88)^2+($P$95/$C$9+$P$98*$Q31/$L$88)^2)^(1/2)),"")</f>
        <v>8.0191462528234894</v>
      </c>
      <c r="AD31" s="262" t="str">
        <f>IF($C$9&gt;=20,"#20:","")</f>
        <v>#20:</v>
      </c>
      <c r="AE31" s="217">
        <f>IF($C$9&gt;=20,$B31*3.28084,"")</f>
        <v>3.0000000960000004</v>
      </c>
      <c r="AF31" s="229">
        <f>IF($C$9&gt;=20,$C31*3.28084,"")</f>
        <v>27.000000863999997</v>
      </c>
      <c r="AG31" s="279" t="str">
        <f>IF($C$9&gt;=45,"#45:","")</f>
        <v/>
      </c>
      <c r="AH31" s="217" t="str">
        <f>IF($C$9&gt;=45,$E31*3.28084,"")</f>
        <v/>
      </c>
      <c r="AI31" s="229" t="str">
        <f>IF($C$9&gt;=45,$F31*3.28084,"")</f>
        <v/>
      </c>
      <c r="AJ31" s="279" t="str">
        <f>IF($C$9&gt;=70,"#70","")</f>
        <v/>
      </c>
      <c r="AK31" s="217" t="str">
        <f>IF($C$9&gt;=70,$H31*3.28084,"")</f>
        <v/>
      </c>
      <c r="AL31" s="229" t="str">
        <f>IF($C$9&gt;=70,$I31*3.28084,"")</f>
        <v/>
      </c>
      <c r="AM31" s="8"/>
    </row>
    <row r="32" spans="1:39" x14ac:dyDescent="0.25">
      <c r="A32" s="260" t="str">
        <f>IF($C$9&gt;=21,"#21:","")</f>
        <v>#21:</v>
      </c>
      <c r="B32" s="145">
        <v>1.8288000000000002</v>
      </c>
      <c r="C32" s="146">
        <v>0</v>
      </c>
      <c r="D32" s="260" t="str">
        <f>IF($C$9&gt;=46,"#46:","")</f>
        <v/>
      </c>
      <c r="E32" s="145"/>
      <c r="F32" s="146"/>
      <c r="G32" s="260" t="str">
        <f>IF($C$9&gt;=71,"#71","")</f>
        <v/>
      </c>
      <c r="H32" s="145"/>
      <c r="I32" s="146"/>
      <c r="K32" s="9">
        <v>28</v>
      </c>
      <c r="L32" s="16">
        <f>IF($C$9&gt;=28,$F14-$L$85,"")</f>
        <v>2.2859999999999996</v>
      </c>
      <c r="M32" s="16">
        <f>IF($C$9&gt;=28,$E14-$L$84,"")</f>
        <v>0.45719999999999983</v>
      </c>
      <c r="N32" s="16">
        <f>IF($C$9&gt;=28,$L32^2,"")</f>
        <v>5.2257959999999981</v>
      </c>
      <c r="O32" s="16">
        <f>IF($C$9&gt;=28,$M32^2,"")</f>
        <v>0.20903183999999983</v>
      </c>
      <c r="P32" s="16">
        <f>IF($C$9&gt;=28,$L32*$M32,"")</f>
        <v>1.0451591999999994</v>
      </c>
      <c r="Q32" s="17">
        <f>IF($C$9&gt;=28,$E14-$L$84,"")</f>
        <v>0.45719999999999983</v>
      </c>
      <c r="R32" s="17">
        <f>IF($C$9&gt;=28,$F14-$L$85,"")</f>
        <v>2.2859999999999996</v>
      </c>
      <c r="S32" s="18">
        <f>IF($C$9&gt;=28,(-$P$93/$C$9+($P$97*$L$86--$P$96*$L$89)/($L$86*$L$87-$L$89^2)*$Q32+(-$P$96*$L$87-$P$97*$L$89)/($L$86*$L$87-$L$89^2)*$R32),"")</f>
        <v>320.58648550286483</v>
      </c>
      <c r="T32" s="18">
        <f>IF($C$9&gt;=28,((($P$94/$C$9+$P$98*-$R32/$L$88)^2+($P$95/$C$9+$P$98*$Q32/$L$88)^2)^(1/2)),"")</f>
        <v>8.0191462528234894</v>
      </c>
      <c r="AD32" s="262" t="str">
        <f>IF($C$9&gt;=21,"#21:","")</f>
        <v>#21:</v>
      </c>
      <c r="AE32" s="217">
        <f>IF($C$9&gt;=21,$B32*3.28084,"")</f>
        <v>6.0000001920000008</v>
      </c>
      <c r="AF32" s="229">
        <f>IF($C$9&gt;=21,$C32*3.28084,"")</f>
        <v>0</v>
      </c>
      <c r="AG32" s="279" t="str">
        <f>IF($C$9&gt;=46,"#46:","")</f>
        <v/>
      </c>
      <c r="AH32" s="217" t="str">
        <f>IF($C$9&gt;=46,$E32*3.28084,"")</f>
        <v/>
      </c>
      <c r="AI32" s="229" t="str">
        <f>IF($C$9&gt;=46,$F32*3.28084,"")</f>
        <v/>
      </c>
      <c r="AJ32" s="279" t="str">
        <f>IF($C$9&gt;=71,"#71","")</f>
        <v/>
      </c>
      <c r="AK32" s="217" t="str">
        <f>IF($C$9&gt;=71,$H32*3.28084,"")</f>
        <v/>
      </c>
      <c r="AL32" s="229" t="str">
        <f>IF($C$9&gt;=71,$I32*3.28084,"")</f>
        <v/>
      </c>
      <c r="AM32" s="8"/>
    </row>
    <row r="33" spans="1:39" x14ac:dyDescent="0.25">
      <c r="A33" s="260" t="str">
        <f>IF($C$9&gt;=22,"#22:","")</f>
        <v>#22:</v>
      </c>
      <c r="B33" s="145">
        <v>1.8288000000000002</v>
      </c>
      <c r="C33" s="146">
        <v>0.9144000000000001</v>
      </c>
      <c r="D33" s="260" t="str">
        <f>IF($C$9&gt;=47,"#47:","")</f>
        <v/>
      </c>
      <c r="E33" s="145"/>
      <c r="F33" s="146"/>
      <c r="G33" s="260" t="str">
        <f>IF($C$9&gt;=72,"#72","")</f>
        <v/>
      </c>
      <c r="H33" s="145"/>
      <c r="I33" s="146"/>
      <c r="K33" s="9">
        <v>29</v>
      </c>
      <c r="L33" s="16">
        <f>IF($C$9&gt;=29,$F15-$L$85,"")</f>
        <v>3.2004000000000001</v>
      </c>
      <c r="M33" s="16">
        <f>IF($C$9&gt;=29,$E15-$L$84,"")</f>
        <v>0.45719999999999983</v>
      </c>
      <c r="N33" s="16">
        <f>IF($C$9&gt;=29,$L33^2,"")</f>
        <v>10.24256016</v>
      </c>
      <c r="O33" s="16">
        <f>IF($C$9&gt;=29,$M33^2,"")</f>
        <v>0.20903183999999983</v>
      </c>
      <c r="P33" s="16">
        <f>IF($C$9&gt;=29,$L33*$M33,"")</f>
        <v>1.4632228799999996</v>
      </c>
      <c r="Q33" s="17">
        <f>IF($C$9&gt;=29,$E15-$L$84,"")</f>
        <v>0.45719999999999983</v>
      </c>
      <c r="R33" s="17">
        <f>IF($C$9&gt;=29,$F15-$L$85,"")</f>
        <v>3.2004000000000001</v>
      </c>
      <c r="S33" s="18">
        <f>IF($C$9&gt;=29,(-$P$93/$C$9+($P$97*$L$86--$P$96*$L$89)/($L$86*$L$87-$L$89^2)*$Q33+(-$P$96*$L$87-$P$97*$L$89)/($L$86*$L$87-$L$89^2)*$R33),"")</f>
        <v>318.33990546290084</v>
      </c>
      <c r="T33" s="18">
        <f>IF($C$9&gt;=29,((($P$94/$C$9+$P$98*-$R33/$L$88)^2+($P$95/$C$9+$P$98*$Q33/$L$88)^2)^(1/2)),"")</f>
        <v>8.0191462528234894</v>
      </c>
      <c r="AD33" s="262" t="str">
        <f>IF($C$9&gt;=22,"#22:","")</f>
        <v>#22:</v>
      </c>
      <c r="AE33" s="217">
        <f>IF($C$9&gt;=22,$B33*3.28084,"")</f>
        <v>6.0000001920000008</v>
      </c>
      <c r="AF33" s="229">
        <f>IF($C$9&gt;=22,$C33*3.28084,"")</f>
        <v>3.0000000960000004</v>
      </c>
      <c r="AG33" s="279" t="str">
        <f>IF($C$9&gt;=47,"#47:","")</f>
        <v/>
      </c>
      <c r="AH33" s="217" t="str">
        <f>IF($C$9&gt;=47,$E33*3.28084,"")</f>
        <v/>
      </c>
      <c r="AI33" s="229" t="str">
        <f>IF($C$9&gt;=47,$F33*3.28084,"")</f>
        <v/>
      </c>
      <c r="AJ33" s="279" t="str">
        <f>IF($C$9&gt;=72,"#72","")</f>
        <v/>
      </c>
      <c r="AK33" s="217" t="str">
        <f>IF($C$9&gt;=72,$H33*3.28084,"")</f>
        <v/>
      </c>
      <c r="AL33" s="229" t="str">
        <f>IF($C$9&gt;=72,$I33*3.28084,"")</f>
        <v/>
      </c>
      <c r="AM33" s="8"/>
    </row>
    <row r="34" spans="1:39" x14ac:dyDescent="0.25">
      <c r="A34" s="260" t="str">
        <f>IF($C$9&gt;=23,"#23:","")</f>
        <v>#23:</v>
      </c>
      <c r="B34" s="145">
        <v>1.8288000000000002</v>
      </c>
      <c r="C34" s="146">
        <v>1.8288000000000002</v>
      </c>
      <c r="D34" s="260" t="str">
        <f>IF($C$9&gt;=48,"#48:","")</f>
        <v/>
      </c>
      <c r="E34" s="145"/>
      <c r="F34" s="146"/>
      <c r="G34" s="260" t="str">
        <f>IF($C$9&gt;=73,"#73","")</f>
        <v/>
      </c>
      <c r="H34" s="145"/>
      <c r="I34" s="146"/>
      <c r="K34" s="9">
        <v>30</v>
      </c>
      <c r="L34" s="16">
        <f>IF($C$9&gt;=30,$F16-$L$85,"")</f>
        <v>4.1147999999999989</v>
      </c>
      <c r="M34" s="16">
        <f>IF($C$9&gt;=30,$E16-$L$84,"")</f>
        <v>0.45719999999999983</v>
      </c>
      <c r="N34" s="16">
        <f>IF($C$9&gt;=30,$L34^2,"")</f>
        <v>16.931579039999992</v>
      </c>
      <c r="O34" s="16">
        <f>IF($C$9&gt;=30,$M34^2,"")</f>
        <v>0.20903183999999983</v>
      </c>
      <c r="P34" s="16">
        <f>IF($C$9&gt;=30,$L34*$M34,"")</f>
        <v>1.8812865599999988</v>
      </c>
      <c r="Q34" s="17">
        <f>IF($C$9&gt;=30,$E16-$L$84,"")</f>
        <v>0.45719999999999983</v>
      </c>
      <c r="R34" s="17">
        <f>IF($C$9&gt;=30,$F16-$L$85,"")</f>
        <v>4.1147999999999989</v>
      </c>
      <c r="S34" s="18">
        <f>IF($C$9&gt;=30,(-$P$93/$C$9+($P$97*$L$86--$P$96*$L$89)/($L$86*$L$87-$L$89^2)*$Q34+(-$P$96*$L$87-$P$97*$L$89)/($L$86*$L$87-$L$89^2)*$R34),"")</f>
        <v>316.09332542293686</v>
      </c>
      <c r="T34" s="18">
        <f>IF($C$9&gt;=30,((($P$94/$C$9+$P$98*-$R34/$L$88)^2+($P$95/$C$9+$P$98*$Q34/$L$88)^2)^(1/2)),"")</f>
        <v>8.0191462528234894</v>
      </c>
      <c r="AD34" s="262" t="str">
        <f>IF($C$9&gt;=23,"#23:","")</f>
        <v>#23:</v>
      </c>
      <c r="AE34" s="217">
        <f>IF($C$9&gt;=23,$B34*3.28084,"")</f>
        <v>6.0000001920000008</v>
      </c>
      <c r="AF34" s="229">
        <f>IF($C$9&gt;=23,$C34*3.28084,"")</f>
        <v>6.0000001920000008</v>
      </c>
      <c r="AG34" s="279" t="str">
        <f>IF($C$9&gt;=48,"#48:","")</f>
        <v/>
      </c>
      <c r="AH34" s="217" t="str">
        <f>IF($C$9&gt;=48,$E34*3.28084,"")</f>
        <v/>
      </c>
      <c r="AI34" s="229" t="str">
        <f>IF($C$9&gt;=48,$F34*3.28084,"")</f>
        <v/>
      </c>
      <c r="AJ34" s="279" t="str">
        <f>IF($C$9&gt;=73,"#73","")</f>
        <v/>
      </c>
      <c r="AK34" s="217" t="str">
        <f>IF($C$9&gt;=73,$H34*3.28084,"")</f>
        <v/>
      </c>
      <c r="AL34" s="229" t="str">
        <f>IF($C$9&gt;=73,$I34*3.28084,"")</f>
        <v/>
      </c>
      <c r="AM34" s="8"/>
    </row>
    <row r="35" spans="1:39" x14ac:dyDescent="0.25">
      <c r="A35" s="260" t="str">
        <f>IF($C$9&gt;=24,"#24:","")</f>
        <v>#24:</v>
      </c>
      <c r="B35" s="145">
        <v>1.8288000000000002</v>
      </c>
      <c r="C35" s="146">
        <v>2.7432000000000003</v>
      </c>
      <c r="D35" s="260" t="str">
        <f>IF($C$9&gt;=49,"#49:","")</f>
        <v/>
      </c>
      <c r="E35" s="145"/>
      <c r="F35" s="146"/>
      <c r="G35" s="260" t="str">
        <f>IF($C$9&gt;=74,"#74","")</f>
        <v/>
      </c>
      <c r="H35" s="145"/>
      <c r="I35" s="146"/>
      <c r="K35" s="9">
        <v>31</v>
      </c>
      <c r="L35" s="16">
        <f>IF($C$9&gt;=31,$F17-$L$85,"")</f>
        <v>-4.1148000000000007</v>
      </c>
      <c r="M35" s="16">
        <f>IF($C$9&gt;=31,$E17-$L$84,"")</f>
        <v>1.3715999999999999</v>
      </c>
      <c r="N35" s="16">
        <f>IF($C$9&gt;=31,$L35^2,"")</f>
        <v>16.931579040000006</v>
      </c>
      <c r="O35" s="16">
        <f>IF($C$9&gt;=31,$M35^2,"")</f>
        <v>1.8812865599999997</v>
      </c>
      <c r="P35" s="16">
        <f>IF($C$9&gt;=31,$L35*$M35,"")</f>
        <v>-5.6438596800000003</v>
      </c>
      <c r="Q35" s="17">
        <f>IF($C$9&gt;=31,$E17-$L$84,"")</f>
        <v>1.3715999999999999</v>
      </c>
      <c r="R35" s="17">
        <f>IF($C$9&gt;=31,$F17-$L$85,"")</f>
        <v>-4.1148000000000007</v>
      </c>
      <c r="S35" s="18">
        <f>IF($C$9&gt;=31,(-$P$93/$C$9+($P$97*$L$86--$P$96*$L$89)/($L$86*$L$87-$L$89^2)*$Q35+(-$P$96*$L$87-$P$97*$L$89)/($L$86*$L$87-$L$89^2)*$R35),"")</f>
        <v>321.48511698816253</v>
      </c>
      <c r="T35" s="18">
        <f>IF($C$9&gt;=31,((($P$94/$C$9+$P$98*-$R35/$L$88)^2+($P$95/$C$9+$P$98*$Q35/$L$88)^2)^(1/2)),"")</f>
        <v>8.0191462528234894</v>
      </c>
      <c r="AD35" s="262" t="str">
        <f>IF($C$9&gt;=24,"#24:","")</f>
        <v>#24:</v>
      </c>
      <c r="AE35" s="217">
        <f>IF($C$9&gt;=24,$B35*3.28084,"")</f>
        <v>6.0000001920000008</v>
      </c>
      <c r="AF35" s="229">
        <f>IF($C$9&gt;=24,$C35*3.28084,"")</f>
        <v>9.0000002880000007</v>
      </c>
      <c r="AG35" s="279" t="str">
        <f>IF($C$9&gt;=49,"#49:","")</f>
        <v/>
      </c>
      <c r="AH35" s="217" t="str">
        <f>IF($C$9&gt;=49,$E35*3.28084,"")</f>
        <v/>
      </c>
      <c r="AI35" s="229" t="str">
        <f>IF($C$9&gt;=49,$F35*3.28084,"")</f>
        <v/>
      </c>
      <c r="AJ35" s="279" t="str">
        <f>IF($C$9&gt;=74,"#74","")</f>
        <v/>
      </c>
      <c r="AK35" s="217" t="str">
        <f>IF($C$9&gt;=74,$H35*3.28084,"")</f>
        <v/>
      </c>
      <c r="AL35" s="229" t="str">
        <f>IF($C$9&gt;=74,$I35*3.28084,"")</f>
        <v/>
      </c>
      <c r="AM35" s="8"/>
    </row>
    <row r="36" spans="1:39" x14ac:dyDescent="0.25">
      <c r="A36" s="260" t="str">
        <f>IF($C$9&gt;=25,"#25:","")</f>
        <v>#25:</v>
      </c>
      <c r="B36" s="152">
        <v>1.8288000000000002</v>
      </c>
      <c r="C36" s="153">
        <v>3.6576000000000004</v>
      </c>
      <c r="D36" s="260" t="str">
        <f>IF($C$9&gt;=50,"#50:","")</f>
        <v/>
      </c>
      <c r="E36" s="152"/>
      <c r="F36" s="153"/>
      <c r="G36" s="260" t="str">
        <f>IF($C$9=75,"#75","")</f>
        <v/>
      </c>
      <c r="H36" s="152"/>
      <c r="I36" s="153"/>
      <c r="K36" s="9">
        <v>32</v>
      </c>
      <c r="L36" s="16">
        <f>IF($C$9&gt;=32,$F18-$L$85,"")</f>
        <v>-3.2004000000000006</v>
      </c>
      <c r="M36" s="16">
        <f>IF($C$9&gt;=32,$E18-$L$84,"")</f>
        <v>1.3715999999999999</v>
      </c>
      <c r="N36" s="16">
        <f>IF($C$9&gt;=32,$L36^2,"")</f>
        <v>10.242560160000004</v>
      </c>
      <c r="O36" s="16">
        <f>IF($C$9&gt;=32,$M36^2,"")</f>
        <v>1.8812865599999997</v>
      </c>
      <c r="P36" s="16">
        <f>IF($C$9&gt;=32,$L36*$M36,"")</f>
        <v>-4.3896686400000009</v>
      </c>
      <c r="Q36" s="17">
        <f>IF($C$9&gt;=32,$E18-$L$84,"")</f>
        <v>1.3715999999999999</v>
      </c>
      <c r="R36" s="17">
        <f>IF($C$9&gt;=32,$F18-$L$85,"")</f>
        <v>-3.2004000000000006</v>
      </c>
      <c r="S36" s="18">
        <f>IF($C$9&gt;=32,(-$P$93/$C$9+($P$97*$L$86--$P$96*$L$89)/($L$86*$L$87-$L$89^2)*$Q36+(-$P$96*$L$87-$P$97*$L$89)/($L$86*$L$87-$L$89^2)*$R36),"")</f>
        <v>319.23853694819854</v>
      </c>
      <c r="T36" s="18">
        <f>IF($C$9&gt;=32,((($P$94/$C$9+$P$98*-$R36/$L$88)^2+($P$95/$C$9+$P$98*$Q36/$L$88)^2)^(1/2)),"")</f>
        <v>8.0191462528234894</v>
      </c>
      <c r="AD36" s="262" t="str">
        <f>IF($C$9&gt;=25,"#25:","")</f>
        <v>#25:</v>
      </c>
      <c r="AE36" s="222">
        <f>IF($C$9&gt;=25,$B36*3.28084,"")</f>
        <v>6.0000001920000008</v>
      </c>
      <c r="AF36" s="230">
        <f>IF($C$9&gt;=25,$C36*3.28084,"")</f>
        <v>12.000000384000002</v>
      </c>
      <c r="AG36" s="279" t="str">
        <f>IF($C$9&gt;=50,"#50:","")</f>
        <v/>
      </c>
      <c r="AH36" s="222" t="str">
        <f>IF($C$9&gt;=50,$E36*3.28084,"")</f>
        <v/>
      </c>
      <c r="AI36" s="230" t="str">
        <f>IF($C$9&gt;=50,$F36*3.28084,"")</f>
        <v/>
      </c>
      <c r="AJ36" s="279" t="str">
        <f>IF($C$9=75,"#75","")</f>
        <v/>
      </c>
      <c r="AK36" s="222" t="str">
        <f>IF($C$9=75,$H36*3.28084,"")</f>
        <v/>
      </c>
      <c r="AL36" s="230" t="str">
        <f>IF($C$9=75,$I36*3.28084,"")</f>
        <v/>
      </c>
      <c r="AM36" s="8"/>
    </row>
    <row r="37" spans="1:39" x14ac:dyDescent="0.25">
      <c r="A37" s="48"/>
      <c r="B37" s="54"/>
      <c r="C37" s="54"/>
      <c r="D37" s="54"/>
      <c r="E37" s="54"/>
      <c r="F37" s="54"/>
      <c r="G37" s="54"/>
      <c r="H37" s="54"/>
      <c r="I37" s="60"/>
      <c r="K37" s="9">
        <v>33</v>
      </c>
      <c r="L37" s="16">
        <f>IF($C$9&gt;=33,$F19-$L$85,"")</f>
        <v>-2.2860000000000005</v>
      </c>
      <c r="M37" s="16">
        <f>IF($C$9&gt;=33,$E19-$L$84,"")</f>
        <v>1.3715999999999999</v>
      </c>
      <c r="N37" s="16">
        <f>IF($C$9&gt;=33,$L37^2,"")</f>
        <v>5.2257960000000026</v>
      </c>
      <c r="O37" s="16">
        <f>IF($C$9&gt;=33,$M37^2,"")</f>
        <v>1.8812865599999997</v>
      </c>
      <c r="P37" s="16">
        <f>IF($C$9&gt;=33,$L37*$M37,"")</f>
        <v>-3.1354776000000006</v>
      </c>
      <c r="Q37" s="17">
        <f>IF($C$9&gt;=33,$E19-$L$84,"")</f>
        <v>1.3715999999999999</v>
      </c>
      <c r="R37" s="17">
        <f>IF($C$9&gt;=33,$F19-$L$85,"")</f>
        <v>-2.2860000000000005</v>
      </c>
      <c r="S37" s="18">
        <f>IF($C$9&gt;=33,(-$P$93/$C$9+($P$97*$L$86--$P$96*$L$89)/($L$86*$L$87-$L$89^2)*$Q37+(-$P$96*$L$87-$P$97*$L$89)/($L$86*$L$87-$L$89^2)*$R37),"")</f>
        <v>316.99195690823456</v>
      </c>
      <c r="T37" s="18">
        <f>IF($C$9&gt;=33,((($P$94/$C$9+$P$98*-$R37/$L$88)^2+($P$95/$C$9+$P$98*$Q37/$L$88)^2)^(1/2)),"")</f>
        <v>8.0191462528234894</v>
      </c>
      <c r="AD37" s="8"/>
      <c r="AE37" s="8"/>
      <c r="AF37" s="8"/>
      <c r="AG37" s="8"/>
      <c r="AH37" s="8"/>
      <c r="AI37" s="8"/>
      <c r="AJ37" s="8"/>
      <c r="AK37" s="8"/>
      <c r="AL37" s="8"/>
      <c r="AM37" s="8"/>
    </row>
    <row r="38" spans="1:39" x14ac:dyDescent="0.25">
      <c r="A38" s="99" t="s">
        <v>49</v>
      </c>
      <c r="B38" s="27">
        <v>2</v>
      </c>
      <c r="C38" s="76"/>
      <c r="D38" s="54"/>
      <c r="E38" s="54"/>
      <c r="F38" s="54"/>
      <c r="G38" s="54"/>
      <c r="H38" s="54"/>
      <c r="I38" s="60"/>
      <c r="K38" s="9">
        <v>34</v>
      </c>
      <c r="L38" s="16">
        <f>IF($C$9&gt;=34,$F20-$L$85,"")</f>
        <v>-1.3716000000000004</v>
      </c>
      <c r="M38" s="16">
        <f>IF($C$9&gt;=34,$E20-$L$84,"")</f>
        <v>1.3715999999999999</v>
      </c>
      <c r="N38" s="16">
        <f>IF($C$9&gt;=34,$L38^2,"")</f>
        <v>1.8812865600000011</v>
      </c>
      <c r="O38" s="16">
        <f>IF($C$9&gt;=34,$M38^2,"")</f>
        <v>1.8812865599999997</v>
      </c>
      <c r="P38" s="16">
        <f>IF($C$9&gt;=34,$L38*$M38,"")</f>
        <v>-1.8812865600000004</v>
      </c>
      <c r="Q38" s="17">
        <f>IF($C$9&gt;=34,$E20-$L$84,"")</f>
        <v>1.3715999999999999</v>
      </c>
      <c r="R38" s="17">
        <f>IF($C$9&gt;=34,$F20-$L$85,"")</f>
        <v>-1.3716000000000004</v>
      </c>
      <c r="S38" s="18">
        <f>IF($C$9&gt;=34,(-$P$93/$C$9+($P$97*$L$86--$P$96*$L$89)/($L$86*$L$87-$L$89^2)*$Q38+(-$P$96*$L$87-$P$97*$L$89)/($L$86*$L$87-$L$89^2)*$R38),"")</f>
        <v>314.74537686827051</v>
      </c>
      <c r="T38" s="18">
        <f>IF($C$9&gt;=34,((($P$94/$C$9+$P$98*-$R38/$L$88)^2+($P$95/$C$9+$P$98*$Q38/$L$88)^2)^(1/2)),"")</f>
        <v>8.0191462528234894</v>
      </c>
      <c r="AD38" s="8"/>
      <c r="AE38" s="8"/>
      <c r="AF38" s="8"/>
      <c r="AG38" s="8"/>
      <c r="AH38" s="8"/>
      <c r="AI38" s="8"/>
      <c r="AJ38" s="8"/>
      <c r="AK38" s="8"/>
      <c r="AL38" s="8"/>
      <c r="AM38" s="8"/>
    </row>
    <row r="39" spans="1:39" x14ac:dyDescent="0.25">
      <c r="A39" s="48"/>
      <c r="B39" s="56" t="s">
        <v>52</v>
      </c>
      <c r="C39" s="53"/>
      <c r="D39" s="53"/>
      <c r="E39" s="53"/>
      <c r="F39" s="53"/>
      <c r="G39" s="53"/>
      <c r="H39" s="53"/>
      <c r="I39" s="64"/>
      <c r="K39" s="9">
        <v>35</v>
      </c>
      <c r="L39" s="16">
        <f>IF($C$9&gt;=35,$F21-$L$85,"")</f>
        <v>-0.45720000000000027</v>
      </c>
      <c r="M39" s="16">
        <f>IF($C$9&gt;=35,$E21-$L$84,"")</f>
        <v>1.3715999999999999</v>
      </c>
      <c r="N39" s="16">
        <f>IF($C$9&gt;=35,$L39^2,"")</f>
        <v>0.20903184000000025</v>
      </c>
      <c r="O39" s="16">
        <f>IF($C$9&gt;=35,$M39^2,"")</f>
        <v>1.8812865599999997</v>
      </c>
      <c r="P39" s="16">
        <f>IF($C$9&gt;=35,$L39*$M39,"")</f>
        <v>-0.62709552000000035</v>
      </c>
      <c r="Q39" s="17">
        <f>IF($C$9&gt;=35,$E21-$L$84,"")</f>
        <v>1.3715999999999999</v>
      </c>
      <c r="R39" s="17">
        <f>IF($C$9&gt;=35,$F21-$L$85,"")</f>
        <v>-0.45720000000000027</v>
      </c>
      <c r="S39" s="18">
        <f>IF($C$9&gt;=35,(-$P$93/$C$9+($P$97*$L$86--$P$96*$L$89)/($L$86*$L$87-$L$89^2)*$Q39+(-$P$96*$L$87-$P$97*$L$89)/($L$86*$L$87-$L$89^2)*$R39),"")</f>
        <v>312.49879682830652</v>
      </c>
      <c r="T39" s="18">
        <f>IF($C$9&gt;=35,((($P$94/$C$9+$P$98*-$R39/$L$88)^2+($P$95/$C$9+$P$98*$Q39/$L$88)^2)^(1/2)),"")</f>
        <v>8.0191462528234894</v>
      </c>
      <c r="AD39" s="8"/>
      <c r="AE39" s="8"/>
      <c r="AF39" s="8"/>
      <c r="AG39" s="8"/>
      <c r="AH39" s="8"/>
      <c r="AI39" s="8"/>
      <c r="AJ39" s="8"/>
      <c r="AK39" s="8"/>
      <c r="AL39" s="8"/>
      <c r="AM39" s="8"/>
    </row>
    <row r="40" spans="1:39" x14ac:dyDescent="0.25">
      <c r="A40" s="45"/>
      <c r="B40" s="77" t="str">
        <f>IF($B$38&gt;=1,"Pier #1","")</f>
        <v>Pier #1</v>
      </c>
      <c r="C40" s="77" t="str">
        <f>IF($B$38&gt;=2,"Pier #2","")</f>
        <v>Pier #2</v>
      </c>
      <c r="D40" s="77" t="str">
        <f>IF($B$38&gt;=3,"Pier #3","")</f>
        <v/>
      </c>
      <c r="E40" s="77" t="str">
        <f>IF($B$38&gt;=4,"Pier #4","")</f>
        <v/>
      </c>
      <c r="F40" s="77" t="str">
        <f>IF($B$38&gt;=5,"Pier #5","")</f>
        <v/>
      </c>
      <c r="G40" s="77" t="str">
        <f>IF($B$38&gt;=6,"Pier #6","")</f>
        <v/>
      </c>
      <c r="H40" s="77" t="str">
        <f>IF($B$38&gt;=7,"Pier #7","")</f>
        <v/>
      </c>
      <c r="I40" s="98" t="str">
        <f>IF($B$38=8,"Pier #8","")</f>
        <v/>
      </c>
      <c r="K40" s="9">
        <v>36</v>
      </c>
      <c r="L40" s="16">
        <f>IF($C$9&gt;=36,$F22-$L$85,"")</f>
        <v>0.45719999999999938</v>
      </c>
      <c r="M40" s="16">
        <f>IF($C$9&gt;=36,$E22-$L$84,"")</f>
        <v>1.3715999999999999</v>
      </c>
      <c r="N40" s="16">
        <f>IF($C$9&gt;=36,$L40^2,"")</f>
        <v>0.20903183999999944</v>
      </c>
      <c r="O40" s="16">
        <f>IF($C$9&gt;=36,$M40^2,"")</f>
        <v>1.8812865599999997</v>
      </c>
      <c r="P40" s="16">
        <f>IF($C$9&gt;=36,$L40*$M40,"")</f>
        <v>0.62709551999999913</v>
      </c>
      <c r="Q40" s="17">
        <f>IF($C$9&gt;=36,$E22-$L$84,"")</f>
        <v>1.3715999999999999</v>
      </c>
      <c r="R40" s="17">
        <f>IF($C$9&gt;=36,$F22-$L$85,"")</f>
        <v>0.45719999999999938</v>
      </c>
      <c r="S40" s="18">
        <f>IF($C$9&gt;=36,(-$P$93/$C$9+($P$97*$L$86--$P$96*$L$89)/($L$86*$L$87-$L$89^2)*$Q40+(-$P$96*$L$87-$P$97*$L$89)/($L$86*$L$87-$L$89^2)*$R40),"")</f>
        <v>310.25221678834254</v>
      </c>
      <c r="T40" s="18">
        <f>IF($C$9&gt;=36,((($P$94/$C$9+$P$98*-$R40/$L$88)^2+($P$95/$C$9+$P$98*$Q40/$L$88)^2)^(1/2)),"")</f>
        <v>8.0191462528234894</v>
      </c>
      <c r="AD40" s="5"/>
      <c r="AE40" s="203" t="s">
        <v>166</v>
      </c>
      <c r="AF40" s="196" t="str">
        <f>IF($B$38&gt;=1,"Pier #1","")</f>
        <v>Pier #1</v>
      </c>
      <c r="AG40" s="196" t="str">
        <f>IF($B$38&gt;=2,"Pier #2","")</f>
        <v>Pier #2</v>
      </c>
      <c r="AH40" s="196" t="str">
        <f>IF($B$38&gt;=3,"Pier #3","")</f>
        <v/>
      </c>
      <c r="AI40" s="196" t="str">
        <f>IF($B$38&gt;=4,"Pier #4","")</f>
        <v/>
      </c>
      <c r="AJ40" s="196" t="str">
        <f>IF($B$38&gt;=5,"Pier #5","")</f>
        <v/>
      </c>
      <c r="AK40" s="196" t="str">
        <f>IF($B$38&gt;=6,"Pier #6","")</f>
        <v/>
      </c>
      <c r="AL40" s="196" t="str">
        <f>IF($B$38&gt;=7,"Pier #7","")</f>
        <v/>
      </c>
      <c r="AM40" s="196" t="str">
        <f>IF($B$38=8,"Pier #8","")</f>
        <v/>
      </c>
    </row>
    <row r="41" spans="1:39" x14ac:dyDescent="0.25">
      <c r="A41" s="45" t="s">
        <v>129</v>
      </c>
      <c r="B41" s="174">
        <v>1.3716000000000002</v>
      </c>
      <c r="C41" s="141">
        <v>1.3716000000000002</v>
      </c>
      <c r="D41" s="157"/>
      <c r="E41" s="141"/>
      <c r="F41" s="157"/>
      <c r="G41" s="141"/>
      <c r="H41" s="157"/>
      <c r="I41" s="141"/>
      <c r="K41" s="9">
        <v>37</v>
      </c>
      <c r="L41" s="16">
        <f>IF($C$9&gt;=37,$F23-$L$85,"")</f>
        <v>1.3715999999999999</v>
      </c>
      <c r="M41" s="16">
        <f>IF($C$9&gt;=37,$E23-$L$84,"")</f>
        <v>1.3715999999999999</v>
      </c>
      <c r="N41" s="16">
        <f>IF($C$9&gt;=37,$L41^2,"")</f>
        <v>1.8812865599999997</v>
      </c>
      <c r="O41" s="16">
        <f>IF($C$9&gt;=37,$M41^2,"")</f>
        <v>1.8812865599999997</v>
      </c>
      <c r="P41" s="16">
        <f>IF($C$9&gt;=37,$L41*$M41,"")</f>
        <v>1.8812865599999997</v>
      </c>
      <c r="Q41" s="17">
        <f>IF($C$9&gt;=37,$E23-$L$84,"")</f>
        <v>1.3715999999999999</v>
      </c>
      <c r="R41" s="17">
        <f>IF($C$9&gt;=37,$F23-$L$85,"")</f>
        <v>1.3715999999999999</v>
      </c>
      <c r="S41" s="18">
        <f>IF($C$9&gt;=37,(-$P$93/$C$9+($P$97*$L$86--$P$96*$L$89)/($L$86*$L$87-$L$89^2)*$Q41+(-$P$96*$L$87-$P$97*$L$89)/($L$86*$L$87-$L$89^2)*$R41),"")</f>
        <v>308.00563674837855</v>
      </c>
      <c r="T41" s="18">
        <f>IF($C$9&gt;=37,((($P$94/$C$9+$P$98*-$R41/$L$88)^2+($P$95/$C$9+$P$98*$Q41/$L$88)^2)^(1/2)),"")</f>
        <v>8.0191462528234894</v>
      </c>
      <c r="AD41" s="5"/>
      <c r="AE41" s="199" t="s">
        <v>198</v>
      </c>
      <c r="AF41" s="216">
        <f>IF($B$38&gt;=1,$B41*3.28084,"")</f>
        <v>4.5000001440000004</v>
      </c>
      <c r="AG41" s="231">
        <f>IF($B$38&gt;=2,$C41*3.28084,"")</f>
        <v>4.5000001440000004</v>
      </c>
      <c r="AH41" s="216" t="str">
        <f>IF($B$38&gt;=3,$D41*3.28084,"")</f>
        <v/>
      </c>
      <c r="AI41" s="231" t="str">
        <f>IF($B$38&gt;=4,$E41*3.28084,"")</f>
        <v/>
      </c>
      <c r="AJ41" s="216" t="str">
        <f>IF($B$38&gt;=5,$F41*3.28084,"")</f>
        <v/>
      </c>
      <c r="AK41" s="231" t="str">
        <f>IF($B$38&gt;=6,$G41*3.28084,"")</f>
        <v/>
      </c>
      <c r="AL41" s="216" t="str">
        <f>IF($B$38&gt;=7,$H41*3.28084,"")</f>
        <v/>
      </c>
      <c r="AM41" s="228" t="str">
        <f>IF($B$38&gt;=8,$I41*3.28084,"")</f>
        <v/>
      </c>
    </row>
    <row r="42" spans="1:39" x14ac:dyDescent="0.25">
      <c r="A42" s="45" t="s">
        <v>130</v>
      </c>
      <c r="B42" s="175">
        <v>2.7432000000000003</v>
      </c>
      <c r="C42" s="145">
        <v>5.4864000000000006</v>
      </c>
      <c r="D42" s="158"/>
      <c r="E42" s="145"/>
      <c r="F42" s="158"/>
      <c r="G42" s="145"/>
      <c r="H42" s="158"/>
      <c r="I42" s="145"/>
      <c r="K42" s="9">
        <v>38</v>
      </c>
      <c r="L42" s="16">
        <f>IF($C$9&gt;=38,$F24-$L$85,"")</f>
        <v>2.2859999999999996</v>
      </c>
      <c r="M42" s="16">
        <f>IF($C$9&gt;=38,$E24-$L$84,"")</f>
        <v>1.3715999999999999</v>
      </c>
      <c r="N42" s="16">
        <f>IF($C$9&gt;=38,$L42^2,"")</f>
        <v>5.2257959999999981</v>
      </c>
      <c r="O42" s="16">
        <f>IF($C$9&gt;=38,$M42^2,"")</f>
        <v>1.8812865599999997</v>
      </c>
      <c r="P42" s="16">
        <f>IF($C$9&gt;=38,$L42*$M42,"")</f>
        <v>3.1354775999999993</v>
      </c>
      <c r="Q42" s="17">
        <f>IF($C$9&gt;=38,$E24-$L$84,"")</f>
        <v>1.3715999999999999</v>
      </c>
      <c r="R42" s="17">
        <f>IF($C$9&gt;=38,$F24-$L$85,"")</f>
        <v>2.2859999999999996</v>
      </c>
      <c r="S42" s="18">
        <f>IF($C$9&gt;=38,(-$P$93/$C$9+($P$97*$L$86--$P$96*$L$89)/($L$86*$L$87-$L$89^2)*$Q42+(-$P$96*$L$87-$P$97*$L$89)/($L$86*$L$87-$L$89^2)*$R42),"")</f>
        <v>305.75905670841451</v>
      </c>
      <c r="T42" s="18">
        <f>IF($C$9&gt;=38,((($P$94/$C$9+$P$98*-$R42/$L$88)^2+($P$95/$C$9+$P$98*$Q42/$L$88)^2)^(1/2)),"")</f>
        <v>8.0191462528234894</v>
      </c>
      <c r="AD42" s="5"/>
      <c r="AE42" s="199" t="s">
        <v>199</v>
      </c>
      <c r="AF42" s="217">
        <f>IF($B$38&gt;=1,$B42*3.28084,"")</f>
        <v>9.0000002880000007</v>
      </c>
      <c r="AG42" s="232">
        <f>IF($B$38&gt;=2,$C42*3.28084,"")</f>
        <v>18.000000576000001</v>
      </c>
      <c r="AH42" s="217" t="str">
        <f>IF($B$38&gt;=3,$D42*3.28084,"")</f>
        <v/>
      </c>
      <c r="AI42" s="232" t="str">
        <f>IF($B$38&gt;=4,$E42*3.28084,"")</f>
        <v/>
      </c>
      <c r="AJ42" s="217" t="str">
        <f>IF($B$38&gt;=5,$F42*3.28084,"")</f>
        <v/>
      </c>
      <c r="AK42" s="232" t="str">
        <f>IF($B$38&gt;=6,$G42*3.28084,"")</f>
        <v/>
      </c>
      <c r="AL42" s="217" t="str">
        <f>IF($B$38&gt;=7,$H42*3.28084,"")</f>
        <v/>
      </c>
      <c r="AM42" s="229" t="str">
        <f>IF($B$38&gt;=8,$I42*3.28084,"")</f>
        <v/>
      </c>
    </row>
    <row r="43" spans="1:39" x14ac:dyDescent="0.25">
      <c r="A43" s="45" t="s">
        <v>131</v>
      </c>
      <c r="B43" s="175">
        <v>1.524</v>
      </c>
      <c r="C43" s="145">
        <v>1.524</v>
      </c>
      <c r="D43" s="158"/>
      <c r="E43" s="145"/>
      <c r="F43" s="158"/>
      <c r="G43" s="145"/>
      <c r="H43" s="158"/>
      <c r="I43" s="145"/>
      <c r="J43" s="10"/>
      <c r="K43" s="9">
        <v>39</v>
      </c>
      <c r="L43" s="16">
        <f>IF($C$9&gt;=39,$F25-$L$85,"")</f>
        <v>3.2004000000000001</v>
      </c>
      <c r="M43" s="16">
        <f>IF($C$9&gt;=39,$E25-$L$84,"")</f>
        <v>1.3715999999999999</v>
      </c>
      <c r="N43" s="16">
        <f>IF($C$9&gt;=39,$L43^2,"")</f>
        <v>10.24256016</v>
      </c>
      <c r="O43" s="16">
        <f>IF($C$9&gt;=39,$M43^2,"")</f>
        <v>1.8812865599999997</v>
      </c>
      <c r="P43" s="16">
        <f>IF($C$9&gt;=39,$L43*$M43,"")</f>
        <v>4.38966864</v>
      </c>
      <c r="Q43" s="17">
        <f>IF($C$9&gt;=39,$E25-$L$84,"")</f>
        <v>1.3715999999999999</v>
      </c>
      <c r="R43" s="17">
        <f>IF($C$9&gt;=39,$F25-$L$85,"")</f>
        <v>3.2004000000000001</v>
      </c>
      <c r="S43" s="18">
        <f>IF($C$9&gt;=39,(-$P$93/$C$9+($P$97*$L$86--$P$96*$L$89)/($L$86*$L$87-$L$89^2)*$Q43+(-$P$96*$L$87-$P$97*$L$89)/($L$86*$L$87-$L$89^2)*$R43),"")</f>
        <v>303.51247666845052</v>
      </c>
      <c r="T43" s="18">
        <f>IF($C$9&gt;=39,((($P$94/$C$9+$P$98*-$R43/$L$88)^2+($P$95/$C$9+$P$98*$Q43/$L$88)^2)^(1/2)),"")</f>
        <v>8.0191462528234894</v>
      </c>
      <c r="AD43" s="5"/>
      <c r="AE43" s="199" t="s">
        <v>200</v>
      </c>
      <c r="AF43" s="217">
        <f>IF($B$38&gt;=1,$B43*3.28084,"")</f>
        <v>5.0000001599999999</v>
      </c>
      <c r="AG43" s="232">
        <f>IF($B$38&gt;=2,$C43*3.28084,"")</f>
        <v>5.0000001599999999</v>
      </c>
      <c r="AH43" s="217" t="str">
        <f>IF($B$38&gt;=3,$D43*3.28084,"")</f>
        <v/>
      </c>
      <c r="AI43" s="232" t="str">
        <f>IF($B$38&gt;=4,$E43*3.28084,"")</f>
        <v/>
      </c>
      <c r="AJ43" s="217" t="str">
        <f>IF($B$38&gt;=5,$F43*3.28084,"")</f>
        <v/>
      </c>
      <c r="AK43" s="232" t="str">
        <f>IF($B$38&gt;=6,$G43*3.28084,"")</f>
        <v/>
      </c>
      <c r="AL43" s="217" t="str">
        <f>IF($B$38&gt;=7,$H43*3.28084,"")</f>
        <v/>
      </c>
      <c r="AM43" s="229" t="str">
        <f>IF($B$38&gt;=8,$I43*3.28084,"")</f>
        <v/>
      </c>
    </row>
    <row r="44" spans="1:39" x14ac:dyDescent="0.25">
      <c r="A44" s="45" t="s">
        <v>132</v>
      </c>
      <c r="B44" s="176">
        <v>-6672.3330000000005</v>
      </c>
      <c r="C44" s="159">
        <v>-6672.3330000000005</v>
      </c>
      <c r="D44" s="160"/>
      <c r="E44" s="159"/>
      <c r="F44" s="160"/>
      <c r="G44" s="159"/>
      <c r="H44" s="160"/>
      <c r="I44" s="159"/>
      <c r="K44" s="9">
        <v>40</v>
      </c>
      <c r="L44" s="16">
        <f>IF($C$9&gt;=40,$F26-$L$85,"")</f>
        <v>4.1147999999999989</v>
      </c>
      <c r="M44" s="16">
        <f>IF($C$9&gt;=40,$E26-$L$84,"")</f>
        <v>1.3715999999999999</v>
      </c>
      <c r="N44" s="16">
        <f>IF($C$9&gt;=40,$L44^2,"")</f>
        <v>16.931579039999992</v>
      </c>
      <c r="O44" s="16">
        <f>IF($C$9&gt;=40,$M44^2,"")</f>
        <v>1.8812865599999997</v>
      </c>
      <c r="P44" s="16">
        <f>IF($C$9&gt;=40,$L44*$M44,"")</f>
        <v>5.6438596799999985</v>
      </c>
      <c r="Q44" s="17">
        <f>IF($C$9&gt;=40,$E26-$L$84,"")</f>
        <v>1.3715999999999999</v>
      </c>
      <c r="R44" s="17">
        <f>IF($C$9&gt;=40,$F26-$L$85,"")</f>
        <v>4.1147999999999989</v>
      </c>
      <c r="S44" s="18">
        <f>IF($C$9&gt;=40,(-$P$93/$C$9+($P$97*$L$86--$P$96*$L$89)/($L$86*$L$87-$L$89^2)*$Q44+(-$P$96*$L$87-$P$97*$L$89)/($L$86*$L$87-$L$89^2)*$R44),"")</f>
        <v>301.26589662848653</v>
      </c>
      <c r="T44" s="18">
        <f>IF($C$9&gt;=40,((($P$94/$C$9+$P$98*-$R44/$L$88)^2+($P$95/$C$9+$P$98*$Q44/$L$88)^2)^(1/2)),"")</f>
        <v>8.0191462528234894</v>
      </c>
      <c r="AD44" s="5"/>
      <c r="AE44" s="199" t="s">
        <v>201</v>
      </c>
      <c r="AF44" s="233">
        <f>IF($B$38&gt;=1,$B44*0.224809,"")</f>
        <v>-1500.0005093970001</v>
      </c>
      <c r="AG44" s="234">
        <f>IF($B$38&gt;=2,$C44*0.224809,"")</f>
        <v>-1500.0005093970001</v>
      </c>
      <c r="AH44" s="233" t="str">
        <f>IF($B$38&gt;=3,$D44*0.224809,"")</f>
        <v/>
      </c>
      <c r="AI44" s="234" t="str">
        <f>IF($B$38&gt;=4,$E44*0.224809,"")</f>
        <v/>
      </c>
      <c r="AJ44" s="233" t="str">
        <f>IF($B$38&gt;=5,$F44*0.224809,"")</f>
        <v/>
      </c>
      <c r="AK44" s="234" t="str">
        <f>IF($B$38&gt;=6,$G44*0.224809,"")</f>
        <v/>
      </c>
      <c r="AL44" s="233" t="str">
        <f>IF($B$38&gt;=7,$H44*0.224809,"")</f>
        <v/>
      </c>
      <c r="AM44" s="235" t="str">
        <f>IF($B$38&gt;=8,$I44*0.224809,"")</f>
        <v/>
      </c>
    </row>
    <row r="45" spans="1:39" x14ac:dyDescent="0.25">
      <c r="A45" s="45" t="s">
        <v>133</v>
      </c>
      <c r="B45" s="176">
        <v>-88.96444000000001</v>
      </c>
      <c r="C45" s="159">
        <v>-88.96444000000001</v>
      </c>
      <c r="D45" s="160"/>
      <c r="E45" s="159"/>
      <c r="F45" s="160"/>
      <c r="G45" s="159"/>
      <c r="H45" s="160"/>
      <c r="I45" s="159"/>
      <c r="J45" s="2"/>
      <c r="K45" s="9">
        <v>41</v>
      </c>
      <c r="L45" s="16" t="str">
        <f>IF($C$9&gt;=41,$F27-$L$85,"")</f>
        <v/>
      </c>
      <c r="M45" s="16" t="str">
        <f>IF($C$9&gt;=41,$E27-$L$84,"")</f>
        <v/>
      </c>
      <c r="N45" s="16" t="str">
        <f>IF($C$9&gt;=41,$L45^2,"")</f>
        <v/>
      </c>
      <c r="O45" s="16" t="str">
        <f>IF($C$9&gt;=41,$M45^2,"")</f>
        <v/>
      </c>
      <c r="P45" s="16" t="str">
        <f>IF($C$9&gt;=41,$L45*$M45,"")</f>
        <v/>
      </c>
      <c r="Q45" s="17" t="str">
        <f>IF($C$9&gt;=41,$E27-$L$84,"")</f>
        <v/>
      </c>
      <c r="R45" s="17" t="str">
        <f>IF($C$9&gt;=41,$F27-$L$85,"")</f>
        <v/>
      </c>
      <c r="S45" s="18" t="str">
        <f>IF($C$9&gt;=41,(-$P$93/$C$9+($P$97*$L$86--$P$96*$L$89)/($L$86*$L$87-$L$89^2)*$Q45+(-$P$96*$L$87-$P$97*$L$89)/($L$86*$L$87-$L$89^2)*$R45),"")</f>
        <v/>
      </c>
      <c r="T45" s="18" t="str">
        <f>IF($C$9&gt;=41,((($P$94/$C$9+$P$98*-$R45/$L$88)^2+($P$95/$C$9+$P$98*$Q45/$L$88)^2)^(1/2)),"")</f>
        <v/>
      </c>
      <c r="AD45" s="5"/>
      <c r="AE45" s="199" t="s">
        <v>202</v>
      </c>
      <c r="AF45" s="233">
        <f>IF($B$38&gt;=1,$B45*0.224809,"")</f>
        <v>-20.000006791960004</v>
      </c>
      <c r="AG45" s="234">
        <f>IF($B$38&gt;=2,$C45*0.224809,"")</f>
        <v>-20.000006791960004</v>
      </c>
      <c r="AH45" s="233" t="str">
        <f>IF($B$38&gt;=3,$D45*0.224809,"")</f>
        <v/>
      </c>
      <c r="AI45" s="234" t="str">
        <f>IF($B$38&gt;=4,$E45*0.224809,"")</f>
        <v/>
      </c>
      <c r="AJ45" s="233" t="str">
        <f>IF($B$38&gt;=5,$F45*0.224809,"")</f>
        <v/>
      </c>
      <c r="AK45" s="234" t="str">
        <f>IF($B$38&gt;=6,$G45*0.224809,"")</f>
        <v/>
      </c>
      <c r="AL45" s="233" t="str">
        <f>IF($B$38&gt;=7,$H45*0.224809,"")</f>
        <v/>
      </c>
      <c r="AM45" s="235" t="str">
        <f>IF($B$38&gt;=8,$I45*0.224809,"")</f>
        <v/>
      </c>
    </row>
    <row r="46" spans="1:39" x14ac:dyDescent="0.25">
      <c r="A46" s="45" t="s">
        <v>134</v>
      </c>
      <c r="B46" s="176">
        <v>-133.44666000000001</v>
      </c>
      <c r="C46" s="159">
        <v>-133.44666000000001</v>
      </c>
      <c r="D46" s="160"/>
      <c r="E46" s="159"/>
      <c r="F46" s="160"/>
      <c r="G46" s="159"/>
      <c r="H46" s="160"/>
      <c r="I46" s="159"/>
      <c r="J46" s="2"/>
      <c r="K46" s="9">
        <v>42</v>
      </c>
      <c r="L46" s="16" t="str">
        <f>IF($C$9&gt;=42,$F28-$L$85,"")</f>
        <v/>
      </c>
      <c r="M46" s="16" t="str">
        <f>IF($C$9&gt;=42,$E28-$L$84,"")</f>
        <v/>
      </c>
      <c r="N46" s="16" t="str">
        <f>IF($C$9&gt;=42,$L46^2,"")</f>
        <v/>
      </c>
      <c r="O46" s="16" t="str">
        <f>IF($C$9&gt;=42,$M46^2,"")</f>
        <v/>
      </c>
      <c r="P46" s="16" t="str">
        <f>IF($C$9&gt;=42,$L46*$M46,"")</f>
        <v/>
      </c>
      <c r="Q46" s="17" t="str">
        <f>IF($C$9&gt;=42,$E28-$L$84,"")</f>
        <v/>
      </c>
      <c r="R46" s="17" t="str">
        <f>IF($C$9&gt;=42,$F28-$L$85,"")</f>
        <v/>
      </c>
      <c r="S46" s="18" t="str">
        <f>IF($C$9&gt;=42,(-$P$93/$C$9+($P$97*$L$86--$P$96*$L$89)/($L$86*$L$87-$L$89^2)*$Q46+(-$P$96*$L$87-$P$97*$L$89)/($L$86*$L$87-$L$89^2)*$R46),"")</f>
        <v/>
      </c>
      <c r="T46" s="18" t="str">
        <f>IF($C$9&gt;=42,((($P$94/$C$9+$P$98*-$R46/$L$88)^2+($P$95/$C$9+$P$98*$Q46/$L$88)^2)^(1/2)),"")</f>
        <v/>
      </c>
      <c r="AD46" s="5"/>
      <c r="AE46" s="199" t="s">
        <v>203</v>
      </c>
      <c r="AF46" s="233">
        <f>IF($B$38&gt;=1,$B46*0.224809,"")</f>
        <v>-30.000010187940003</v>
      </c>
      <c r="AG46" s="234">
        <f>IF($B$38&gt;=2,$C46*0.224809,"")</f>
        <v>-30.000010187940003</v>
      </c>
      <c r="AH46" s="233" t="str">
        <f>IF($B$38&gt;=3,$D46*0.224809,"")</f>
        <v/>
      </c>
      <c r="AI46" s="234" t="str">
        <f>IF($B$38&gt;=4,$E46*0.224809,"")</f>
        <v/>
      </c>
      <c r="AJ46" s="233" t="str">
        <f>IF($B$38&gt;=5,$F46*0.224809,"")</f>
        <v/>
      </c>
      <c r="AK46" s="234" t="str">
        <f>IF($B$38&gt;=6,$G46*0.224809,"")</f>
        <v/>
      </c>
      <c r="AL46" s="233" t="str">
        <f>IF($B$38&gt;=7,$H46*0.224809,"")</f>
        <v/>
      </c>
      <c r="AM46" s="235" t="str">
        <f>IF($B$38&gt;=8,$I46*0.224809,"")</f>
        <v/>
      </c>
    </row>
    <row r="47" spans="1:39" x14ac:dyDescent="0.25">
      <c r="A47" s="45" t="s">
        <v>135</v>
      </c>
      <c r="B47" s="176">
        <v>135.58179999999999</v>
      </c>
      <c r="C47" s="159">
        <v>135.58179999999999</v>
      </c>
      <c r="D47" s="160"/>
      <c r="E47" s="159"/>
      <c r="F47" s="160"/>
      <c r="G47" s="159"/>
      <c r="H47" s="160"/>
      <c r="I47" s="159"/>
      <c r="J47" s="2"/>
      <c r="K47" s="9">
        <v>43</v>
      </c>
      <c r="L47" s="16" t="str">
        <f>IF($C$9&gt;=43,$F29-$L$85,"")</f>
        <v/>
      </c>
      <c r="M47" s="16" t="str">
        <f>IF($C$9&gt;=43,$E29-$L$84,"")</f>
        <v/>
      </c>
      <c r="N47" s="16" t="str">
        <f>IF($C$9&gt;=43,$L47^2,"")</f>
        <v/>
      </c>
      <c r="O47" s="16" t="str">
        <f>IF($C$9&gt;=43,$M47^2,"")</f>
        <v/>
      </c>
      <c r="P47" s="16" t="str">
        <f>IF($C$9&gt;=43,$L47*$M47,"")</f>
        <v/>
      </c>
      <c r="Q47" s="17" t="str">
        <f>IF($C$9&gt;=43,$E29-$L$84,"")</f>
        <v/>
      </c>
      <c r="R47" s="17" t="str">
        <f>IF($C$9&gt;=43,$F29-$L$85,"")</f>
        <v/>
      </c>
      <c r="S47" s="18" t="str">
        <f>IF($C$9&gt;=43,(-$P$93/$C$9+($P$97*$L$86--$P$96*$L$89)/($L$86*$L$87-$L$89^2)*$Q47+(-$P$96*$L$87-$P$97*$L$89)/($L$86*$L$87-$L$89^2)*$R47),"")</f>
        <v/>
      </c>
      <c r="T47" s="18" t="str">
        <f>IF($C$9&gt;=43,((($P$94/$C$9+$P$98*-$R47/$L$88)^2+($P$95/$C$9+$P$98*$Q47/$L$88)^2)^(1/2)),"")</f>
        <v/>
      </c>
      <c r="AD47" s="5"/>
      <c r="AE47" s="199" t="s">
        <v>204</v>
      </c>
      <c r="AF47" s="233">
        <f>IF($B$38&gt;=1,$B47*0.737562,"")</f>
        <v>99.999983571599998</v>
      </c>
      <c r="AG47" s="234">
        <f>IF($B$38&gt;=2,$C47*0.737562,"")</f>
        <v>99.999983571599998</v>
      </c>
      <c r="AH47" s="233" t="str">
        <f>IF($B$38&gt;=3,$D47*0.737562,"")</f>
        <v/>
      </c>
      <c r="AI47" s="234" t="str">
        <f>IF($B$38&gt;=4,$E47*0.737562,"")</f>
        <v/>
      </c>
      <c r="AJ47" s="233" t="str">
        <f>IF($B$38&gt;=5,$F47*0.737562,"")</f>
        <v/>
      </c>
      <c r="AK47" s="234" t="str">
        <f>IF($B$38&gt;=6,$G47*0.737562,"")</f>
        <v/>
      </c>
      <c r="AL47" s="233" t="str">
        <f>IF($B$38&gt;=7,$H47*0.737562,"")</f>
        <v/>
      </c>
      <c r="AM47" s="235" t="str">
        <f>IF($B$38&gt;=8,$I47*0.737562,"")</f>
        <v/>
      </c>
    </row>
    <row r="48" spans="1:39" x14ac:dyDescent="0.25">
      <c r="A48" s="45" t="s">
        <v>136</v>
      </c>
      <c r="B48" s="176">
        <v>-203.37270000000001</v>
      </c>
      <c r="C48" s="159">
        <v>-203.37270000000001</v>
      </c>
      <c r="D48" s="160"/>
      <c r="E48" s="159"/>
      <c r="F48" s="160"/>
      <c r="G48" s="159"/>
      <c r="H48" s="160"/>
      <c r="I48" s="159"/>
      <c r="J48" s="2"/>
      <c r="K48" s="9">
        <v>44</v>
      </c>
      <c r="L48" s="16" t="str">
        <f>IF($C$9&gt;=44,$F30-$L$85,"")</f>
        <v/>
      </c>
      <c r="M48" s="16" t="str">
        <f>IF($C$9&gt;=44,$E30-$L$84,"")</f>
        <v/>
      </c>
      <c r="N48" s="16" t="str">
        <f>IF($C$9&gt;=44,$L48^2,"")</f>
        <v/>
      </c>
      <c r="O48" s="16" t="str">
        <f>IF($C$9&gt;=44,$M48^2,"")</f>
        <v/>
      </c>
      <c r="P48" s="16" t="str">
        <f>IF($C$9&gt;=44,$L48*$M48,"")</f>
        <v/>
      </c>
      <c r="Q48" s="17" t="str">
        <f>IF($C$9&gt;=44,$E30-$L$84,"")</f>
        <v/>
      </c>
      <c r="R48" s="17" t="str">
        <f>IF($C$9&gt;=44,$F30-$L$85,"")</f>
        <v/>
      </c>
      <c r="S48" s="18" t="str">
        <f>IF($C$9&gt;=44,(-$P$93/$C$9+($P$97*$L$86--$P$96*$L$89)/($L$86*$L$87-$L$89^2)*$Q48+(-$P$96*$L$87-$P$97*$L$89)/($L$86*$L$87-$L$89^2)*$R48),"")</f>
        <v/>
      </c>
      <c r="T48" s="18" t="str">
        <f>IF($C$9&gt;=44,((($P$94/$C$9+$P$98*-$R48/$L$88)^2+($P$95/$C$9+$P$98*$Q48/$L$88)^2)^(1/2)),"")</f>
        <v/>
      </c>
      <c r="AD48" s="5"/>
      <c r="AE48" s="199" t="s">
        <v>205</v>
      </c>
      <c r="AF48" s="233">
        <f>IF($B$38&gt;=1,$B48*0.737562,"")</f>
        <v>-149.99997535740002</v>
      </c>
      <c r="AG48" s="234">
        <f>IF($B$38&gt;=2,$C48*0.737562,"")</f>
        <v>-149.99997535740002</v>
      </c>
      <c r="AH48" s="233" t="str">
        <f>IF($B$38&gt;=3,$D48*0.737562,"")</f>
        <v/>
      </c>
      <c r="AI48" s="234" t="str">
        <f>IF($B$38&gt;=4,$E48*0.737562,"")</f>
        <v/>
      </c>
      <c r="AJ48" s="233" t="str">
        <f>IF($B$38&gt;=5,$F48*0.737562,"")</f>
        <v/>
      </c>
      <c r="AK48" s="234" t="str">
        <f>IF($B$38&gt;=6,$G48*0.737562,"")</f>
        <v/>
      </c>
      <c r="AL48" s="233" t="str">
        <f>IF($B$38&gt;=7,$H48*0.737562,"")</f>
        <v/>
      </c>
      <c r="AM48" s="235" t="str">
        <f>IF($B$38&gt;=8,$I48*0.737562,"")</f>
        <v/>
      </c>
    </row>
    <row r="49" spans="1:41" x14ac:dyDescent="0.25">
      <c r="A49" s="45" t="s">
        <v>253</v>
      </c>
      <c r="B49" s="177">
        <v>0</v>
      </c>
      <c r="C49" s="162">
        <v>0</v>
      </c>
      <c r="D49" s="163"/>
      <c r="E49" s="162"/>
      <c r="F49" s="163"/>
      <c r="G49" s="162"/>
      <c r="H49" s="163"/>
      <c r="I49" s="162"/>
      <c r="K49" s="9">
        <v>45</v>
      </c>
      <c r="L49" s="16" t="str">
        <f>IF($C$9&gt;=45,$F31-$L$85,"")</f>
        <v/>
      </c>
      <c r="M49" s="16" t="str">
        <f>IF($C$9&gt;=45,$E31-$L$84,"")</f>
        <v/>
      </c>
      <c r="N49" s="16" t="str">
        <f>IF($C$9&gt;=45,$L49^2,"")</f>
        <v/>
      </c>
      <c r="O49" s="16" t="str">
        <f>IF($C$9&gt;=45,$M49^2,"")</f>
        <v/>
      </c>
      <c r="P49" s="16" t="str">
        <f>IF($C$9&gt;=45,$L49*$M49,"")</f>
        <v/>
      </c>
      <c r="Q49" s="17" t="str">
        <f>IF($C$9&gt;=45,$E31-$L$84,"")</f>
        <v/>
      </c>
      <c r="R49" s="17" t="str">
        <f>IF($C$9&gt;=45,$F31-$L$85,"")</f>
        <v/>
      </c>
      <c r="S49" s="18" t="str">
        <f>IF($C$9&gt;=45,(-$P$93/$C$9+($P$97*$L$86--$P$96*$L$89)/($L$86*$L$87-$L$89^2)*$Q49+(-$P$96*$L$87-$P$97*$L$89)/($L$86*$L$87-$L$89^2)*$R49),"")</f>
        <v/>
      </c>
      <c r="T49" s="18" t="str">
        <f>IF($C$9&gt;=45,((($P$94/$C$9+$P$98*-$R49/$L$88)^2+($P$95/$C$9+$P$98*$Q49/$L$88)^2)^(1/2)),"")</f>
        <v/>
      </c>
      <c r="AD49" s="5"/>
      <c r="AE49" s="199" t="s">
        <v>206</v>
      </c>
      <c r="AF49" s="236">
        <f>IF($B$38&gt;=1,$B49*0.737562,"")</f>
        <v>0</v>
      </c>
      <c r="AG49" s="237">
        <f>IF($B$38&gt;=2,$C49*0.737562,"")</f>
        <v>0</v>
      </c>
      <c r="AH49" s="236" t="str">
        <f>IF($B$38&gt;=3,$D49*0.737562,"")</f>
        <v/>
      </c>
      <c r="AI49" s="237" t="str">
        <f>IF($B$38&gt;=4,$E49*0.737562,"")</f>
        <v/>
      </c>
      <c r="AJ49" s="236" t="str">
        <f>IF($B$38&gt;=5,$F49*0.737562,"")</f>
        <v/>
      </c>
      <c r="AK49" s="237" t="str">
        <f>IF($B$38&gt;=6,$G49*0.737562,"")</f>
        <v/>
      </c>
      <c r="AL49" s="236" t="str">
        <f>IF($B$38&gt;=7,$H49*0.737562,"")</f>
        <v/>
      </c>
      <c r="AM49" s="238" t="str">
        <f>IF($B$38&gt;=8,$I49*0.737562,"")</f>
        <v/>
      </c>
    </row>
    <row r="50" spans="1:41" x14ac:dyDescent="0.25">
      <c r="A50" s="48"/>
      <c r="B50" s="54"/>
      <c r="C50" s="54"/>
      <c r="D50" s="54"/>
      <c r="E50" s="54"/>
      <c r="F50" s="54"/>
      <c r="G50" s="54"/>
      <c r="H50" s="54"/>
      <c r="I50" s="60"/>
      <c r="K50" s="9">
        <v>46</v>
      </c>
      <c r="L50" s="16" t="str">
        <f>IF($C$9&gt;=46,$F32-$L$85,"")</f>
        <v/>
      </c>
      <c r="M50" s="16" t="str">
        <f>IF($C$9&gt;=46,$E32-$L$84,"")</f>
        <v/>
      </c>
      <c r="N50" s="16" t="str">
        <f>IF($C$9&gt;=46,$L50^2,"")</f>
        <v/>
      </c>
      <c r="O50" s="16" t="str">
        <f>IF($C$9&gt;=46,$M50^2,"")</f>
        <v/>
      </c>
      <c r="P50" s="16" t="str">
        <f>IF($C$9&gt;=46,$L50*$M50,"")</f>
        <v/>
      </c>
      <c r="Q50" s="17" t="str">
        <f>IF($C$9&gt;=46,$E32-$L$84,"")</f>
        <v/>
      </c>
      <c r="R50" s="17" t="str">
        <f>IF($C$9&gt;=46,$F32-$L$85,"")</f>
        <v/>
      </c>
      <c r="S50" s="18" t="str">
        <f>IF($C$9&gt;=46,(-$P$93/$C$9+($P$97*$L$86--$P$96*$L$89)/($L$86*$L$87-$L$89^2)*$Q50+(-$P$96*$L$87-$P$97*$L$89)/($L$86*$L$87-$L$89^2)*$R50),"")</f>
        <v/>
      </c>
      <c r="T50" s="18" t="str">
        <f>IF($C$9&gt;=46,((($P$94/$C$9+$P$98*-$R50/$L$88)^2+($P$95/$C$9+$P$98*$Q50/$L$88)^2)^(1/2)),"")</f>
        <v/>
      </c>
      <c r="AD50" s="8"/>
      <c r="AE50" s="8"/>
      <c r="AF50" s="8"/>
      <c r="AG50" s="8"/>
      <c r="AH50" s="8"/>
      <c r="AI50" s="8"/>
      <c r="AJ50" s="8"/>
      <c r="AK50" s="8"/>
      <c r="AL50" s="8"/>
      <c r="AM50" s="8"/>
    </row>
    <row r="51" spans="1:41" x14ac:dyDescent="0.25">
      <c r="A51" s="48"/>
      <c r="B51" s="54"/>
      <c r="C51" s="54"/>
      <c r="D51" s="54"/>
      <c r="E51" s="54"/>
      <c r="F51" s="54"/>
      <c r="G51" s="54"/>
      <c r="H51" s="54"/>
      <c r="I51" s="60"/>
      <c r="K51" s="9">
        <v>47</v>
      </c>
      <c r="L51" s="16" t="str">
        <f>IF($C$9&gt;=47,$F33-$L$85,"")</f>
        <v/>
      </c>
      <c r="M51" s="16" t="str">
        <f>IF($C$9&gt;=47,$E33-$L$84,"")</f>
        <v/>
      </c>
      <c r="N51" s="16" t="str">
        <f>IF($C$9&gt;=47,$L51^2,"")</f>
        <v/>
      </c>
      <c r="O51" s="16" t="str">
        <f>IF($C$9&gt;=47,$M51^2,"")</f>
        <v/>
      </c>
      <c r="P51" s="16" t="str">
        <f>IF($C$9&gt;=47,$L51*$M51,"")</f>
        <v/>
      </c>
      <c r="Q51" s="17" t="str">
        <f>IF($C$9&gt;=47,$E33-$L$84,"")</f>
        <v/>
      </c>
      <c r="R51" s="17" t="str">
        <f>IF($C$9&gt;=47,$F33-$L$85,"")</f>
        <v/>
      </c>
      <c r="S51" s="18" t="str">
        <f>IF($C$9&gt;=47,(-$P$93/$C$9+($P$97*$L$86--$P$96*$L$89)/($L$86*$L$87-$L$89^2)*$Q51+(-$P$96*$L$87-$P$97*$L$89)/($L$86*$L$87-$L$89^2)*$R51),"")</f>
        <v/>
      </c>
      <c r="T51" s="18" t="str">
        <f>IF($C$9&gt;=47,((($P$94/$C$9+$P$98*-$R51/$L$88)^2+($P$95/$C$9+$P$98*$Q51/$L$88)^2)^(1/2)),"")</f>
        <v/>
      </c>
      <c r="AD51" s="8"/>
      <c r="AE51" s="8"/>
      <c r="AF51" s="8"/>
      <c r="AG51" s="8"/>
      <c r="AH51" s="8"/>
      <c r="AI51" s="8"/>
      <c r="AJ51" s="8"/>
      <c r="AK51" s="8"/>
      <c r="AL51" s="8"/>
      <c r="AM51" s="8"/>
    </row>
    <row r="52" spans="1:41" x14ac:dyDescent="0.25">
      <c r="A52" s="79"/>
      <c r="B52" s="106"/>
      <c r="C52" s="106"/>
      <c r="D52" s="106"/>
      <c r="E52" s="106"/>
      <c r="F52" s="106"/>
      <c r="G52" s="106"/>
      <c r="H52" s="106"/>
      <c r="I52" s="119" t="s">
        <v>105</v>
      </c>
      <c r="K52" s="9">
        <v>48</v>
      </c>
      <c r="L52" s="16" t="str">
        <f>IF($C$9&gt;=48,$F34-$L$85,"")</f>
        <v/>
      </c>
      <c r="M52" s="16" t="str">
        <f>IF($C$9&gt;=48,$E34-$L$84,"")</f>
        <v/>
      </c>
      <c r="N52" s="16" t="str">
        <f>IF($C$9&gt;=48,$L52^2,"")</f>
        <v/>
      </c>
      <c r="O52" s="16" t="str">
        <f>IF($C$9&gt;=48,$M52^2,"")</f>
        <v/>
      </c>
      <c r="P52" s="16" t="str">
        <f>IF($C$9&gt;=48,$L52*$M52,"")</f>
        <v/>
      </c>
      <c r="Q52" s="17" t="str">
        <f>IF($C$9&gt;=48,$E34-$L$84,"")</f>
        <v/>
      </c>
      <c r="R52" s="17" t="str">
        <f>IF($C$9&gt;=48,$F34-$L$85,"")</f>
        <v/>
      </c>
      <c r="S52" s="18" t="str">
        <f>IF($C$9&gt;=48,(-$P$93/$C$9+($P$97*$L$86--$P$96*$L$89)/($L$86*$L$87-$L$89^2)*$Q52+(-$P$96*$L$87-$P$97*$L$89)/($L$86*$L$87-$L$89^2)*$R52),"")</f>
        <v/>
      </c>
      <c r="T52" s="18" t="str">
        <f>IF($C$9&gt;=48,((($P$94/$C$9+$P$98*-$R52/$L$88)^2+($P$95/$C$9+$P$98*$Q52/$L$88)^2)^(1/2)),"")</f>
        <v/>
      </c>
      <c r="AD52" s="197" t="s">
        <v>181</v>
      </c>
      <c r="AE52" s="198"/>
      <c r="AF52" s="198"/>
      <c r="AG52" s="198"/>
      <c r="AH52" s="198"/>
      <c r="AI52" s="198"/>
      <c r="AJ52" s="92"/>
      <c r="AK52" s="92"/>
      <c r="AL52" s="92"/>
      <c r="AM52" s="92"/>
      <c r="AN52" s="92"/>
      <c r="AO52" s="92"/>
    </row>
    <row r="53" spans="1:41" x14ac:dyDescent="0.25">
      <c r="A53" s="100"/>
      <c r="B53" s="101"/>
      <c r="C53" s="101"/>
      <c r="D53" s="101"/>
      <c r="E53" s="101"/>
      <c r="F53" s="101"/>
      <c r="G53" s="101"/>
      <c r="H53" s="101"/>
      <c r="I53" s="55"/>
      <c r="K53" s="9">
        <v>49</v>
      </c>
      <c r="L53" s="16" t="str">
        <f>IF($C$9&gt;=49,$F35-$L$85,"")</f>
        <v/>
      </c>
      <c r="M53" s="16" t="str">
        <f>IF($C$9&gt;=49,$E35-$L$84,"")</f>
        <v/>
      </c>
      <c r="N53" s="16" t="str">
        <f>IF($C$9&gt;=49,$L53^2,"")</f>
        <v/>
      </c>
      <c r="O53" s="16" t="str">
        <f>IF($C$9&gt;=49,$M53^2,"")</f>
        <v/>
      </c>
      <c r="P53" s="16" t="str">
        <f>IF($C$9&gt;=49,$L53*$M53,"")</f>
        <v/>
      </c>
      <c r="Q53" s="17" t="str">
        <f>IF($C$9&gt;=49,$E35-$L$84,"")</f>
        <v/>
      </c>
      <c r="R53" s="17" t="str">
        <f>IF($C$9&gt;=49,$F35-$L$85,"")</f>
        <v/>
      </c>
      <c r="S53" s="18" t="str">
        <f>IF($C$9&gt;=49,(-$P$93/$C$9+($P$97*$L$86--$P$96*$L$89)/($L$86*$L$87-$L$89^2)*$Q53+(-$P$96*$L$87-$P$97*$L$89)/($L$86*$L$87-$L$89^2)*$R53),"")</f>
        <v/>
      </c>
      <c r="T53" s="18" t="str">
        <f>IF($C$9&gt;=49,((($P$94/$C$9+$P$98*-$R53/$L$88)^2+($P$95/$C$9+$P$98*$Q53/$L$88)^2)^(1/2)),"")</f>
        <v/>
      </c>
      <c r="AD53" s="201"/>
      <c r="AE53" s="201"/>
      <c r="AF53" s="201"/>
      <c r="AG53" s="201"/>
      <c r="AH53" s="201"/>
      <c r="AI53" s="201"/>
      <c r="AJ53" s="92"/>
      <c r="AK53" s="92"/>
      <c r="AL53" s="92"/>
      <c r="AM53" s="92"/>
      <c r="AN53" s="92"/>
      <c r="AO53" s="92"/>
    </row>
    <row r="54" spans="1:41" x14ac:dyDescent="0.25">
      <c r="A54" s="131" t="s">
        <v>41</v>
      </c>
      <c r="B54" s="81"/>
      <c r="C54" s="82"/>
      <c r="D54" s="82"/>
      <c r="E54" s="54"/>
      <c r="F54" s="54"/>
      <c r="G54" s="54"/>
      <c r="H54" s="83"/>
      <c r="I54" s="60"/>
      <c r="K54" s="9">
        <v>50</v>
      </c>
      <c r="L54" s="16" t="str">
        <f>IF($C$9&gt;=50,$F36-$L$85,"")</f>
        <v/>
      </c>
      <c r="M54" s="16" t="str">
        <f>IF($C$9&gt;=50,$E36-$L$84,"")</f>
        <v/>
      </c>
      <c r="N54" s="16" t="str">
        <f>IF($C$9&gt;=50,$L54^2,"")</f>
        <v/>
      </c>
      <c r="O54" s="16" t="str">
        <f>IF($C$9&gt;=50,$M54^2,"")</f>
        <v/>
      </c>
      <c r="P54" s="16" t="str">
        <f>IF($C$9&gt;=50,$L54*$M54,"")</f>
        <v/>
      </c>
      <c r="Q54" s="17" t="str">
        <f>IF($C$9&gt;=50,$E36-$L$84,"")</f>
        <v/>
      </c>
      <c r="R54" s="17" t="str">
        <f>IF($C$9&gt;=50,$F36-$L$85,"")</f>
        <v/>
      </c>
      <c r="S54" s="18" t="str">
        <f>IF($C$9&gt;=50,(-$P$93/$C$9+($P$97*$L$86--$P$96*$L$89)/($L$86*$L$87-$L$89^2)*$Q54+(-$P$96*$L$87-$P$97*$L$89)/($L$86*$L$87-$L$89^2)*$R54),"")</f>
        <v/>
      </c>
      <c r="T54" s="18" t="str">
        <f>IF($C$9&gt;=50,((($P$94/$C$9+$P$98*-$R54/$L$88)^2+($P$95/$C$9+$P$98*$Q54/$L$88)^2)^(1/2)),"")</f>
        <v/>
      </c>
      <c r="AD54" s="223" t="s">
        <v>236</v>
      </c>
      <c r="AE54" s="204"/>
      <c r="AF54" s="205"/>
      <c r="AG54" s="205"/>
      <c r="AH54" s="205"/>
      <c r="AI54" s="205"/>
      <c r="AJ54" s="92"/>
      <c r="AK54" s="92"/>
      <c r="AL54" s="92"/>
      <c r="AM54" s="92"/>
      <c r="AN54" s="92"/>
      <c r="AO54" s="92"/>
    </row>
    <row r="55" spans="1:41" x14ac:dyDescent="0.25">
      <c r="A55" s="102" t="s">
        <v>32</v>
      </c>
      <c r="B55" s="53"/>
      <c r="C55" s="53"/>
      <c r="D55" s="54"/>
      <c r="E55" s="54"/>
      <c r="F55" s="54"/>
      <c r="G55" s="54"/>
      <c r="H55" s="54"/>
      <c r="I55" s="60"/>
      <c r="K55" s="9">
        <v>51</v>
      </c>
      <c r="L55" s="16" t="str">
        <f>IF($C$9&gt;=51,$I12-$L$85,"")</f>
        <v/>
      </c>
      <c r="M55" s="16" t="str">
        <f>IF($C$9&gt;=51,$H12-$L$84,"")</f>
        <v/>
      </c>
      <c r="N55" s="16" t="str">
        <f>IF($C$9&gt;=51,$L55^2,"")</f>
        <v/>
      </c>
      <c r="O55" s="16" t="str">
        <f>IF($C$9&gt;=51,$M55^2,"")</f>
        <v/>
      </c>
      <c r="P55" s="16" t="str">
        <f>IF($C$9&gt;=51,$L55*$M55,"")</f>
        <v/>
      </c>
      <c r="Q55" s="17" t="str">
        <f>IF($C$9&gt;=51,$H12-$L$84,"")</f>
        <v/>
      </c>
      <c r="R55" s="17" t="str">
        <f>IF($C$9&gt;=51,$I12-$L$85,"")</f>
        <v/>
      </c>
      <c r="S55" s="18" t="str">
        <f>IF($C$9&gt;=51,(-$P$93/$C$9+($P$97*$L$86--$P$96*$L$89)/($L$86*$L$87-$L$89^2)*$Q55+(-$P$96*$L$87-$P$97*$L$89)/($L$86*$L$87-$L$89^2)*$R55),"")</f>
        <v/>
      </c>
      <c r="T55" s="18" t="str">
        <f>IF($C$9&gt;=51,((($P$94/$C$9+$P$98*-$R55/$L$88)^2+($P$95/$C$9+$P$98*$Q55/$L$88)^2)^(1/2)),"")</f>
        <v/>
      </c>
      <c r="AD55" s="241" t="s">
        <v>237</v>
      </c>
      <c r="AE55" s="204"/>
      <c r="AF55" s="202"/>
      <c r="AG55" s="202"/>
      <c r="AH55" s="202"/>
      <c r="AI55" s="202"/>
      <c r="AJ55" s="92"/>
      <c r="AK55" s="92"/>
      <c r="AL55" s="92"/>
      <c r="AM55" s="92"/>
      <c r="AN55" s="92"/>
      <c r="AO55" s="92"/>
    </row>
    <row r="56" spans="1:41" x14ac:dyDescent="0.25">
      <c r="A56" s="103" t="s">
        <v>5</v>
      </c>
      <c r="B56" s="149">
        <f t="shared" ref="B56:B62" si="0">$L84</f>
        <v>1.3716000000000004</v>
      </c>
      <c r="C56" s="116" t="s">
        <v>115</v>
      </c>
      <c r="D56" s="54"/>
      <c r="E56" s="54"/>
      <c r="F56" s="54"/>
      <c r="G56" s="54"/>
      <c r="H56" s="72"/>
      <c r="I56" s="60"/>
      <c r="K56" s="9">
        <v>52</v>
      </c>
      <c r="L56" s="16" t="str">
        <f>IF($C$9&gt;=52,$I13-$L$85,"")</f>
        <v/>
      </c>
      <c r="M56" s="16" t="str">
        <f>IF($C$9&gt;=52,$H13-$L$84,"")</f>
        <v/>
      </c>
      <c r="N56" s="16" t="str">
        <f>IF($C$9&gt;=52,$L56^2,"")</f>
        <v/>
      </c>
      <c r="O56" s="16" t="str">
        <f>IF($C$9&gt;=52,$M56^2,"")</f>
        <v/>
      </c>
      <c r="P56" s="16" t="str">
        <f>IF($C$9&gt;=52,$L56*$M56,"")</f>
        <v/>
      </c>
      <c r="Q56" s="17" t="str">
        <f>IF($C$9&gt;=52,$H13-$L$84,"")</f>
        <v/>
      </c>
      <c r="R56" s="17" t="str">
        <f>IF($C$9&gt;=52,$I13-$L$85,"")</f>
        <v/>
      </c>
      <c r="S56" s="18" t="str">
        <f>IF($C$9&gt;=52,(-$P$93/$C$9+($P$97*$L$86--$P$96*$L$89)/($L$86*$L$87-$L$89^2)*$Q56+(-$P$96*$L$87-$P$97*$L$89)/($L$86*$L$87-$L$89^2)*$R56),"")</f>
        <v/>
      </c>
      <c r="T56" s="18" t="str">
        <f>IF($C$9&gt;=52,((($P$94/$C$9+$P$98*-$R56/$L$88)^2+($P$95/$C$9+$P$98*$Q56/$L$88)^2)^(1/2)),"")</f>
        <v/>
      </c>
      <c r="AD56" s="200"/>
      <c r="AE56" s="200"/>
      <c r="AF56" s="200"/>
      <c r="AG56" s="200"/>
      <c r="AH56" s="200"/>
      <c r="AI56" s="200"/>
      <c r="AJ56" s="92"/>
      <c r="AK56" s="92"/>
      <c r="AL56" s="92"/>
      <c r="AM56" s="92"/>
      <c r="AN56" s="92"/>
      <c r="AO56" s="92"/>
    </row>
    <row r="57" spans="1:41" x14ac:dyDescent="0.25">
      <c r="A57" s="103" t="s">
        <v>6</v>
      </c>
      <c r="B57" s="150">
        <f t="shared" si="0"/>
        <v>4.1148000000000007</v>
      </c>
      <c r="C57" s="116" t="s">
        <v>115</v>
      </c>
      <c r="D57" s="54"/>
      <c r="E57" s="54"/>
      <c r="F57" s="54"/>
      <c r="G57" s="54"/>
      <c r="H57" s="54"/>
      <c r="I57" s="75"/>
      <c r="K57" s="9">
        <v>53</v>
      </c>
      <c r="L57" s="16" t="str">
        <f>IF($C$9&gt;=53,$I14-$L$85,"")</f>
        <v/>
      </c>
      <c r="M57" s="16" t="str">
        <f>IF($C$9&gt;=53,$H14-$L$84,"")</f>
        <v/>
      </c>
      <c r="N57" s="16" t="str">
        <f>IF($C$9&gt;=53,$L57^2,"")</f>
        <v/>
      </c>
      <c r="O57" s="16" t="str">
        <f>IF($C$9&gt;=53,$M57^2,"")</f>
        <v/>
      </c>
      <c r="P57" s="16" t="str">
        <f>IF($C$9&gt;=53,$L57*$M57,"")</f>
        <v/>
      </c>
      <c r="Q57" s="17" t="str">
        <f>IF($C$9&gt;=53,$H14-$L$84,"")</f>
        <v/>
      </c>
      <c r="R57" s="17" t="str">
        <f>IF($C$9&gt;=53,$I14-$L$85,"")</f>
        <v/>
      </c>
      <c r="S57" s="18" t="str">
        <f>IF($C$9&gt;=53,(-$P$93/$C$9+($P$97*$L$86--$P$96*$L$89)/($L$86*$L$87-$L$89^2)*$Q57+(-$P$96*$L$87-$P$97*$L$89)/($L$86*$L$87-$L$89^2)*$R57),"")</f>
        <v/>
      </c>
      <c r="T57" s="18" t="str">
        <f>IF($C$9&gt;=53,((($P$94/$C$9+$P$98*-$R57/$L$88)^2+($P$95/$C$9+$P$98*$Q57/$L$88)^2)^(1/2)),"")</f>
        <v/>
      </c>
      <c r="AD57" s="223" t="s">
        <v>191</v>
      </c>
      <c r="AE57" s="200"/>
      <c r="AF57" s="200"/>
      <c r="AG57" s="200"/>
      <c r="AH57" s="200"/>
      <c r="AI57" s="200"/>
      <c r="AJ57" s="92"/>
      <c r="AK57" s="92"/>
      <c r="AL57" s="92"/>
      <c r="AM57" s="92"/>
      <c r="AN57" s="92"/>
      <c r="AO57" s="92"/>
    </row>
    <row r="58" spans="1:41" x14ac:dyDescent="0.25">
      <c r="A58" s="104" t="s">
        <v>92</v>
      </c>
      <c r="B58" s="151">
        <f t="shared" si="0"/>
        <v>275.922020570401</v>
      </c>
      <c r="C58" s="117" t="s">
        <v>262</v>
      </c>
      <c r="D58" s="54"/>
      <c r="E58" s="54"/>
      <c r="F58" s="54"/>
      <c r="G58" s="74"/>
      <c r="H58" s="74"/>
      <c r="I58" s="75"/>
      <c r="K58" s="9">
        <v>54</v>
      </c>
      <c r="L58" s="16" t="str">
        <f>IF($C$9&gt;=54,$I15-$L$85,"")</f>
        <v/>
      </c>
      <c r="M58" s="16" t="str">
        <f>IF($C$9&gt;=54,$H15-$L$84,"")</f>
        <v/>
      </c>
      <c r="N58" s="16" t="str">
        <f>IF($C$9&gt;=54,$L58^2,"")</f>
        <v/>
      </c>
      <c r="O58" s="16" t="str">
        <f>IF($C$9&gt;=54,$M58^2,"")</f>
        <v/>
      </c>
      <c r="P58" s="16" t="str">
        <f>IF($C$9&gt;=54,$L58*$M58,"")</f>
        <v/>
      </c>
      <c r="Q58" s="17" t="str">
        <f>IF($C$9&gt;=54,$H15-$L$84,"")</f>
        <v/>
      </c>
      <c r="R58" s="17" t="str">
        <f>IF($C$9&gt;=54,$I15-$L$85,"")</f>
        <v/>
      </c>
      <c r="S58" s="18" t="str">
        <f>IF($C$9&gt;=54,(-$P$93/$C$9+($P$97*$L$86--$P$96*$L$89)/($L$86*$L$87-$L$89^2)*$Q58+(-$P$96*$L$87-$P$97*$L$89)/($L$86*$L$87-$L$89^2)*$R58),"")</f>
        <v/>
      </c>
      <c r="T58" s="18" t="str">
        <f>IF($C$9&gt;=54,((($P$94/$C$9+$P$98*-$R58/$L$88)^2+($P$95/$C$9+$P$98*$Q58/$L$88)^2)^(1/2)),"")</f>
        <v/>
      </c>
      <c r="AD58" s="202"/>
      <c r="AE58" s="206"/>
      <c r="AF58" s="199" t="s">
        <v>182</v>
      </c>
      <c r="AG58" s="207">
        <v>8</v>
      </c>
      <c r="AH58" s="200"/>
      <c r="AI58" s="200"/>
      <c r="AJ58" s="92"/>
      <c r="AK58" s="92"/>
      <c r="AL58" s="92"/>
      <c r="AM58" s="92"/>
      <c r="AN58" s="92"/>
      <c r="AO58" s="92"/>
    </row>
    <row r="59" spans="1:41" x14ac:dyDescent="0.25">
      <c r="A59" s="104" t="s">
        <v>93</v>
      </c>
      <c r="B59" s="151">
        <f t="shared" si="0"/>
        <v>41.806365256801037</v>
      </c>
      <c r="C59" s="117" t="s">
        <v>262</v>
      </c>
      <c r="D59" s="54"/>
      <c r="E59" s="54"/>
      <c r="F59" s="54"/>
      <c r="G59" s="74"/>
      <c r="H59" s="74"/>
      <c r="I59" s="60"/>
      <c r="K59" s="9">
        <v>55</v>
      </c>
      <c r="L59" s="16" t="str">
        <f>IF($C$9&gt;=55,$I16-$L$85,"")</f>
        <v/>
      </c>
      <c r="M59" s="16" t="str">
        <f>IF($C$9&gt;=55,$H16-$L$84,"")</f>
        <v/>
      </c>
      <c r="N59" s="16" t="str">
        <f>IF($C$9&gt;=55,$L59^2,"")</f>
        <v/>
      </c>
      <c r="O59" s="16" t="str">
        <f>IF($C$9&gt;=55,$M59^2,"")</f>
        <v/>
      </c>
      <c r="P59" s="16" t="str">
        <f>IF($C$9&gt;=55,$L59*$M59,"")</f>
        <v/>
      </c>
      <c r="Q59" s="17" t="str">
        <f>IF($C$9&gt;=55,$H16-$L$84,"")</f>
        <v/>
      </c>
      <c r="R59" s="17" t="str">
        <f>IF($C$9&gt;=55,$I16-$L$85,"")</f>
        <v/>
      </c>
      <c r="S59" s="18" t="str">
        <f>IF($C$9&gt;=55,(-$P$93/$C$9+($P$97*$L$86--$P$96*$L$89)/($L$86*$L$87-$L$89^2)*$Q59+(-$P$96*$L$87-$P$97*$L$89)/($L$86*$L$87-$L$89^2)*$R59),"")</f>
        <v/>
      </c>
      <c r="T59" s="18" t="str">
        <f>IF($C$9&gt;=55,((($P$94/$C$9+$P$98*-$R59/$L$88)^2+($P$95/$C$9+$P$98*$Q59/$L$88)^2)^(1/2)),"")</f>
        <v/>
      </c>
      <c r="AD59" s="202"/>
      <c r="AE59" s="200"/>
      <c r="AF59" s="208" t="s">
        <v>183</v>
      </c>
      <c r="AG59" s="209">
        <v>8</v>
      </c>
      <c r="AH59" s="210" t="s">
        <v>115</v>
      </c>
      <c r="AI59" s="200"/>
      <c r="AJ59" s="92"/>
      <c r="AK59" s="92"/>
      <c r="AL59" s="92"/>
      <c r="AM59" s="92"/>
      <c r="AN59" s="92"/>
      <c r="AO59" s="92"/>
    </row>
    <row r="60" spans="1:41" x14ac:dyDescent="0.25">
      <c r="A60" s="104" t="s">
        <v>22</v>
      </c>
      <c r="B60" s="151">
        <f t="shared" si="0"/>
        <v>317.72838582720203</v>
      </c>
      <c r="C60" s="117" t="s">
        <v>262</v>
      </c>
      <c r="D60" s="54"/>
      <c r="E60" s="54"/>
      <c r="F60" s="54"/>
      <c r="G60" s="74"/>
      <c r="H60" s="54"/>
      <c r="I60" s="60"/>
      <c r="K60" s="9">
        <v>56</v>
      </c>
      <c r="L60" s="16" t="str">
        <f>IF($C$9&gt;=56,$I17-$L$85,"")</f>
        <v/>
      </c>
      <c r="M60" s="16" t="str">
        <f>IF($C$9&gt;=56,$H17-$L$84,"")</f>
        <v/>
      </c>
      <c r="N60" s="16" t="str">
        <f>IF($C$9&gt;=56,$L60^2,"")</f>
        <v/>
      </c>
      <c r="O60" s="16" t="str">
        <f>IF($C$9&gt;=56,$M60^2,"")</f>
        <v/>
      </c>
      <c r="P60" s="16" t="str">
        <f>IF($C$9&gt;=56,$L60*$M60,"")</f>
        <v/>
      </c>
      <c r="Q60" s="17" t="str">
        <f>IF($C$9&gt;=56,$H17-$L$84,"")</f>
        <v/>
      </c>
      <c r="R60" s="17" t="str">
        <f>IF($C$9&gt;=56,$I17-$L$85,"")</f>
        <v/>
      </c>
      <c r="S60" s="18" t="str">
        <f>IF($C$9&gt;=56,(-$P$93/$C$9+($P$97*$L$86--$P$96*$L$89)/($L$86*$L$87-$L$89^2)*$Q60+(-$P$96*$L$87-$P$97*$L$89)/($L$86*$L$87-$L$89^2)*$R60),"")</f>
        <v/>
      </c>
      <c r="T60" s="18" t="str">
        <f>IF($C$9&gt;=56,((($P$94/$C$9+$P$98*-$R60/$L$88)^2+($P$95/$C$9+$P$98*$Q60/$L$88)^2)^(1/2)),"")</f>
        <v/>
      </c>
      <c r="AD60" s="200"/>
      <c r="AE60" s="200"/>
      <c r="AF60" s="208" t="s">
        <v>175</v>
      </c>
      <c r="AG60" s="209">
        <v>4</v>
      </c>
      <c r="AH60" s="210" t="s">
        <v>115</v>
      </c>
      <c r="AI60" s="225" t="str">
        <f>IF($AG$60&lt;$AG$59/2,"Xo MUST BE &gt;= Dc/2","")</f>
        <v/>
      </c>
      <c r="AJ60" s="92"/>
      <c r="AK60" s="92"/>
      <c r="AL60" s="92"/>
      <c r="AM60" s="92"/>
      <c r="AN60" s="92"/>
      <c r="AO60" s="92"/>
    </row>
    <row r="61" spans="1:41" x14ac:dyDescent="0.25">
      <c r="A61" s="104" t="s">
        <v>94</v>
      </c>
      <c r="B61" s="151">
        <f t="shared" si="0"/>
        <v>0</v>
      </c>
      <c r="C61" s="117" t="s">
        <v>262</v>
      </c>
      <c r="D61" s="54"/>
      <c r="E61" s="54"/>
      <c r="F61" s="54"/>
      <c r="G61" s="54"/>
      <c r="H61" s="54"/>
      <c r="I61" s="60"/>
      <c r="K61" s="9">
        <v>57</v>
      </c>
      <c r="L61" s="16" t="str">
        <f>IF($C$9&gt;=57,$I18-$L$85,"")</f>
        <v/>
      </c>
      <c r="M61" s="16" t="str">
        <f>IF($C$9&gt;=57,$H18-$L$84,"")</f>
        <v/>
      </c>
      <c r="N61" s="16" t="str">
        <f>IF($C$9&gt;=57,$L61^2,"")</f>
        <v/>
      </c>
      <c r="O61" s="16" t="str">
        <f>IF($C$9&gt;=57,$M61^2,"")</f>
        <v/>
      </c>
      <c r="P61" s="16" t="str">
        <f>IF($C$9&gt;=57,$L61*$M61,"")</f>
        <v/>
      </c>
      <c r="Q61" s="17" t="str">
        <f>IF($C$9&gt;=57,$H18-$L$84,"")</f>
        <v/>
      </c>
      <c r="R61" s="17" t="str">
        <f>IF($C$9&gt;=57,$I18-$L$85,"")</f>
        <v/>
      </c>
      <c r="S61" s="18" t="str">
        <f>IF($C$9&gt;=57,(-$P$93/$C$9+($P$97*$L$86--$P$96*$L$89)/($L$86*$L$87-$L$89^2)*$Q61+(-$P$96*$L$87-$P$97*$L$89)/($L$86*$L$87-$L$89^2)*$R61),"")</f>
        <v/>
      </c>
      <c r="T61" s="18" t="str">
        <f>IF($C$9&gt;=57,((($P$94/$C$9+$P$98*-$R61/$L$88)^2+($P$95/$C$9+$P$98*$Q61/$L$88)^2)^(1/2)),"")</f>
        <v/>
      </c>
      <c r="AD61" s="200"/>
      <c r="AE61" s="200"/>
      <c r="AF61" s="208" t="s">
        <v>176</v>
      </c>
      <c r="AG61" s="209">
        <v>4</v>
      </c>
      <c r="AH61" s="210" t="s">
        <v>115</v>
      </c>
      <c r="AI61" s="225" t="str">
        <f>IF($AG$61&lt;$AG$59/2,"Yo MUST BE &gt;= Dc/2","")</f>
        <v/>
      </c>
      <c r="AJ61" s="92"/>
      <c r="AK61" s="92"/>
      <c r="AL61" s="92"/>
      <c r="AM61" s="92"/>
      <c r="AN61" s="92"/>
      <c r="AO61" s="92"/>
    </row>
    <row r="62" spans="1:41" x14ac:dyDescent="0.25">
      <c r="A62" s="105" t="s">
        <v>43</v>
      </c>
      <c r="B62" s="156">
        <f t="shared" si="0"/>
        <v>0</v>
      </c>
      <c r="C62" s="117" t="s">
        <v>44</v>
      </c>
      <c r="D62" s="54"/>
      <c r="E62" s="54"/>
      <c r="F62" s="54"/>
      <c r="G62" s="54"/>
      <c r="H62" s="54"/>
      <c r="I62" s="60"/>
      <c r="K62" s="9">
        <v>58</v>
      </c>
      <c r="L62" s="16" t="str">
        <f>IF($C$9&gt;=58,$I19-$L$85,"")</f>
        <v/>
      </c>
      <c r="M62" s="16" t="str">
        <f>IF($C$9&gt;=58,$H19-$L$84,"")</f>
        <v/>
      </c>
      <c r="N62" s="16" t="str">
        <f>IF($C$9&gt;=58,$L62^2,"")</f>
        <v/>
      </c>
      <c r="O62" s="16" t="str">
        <f>IF($C$9&gt;=58,$M62^2,"")</f>
        <v/>
      </c>
      <c r="P62" s="16" t="str">
        <f>IF($C$9&gt;=58,$L62*$M62,"")</f>
        <v/>
      </c>
      <c r="Q62" s="17" t="str">
        <f>IF($C$9&gt;=58,$H19-$L$84,"")</f>
        <v/>
      </c>
      <c r="R62" s="17" t="str">
        <f>IF($C$9&gt;=58,$I19-$L$85,"")</f>
        <v/>
      </c>
      <c r="S62" s="18" t="str">
        <f>IF($C$9&gt;=58,(-$P$93/$C$9+($P$97*$L$86--$P$96*$L$89)/($L$86*$L$87-$L$89^2)*$Q62+(-$P$96*$L$87-$P$97*$L$89)/($L$86*$L$87-$L$89^2)*$R62),"")</f>
        <v/>
      </c>
      <c r="T62" s="18" t="str">
        <f>IF($C$9&gt;=58,((($P$94/$C$9+$P$98*-$R62/$L$88)^2+($P$95/$C$9+$P$98*$Q62/$L$88)^2)^(1/2)),"")</f>
        <v/>
      </c>
      <c r="AD62" s="200"/>
      <c r="AE62" s="200"/>
      <c r="AF62" s="211" t="s">
        <v>184</v>
      </c>
      <c r="AG62" s="212">
        <v>0</v>
      </c>
      <c r="AH62" s="210" t="s">
        <v>44</v>
      </c>
      <c r="AI62" s="200"/>
      <c r="AJ62" s="92"/>
      <c r="AK62" s="92"/>
      <c r="AL62" s="92"/>
      <c r="AM62" s="92"/>
      <c r="AN62" s="92"/>
      <c r="AO62" s="92"/>
    </row>
    <row r="63" spans="1:41" x14ac:dyDescent="0.25">
      <c r="A63" s="48"/>
      <c r="B63" s="54"/>
      <c r="C63" s="54"/>
      <c r="D63" s="54"/>
      <c r="E63" s="54"/>
      <c r="F63" s="54"/>
      <c r="G63" s="54"/>
      <c r="H63" s="54"/>
      <c r="I63" s="60"/>
      <c r="K63" s="9">
        <v>59</v>
      </c>
      <c r="L63" s="16" t="str">
        <f>IF($C$9&gt;=59,$I20-$L$85,"")</f>
        <v/>
      </c>
      <c r="M63" s="16" t="str">
        <f>IF($C$9&gt;=59,$H20-$L$84,"")</f>
        <v/>
      </c>
      <c r="N63" s="16" t="str">
        <f>IF($C$9&gt;=59,$L63^2,"")</f>
        <v/>
      </c>
      <c r="O63" s="16" t="str">
        <f>IF($C$9&gt;=59,$M63^2,"")</f>
        <v/>
      </c>
      <c r="P63" s="16" t="str">
        <f>IF($C$9&gt;=59,$L63*$M63,"")</f>
        <v/>
      </c>
      <c r="Q63" s="17" t="str">
        <f>IF($C$9&gt;=59,$H20-$L$84,"")</f>
        <v/>
      </c>
      <c r="R63" s="17" t="str">
        <f>IF($C$9&gt;=59,$I20-$L$85,"")</f>
        <v/>
      </c>
      <c r="S63" s="18" t="str">
        <f>IF($C$9&gt;=59,(-$P$93/$C$9+($P$97*$L$86--$P$96*$L$89)/($L$86*$L$87-$L$89^2)*$Q63+(-$P$96*$L$87-$P$97*$L$89)/($L$86*$L$87-$L$89^2)*$R63),"")</f>
        <v/>
      </c>
      <c r="T63" s="18" t="str">
        <f>IF($C$9&gt;=59,((($P$94/$C$9+$P$98*-$R63/$L$88)^2+($P$95/$C$9+$P$98*$Q63/$L$88)^2)^(1/2)),"")</f>
        <v/>
      </c>
      <c r="AD63" s="200"/>
      <c r="AE63" s="200"/>
      <c r="AF63" s="200"/>
      <c r="AG63" s="200"/>
      <c r="AH63" s="200"/>
      <c r="AI63" s="200"/>
      <c r="AJ63" s="92"/>
      <c r="AK63" s="92"/>
      <c r="AL63" s="92"/>
      <c r="AM63" s="92"/>
      <c r="AN63" s="92"/>
      <c r="AO63" s="92"/>
    </row>
    <row r="64" spans="1:41" x14ac:dyDescent="0.25">
      <c r="A64" s="135" t="s">
        <v>112</v>
      </c>
      <c r="B64" s="53"/>
      <c r="C64" s="53"/>
      <c r="D64" s="53"/>
      <c r="E64" s="88"/>
      <c r="F64" s="54"/>
      <c r="G64" s="54"/>
      <c r="H64" s="54"/>
      <c r="I64" s="60"/>
      <c r="K64" s="9">
        <v>60</v>
      </c>
      <c r="L64" s="16" t="str">
        <f>IF($C$9&gt;=60,$I21-$L$85,"")</f>
        <v/>
      </c>
      <c r="M64" s="16" t="str">
        <f>IF($C$9&gt;=60,$H21-$L$84,"")</f>
        <v/>
      </c>
      <c r="N64" s="16" t="str">
        <f>IF($C$9&gt;=60,$L64^2,"")</f>
        <v/>
      </c>
      <c r="O64" s="16" t="str">
        <f>IF($C$9&gt;=60,$M64^2,"")</f>
        <v/>
      </c>
      <c r="P64" s="16" t="str">
        <f>IF($C$9&gt;=60,$L64*$M64,"")</f>
        <v/>
      </c>
      <c r="Q64" s="17" t="str">
        <f>IF($C$9&gt;=60,$H21-$L$84,"")</f>
        <v/>
      </c>
      <c r="R64" s="17" t="str">
        <f>IF($C$9&gt;=60,$I21-$L$85,"")</f>
        <v/>
      </c>
      <c r="S64" s="18" t="str">
        <f>IF($C$9&gt;=60,(-$P$93/$C$9+($P$97*$L$86--$P$96*$L$89)/($L$86*$L$87-$L$89^2)*$Q64+(-$P$96*$L$87-$P$97*$L$89)/($L$86*$L$87-$L$89^2)*$R64),"")</f>
        <v/>
      </c>
      <c r="T64" s="18" t="str">
        <f>IF($C$9&gt;=60,((($P$94/$C$9+$P$98*-$R64/$L$88)^2+($P$95/$C$9+$P$98*$Q64/$L$88)^2)^(1/2)),"")</f>
        <v/>
      </c>
      <c r="AD64" s="196"/>
      <c r="AE64" s="201"/>
      <c r="AF64" s="213" t="s">
        <v>53</v>
      </c>
      <c r="AG64" s="214"/>
      <c r="AH64" s="226"/>
      <c r="AI64" s="213" t="s">
        <v>53</v>
      </c>
      <c r="AJ64" s="214"/>
      <c r="AK64" s="226"/>
      <c r="AL64" s="213" t="s">
        <v>53</v>
      </c>
      <c r="AM64" s="214"/>
      <c r="AN64" s="92"/>
      <c r="AO64" s="92"/>
    </row>
    <row r="65" spans="1:41" x14ac:dyDescent="0.25">
      <c r="A65" s="105" t="s">
        <v>35</v>
      </c>
      <c r="B65" s="143">
        <f t="shared" ref="B65:B70" si="1">$P93</f>
        <v>-13344.666000000001</v>
      </c>
      <c r="C65" s="117" t="s">
        <v>114</v>
      </c>
      <c r="D65" s="54"/>
      <c r="E65" s="53"/>
      <c r="F65" s="53"/>
      <c r="G65" s="54"/>
      <c r="H65" s="53"/>
      <c r="I65" s="64"/>
      <c r="K65" s="9">
        <v>61</v>
      </c>
      <c r="L65" s="16" t="str">
        <f>IF($C$9&gt;=61,$I22-$L$85,"")</f>
        <v/>
      </c>
      <c r="M65" s="16" t="str">
        <f>IF($C$9&gt;=61,$H22-$L$84,"")</f>
        <v/>
      </c>
      <c r="N65" s="16" t="str">
        <f>IF($C$9&gt;=61,$L65^2,"")</f>
        <v/>
      </c>
      <c r="O65" s="16" t="str">
        <f>IF($C$9&gt;=61,$M65^2,"")</f>
        <v/>
      </c>
      <c r="P65" s="16" t="str">
        <f>IF($C$9&gt;=61,$L65*$M65,"")</f>
        <v/>
      </c>
      <c r="Q65" s="17" t="str">
        <f>IF($C$9&gt;=61,$H22-$L$84,"")</f>
        <v/>
      </c>
      <c r="R65" s="17" t="str">
        <f>IF($C$9&gt;=61,$I22-$L$85,"")</f>
        <v/>
      </c>
      <c r="S65" s="18" t="str">
        <f>IF($C$9&gt;=61,(-$P$93/$C$9+($P$97*$L$86--$P$96*$L$89)/($L$86*$L$87-$L$89^2)*$Q65+(-$P$96*$L$87-$P$97*$L$89)/($L$86*$L$87-$L$89^2)*$R65),"")</f>
        <v/>
      </c>
      <c r="T65" s="18" t="str">
        <f>IF($C$9&gt;=61,((($P$94/$C$9+$P$98*-$R65/$L$88)^2+($P$95/$C$9+$P$98*$Q65/$L$88)^2)^(1/2)),"")</f>
        <v/>
      </c>
      <c r="AD65" s="196"/>
      <c r="AE65" s="201"/>
      <c r="AF65" s="195" t="s">
        <v>192</v>
      </c>
      <c r="AG65" s="195" t="s">
        <v>193</v>
      </c>
      <c r="AH65" s="202"/>
      <c r="AI65" s="195" t="s">
        <v>192</v>
      </c>
      <c r="AJ65" s="195" t="s">
        <v>193</v>
      </c>
      <c r="AK65" s="92"/>
      <c r="AL65" s="195" t="s">
        <v>192</v>
      </c>
      <c r="AM65" s="195" t="s">
        <v>193</v>
      </c>
      <c r="AN65" s="92"/>
      <c r="AO65" s="92"/>
    </row>
    <row r="66" spans="1:41" x14ac:dyDescent="0.25">
      <c r="A66" s="105" t="s">
        <v>36</v>
      </c>
      <c r="B66" s="147">
        <f t="shared" si="1"/>
        <v>-177.92888000000002</v>
      </c>
      <c r="C66" s="117" t="s">
        <v>114</v>
      </c>
      <c r="D66" s="54"/>
      <c r="E66" s="77"/>
      <c r="F66" s="77"/>
      <c r="G66" s="54"/>
      <c r="H66" s="77"/>
      <c r="I66" s="98"/>
      <c r="K66" s="9">
        <v>62</v>
      </c>
      <c r="L66" s="16" t="str">
        <f>IF($C$9&gt;=62,$I23-$L$85,"")</f>
        <v/>
      </c>
      <c r="M66" s="16" t="str">
        <f>IF($C$9&gt;=62,$H23-$L$84,"")</f>
        <v/>
      </c>
      <c r="N66" s="16" t="str">
        <f>IF($C$9&gt;=62,$L66^2,"")</f>
        <v/>
      </c>
      <c r="O66" s="16" t="str">
        <f>IF($C$9&gt;=62,$M66^2,"")</f>
        <v/>
      </c>
      <c r="P66" s="16" t="str">
        <f>IF($C$9&gt;=62,$L66*$M66,"")</f>
        <v/>
      </c>
      <c r="Q66" s="17" t="str">
        <f>IF($C$9&gt;=62,$H23-$L$84,"")</f>
        <v/>
      </c>
      <c r="R66" s="17" t="str">
        <f>IF($C$9&gt;=62,$I23-$L$85,"")</f>
        <v/>
      </c>
      <c r="S66" s="18" t="str">
        <f>IF($C$9&gt;=62,(-$P$93/$C$9+($P$97*$L$86--$P$96*$L$89)/($L$86*$L$87-$L$89^2)*$Q66+(-$P$96*$L$87-$P$97*$L$89)/($L$86*$L$87-$L$89^2)*$R66),"")</f>
        <v/>
      </c>
      <c r="T66" s="18" t="str">
        <f>IF($C$9&gt;=62,((($P$94/$C$9+$P$98*-$R66/$L$88)^2+($P$95/$C$9+$P$98*$Q66/$L$88)^2)^(1/2)),"")</f>
        <v/>
      </c>
      <c r="AD66" s="208"/>
      <c r="AE66" s="215">
        <f>IF($AG$58&gt;=1,1,"")</f>
        <v>1</v>
      </c>
      <c r="AF66" s="216">
        <f t="shared" ref="AF66:AF90" si="2">IF($AE66&lt;&gt;"",$AG$60+($AG$59)*COS( PI()/180*($AG$62+($AE66-1)*360/$AG$58))/2,"")</f>
        <v>8</v>
      </c>
      <c r="AG66" s="216">
        <f t="shared" ref="AG66:AG90" si="3">IF($AE66&lt;&gt;"",$AG$61+($AG$59)*SIN( PI()/180*($AG$62+($AE66-1)*360/$AG$58))/2,"")</f>
        <v>4</v>
      </c>
      <c r="AH66" s="215" t="str">
        <f>IF($AG$58&gt;=26,26,"")</f>
        <v/>
      </c>
      <c r="AI66" s="216" t="str">
        <f t="shared" ref="AI66:AI90" si="4">IF($AH66&lt;&gt;"",$AG$60+($AG$59)*COS( PI()/180*($AG$62+($AH66-1)*360/$AG$58))/2,"")</f>
        <v/>
      </c>
      <c r="AJ66" s="216" t="str">
        <f t="shared" ref="AJ66:AJ90" si="5">IF($AH66&lt;&gt;"",$AG$61+($AG$59)*SIN( PI()/180*($AG$62+($AH66-1)*360/$AG$58))/2,"")</f>
        <v/>
      </c>
      <c r="AK66" s="215" t="str">
        <f>IF($AG$58&gt;=51,51,"")</f>
        <v/>
      </c>
      <c r="AL66" s="216" t="str">
        <f t="shared" ref="AL66:AL90" si="6">IF($AK66&lt;&gt;"",$AG$60+($AG$59)*COS( PI()/180*($AG$62+($AK66-1)*360/$AG$58))/2,"")</f>
        <v/>
      </c>
      <c r="AM66" s="216" t="str">
        <f t="shared" ref="AM66:AM90" si="7">IF($AK66&lt;&gt;"",$AG$61+($AG$59)*SIN( PI()/180*($AG$62+($AK66-1)*360/$AG$58))/2,"")</f>
        <v/>
      </c>
      <c r="AN66" s="202"/>
      <c r="AO66" s="202"/>
    </row>
    <row r="67" spans="1:41" x14ac:dyDescent="0.25">
      <c r="A67" s="105" t="s">
        <v>37</v>
      </c>
      <c r="B67" s="147">
        <f t="shared" si="1"/>
        <v>-266.89332000000002</v>
      </c>
      <c r="C67" s="117" t="s">
        <v>114</v>
      </c>
      <c r="D67" s="54"/>
      <c r="E67" s="81"/>
      <c r="F67" s="81"/>
      <c r="G67" s="54"/>
      <c r="H67" s="81"/>
      <c r="I67" s="66"/>
      <c r="K67" s="9">
        <v>63</v>
      </c>
      <c r="L67" s="16" t="str">
        <f>IF($C$9&gt;=63,$I24-$L$85,"")</f>
        <v/>
      </c>
      <c r="M67" s="16" t="str">
        <f>IF($C$9&gt;=63,$H24-$L$84,"")</f>
        <v/>
      </c>
      <c r="N67" s="16" t="str">
        <f>IF($C$9&gt;=63,$L67^2,"")</f>
        <v/>
      </c>
      <c r="O67" s="16" t="str">
        <f>IF($C$9&gt;=63,$M67^2,"")</f>
        <v/>
      </c>
      <c r="P67" s="16" t="str">
        <f>IF($C$9&gt;=63,$L67*$M67,"")</f>
        <v/>
      </c>
      <c r="Q67" s="17" t="str">
        <f>IF($C$9&gt;=63,$H24-$L$84,"")</f>
        <v/>
      </c>
      <c r="R67" s="17" t="str">
        <f>IF($C$9&gt;=63,$I24-$L$85,"")</f>
        <v/>
      </c>
      <c r="S67" s="18" t="str">
        <f>IF($C$9&gt;=63,(-$P$93/$C$9+($P$97*$L$86--$P$96*$L$89)/($L$86*$L$87-$L$89^2)*$Q67+(-$P$96*$L$87-$P$97*$L$89)/($L$86*$L$87-$L$89^2)*$R67),"")</f>
        <v/>
      </c>
      <c r="T67" s="18" t="str">
        <f>IF($C$9&gt;=63,((($P$94/$C$9+$P$98*-$R67/$L$88)^2+($P$95/$C$9+$P$98*$Q67/$L$88)^2)^(1/2)),"")</f>
        <v/>
      </c>
      <c r="AD67" s="208"/>
      <c r="AE67" s="215">
        <f>IF($AG$58&gt;=2,2,"")</f>
        <v>2</v>
      </c>
      <c r="AF67" s="217">
        <f t="shared" si="2"/>
        <v>6.8284271247461898</v>
      </c>
      <c r="AG67" s="217">
        <f t="shared" si="3"/>
        <v>6.8284271247461898</v>
      </c>
      <c r="AH67" s="215" t="str">
        <f>IF($AG$58&gt;=27,27,"")</f>
        <v/>
      </c>
      <c r="AI67" s="217" t="str">
        <f t="shared" si="4"/>
        <v/>
      </c>
      <c r="AJ67" s="217" t="str">
        <f t="shared" si="5"/>
        <v/>
      </c>
      <c r="AK67" s="215" t="str">
        <f>IF($AG$58&gt;=52,52,"")</f>
        <v/>
      </c>
      <c r="AL67" s="217" t="str">
        <f t="shared" si="6"/>
        <v/>
      </c>
      <c r="AM67" s="217" t="str">
        <f t="shared" si="7"/>
        <v/>
      </c>
      <c r="AN67" s="202"/>
      <c r="AO67" s="202"/>
    </row>
    <row r="68" spans="1:41" x14ac:dyDescent="0.25">
      <c r="A68" s="105" t="s">
        <v>38</v>
      </c>
      <c r="B68" s="147">
        <f t="shared" si="1"/>
        <v>677.91</v>
      </c>
      <c r="C68" s="117" t="s">
        <v>116</v>
      </c>
      <c r="D68" s="54"/>
      <c r="E68" s="54"/>
      <c r="F68" s="54"/>
      <c r="G68" s="54"/>
      <c r="H68" s="54"/>
      <c r="I68" s="60"/>
      <c r="K68" s="9">
        <v>64</v>
      </c>
      <c r="L68" s="16" t="str">
        <f>IF($C$9&gt;=64,$I25-$L$85,"")</f>
        <v/>
      </c>
      <c r="M68" s="16" t="str">
        <f>IF($C$9&gt;=64,$H25-$L$84,"")</f>
        <v/>
      </c>
      <c r="N68" s="16" t="str">
        <f>IF($C$9&gt;=64,$L68^2,"")</f>
        <v/>
      </c>
      <c r="O68" s="16" t="str">
        <f>IF($C$9&gt;=64,$M68^2,"")</f>
        <v/>
      </c>
      <c r="P68" s="16" t="str">
        <f>IF($C$9&gt;=64,$L68*$M68,"")</f>
        <v/>
      </c>
      <c r="Q68" s="17" t="str">
        <f>IF($C$9&gt;=64,$H25-$L$84,"")</f>
        <v/>
      </c>
      <c r="R68" s="17" t="str">
        <f>IF($C$9&gt;=64,$I25-$L$85,"")</f>
        <v/>
      </c>
      <c r="S68" s="18" t="str">
        <f>IF($C$9&gt;=64,(-$P$93/$C$9+($P$97*$L$86--$P$96*$L$89)/($L$86*$L$87-$L$89^2)*$Q68+(-$P$96*$L$87-$P$97*$L$89)/($L$86*$L$87-$L$89^2)*$R68),"")</f>
        <v/>
      </c>
      <c r="T68" s="18" t="str">
        <f>IF($C$9&gt;=64,((($P$94/$C$9+$P$98*-$R68/$L$88)^2+($P$95/$C$9+$P$98*$Q68/$L$88)^2)^(1/2)),"")</f>
        <v/>
      </c>
      <c r="AD68" s="208"/>
      <c r="AE68" s="215">
        <f>IF($AG$58&gt;=3,3,"")</f>
        <v>3</v>
      </c>
      <c r="AF68" s="217">
        <f t="shared" si="2"/>
        <v>4</v>
      </c>
      <c r="AG68" s="217">
        <f t="shared" si="3"/>
        <v>8</v>
      </c>
      <c r="AH68" s="215" t="str">
        <f>IF($AG$58&gt;=28,28,"")</f>
        <v/>
      </c>
      <c r="AI68" s="217" t="str">
        <f t="shared" si="4"/>
        <v/>
      </c>
      <c r="AJ68" s="217" t="str">
        <f t="shared" si="5"/>
        <v/>
      </c>
      <c r="AK68" s="215" t="str">
        <f>IF($AG$58&gt;=53,53,"")</f>
        <v/>
      </c>
      <c r="AL68" s="217" t="str">
        <f t="shared" si="6"/>
        <v/>
      </c>
      <c r="AM68" s="217" t="str">
        <f t="shared" si="7"/>
        <v/>
      </c>
      <c r="AN68" s="202"/>
      <c r="AO68" s="202"/>
    </row>
    <row r="69" spans="1:41" x14ac:dyDescent="0.25">
      <c r="A69" s="105" t="s">
        <v>39</v>
      </c>
      <c r="B69" s="147">
        <f t="shared" si="1"/>
        <v>-677.91</v>
      </c>
      <c r="C69" s="117" t="s">
        <v>116</v>
      </c>
      <c r="D69" s="54"/>
      <c r="E69" s="54"/>
      <c r="F69" s="54"/>
      <c r="G69" s="54"/>
      <c r="H69" s="54"/>
      <c r="I69" s="60"/>
      <c r="K69" s="9">
        <v>65</v>
      </c>
      <c r="L69" s="16" t="str">
        <f>IF($C$9&gt;=65,$I26-$L$85,"")</f>
        <v/>
      </c>
      <c r="M69" s="16" t="str">
        <f>IF($C$9&gt;=65,$H26-$L$84,"")</f>
        <v/>
      </c>
      <c r="N69" s="16" t="str">
        <f>IF($C$9&gt;=65,$L69^2,"")</f>
        <v/>
      </c>
      <c r="O69" s="16" t="str">
        <f>IF($C$9&gt;=65,$M69^2,"")</f>
        <v/>
      </c>
      <c r="P69" s="16" t="str">
        <f>IF($C$9&gt;=65,$L69*$M69,"")</f>
        <v/>
      </c>
      <c r="Q69" s="17" t="str">
        <f>IF($C$9&gt;=65,$H26-$L$84,"")</f>
        <v/>
      </c>
      <c r="R69" s="17" t="str">
        <f>IF($C$9&gt;=65,$I26-$L$85,"")</f>
        <v/>
      </c>
      <c r="S69" s="18" t="str">
        <f>IF($C$9&gt;=65,(-$P$93/$C$9+($P$97*$L$86--$P$96*$L$89)/($L$86*$L$87-$L$89^2)*$Q69+(-$P$96*$L$87-$P$97*$L$89)/($L$86*$L$87-$L$89^2)*$R69),"")</f>
        <v/>
      </c>
      <c r="T69" s="18" t="str">
        <f>IF($C$9&gt;=65,((($P$94/$C$9+$P$98*-$R69/$L$88)^2+($P$95/$C$9+$P$98*$Q69/$L$88)^2)^(1/2)),"")</f>
        <v/>
      </c>
      <c r="AD69" s="208"/>
      <c r="AE69" s="215">
        <f>IF($AG$58&gt;=4,4,"")</f>
        <v>4</v>
      </c>
      <c r="AF69" s="217">
        <f t="shared" si="2"/>
        <v>1.1715728752538102</v>
      </c>
      <c r="AG69" s="217">
        <f t="shared" si="3"/>
        <v>6.8284271247461898</v>
      </c>
      <c r="AH69" s="215" t="str">
        <f>IF($AG$58&gt;=29,29,"")</f>
        <v/>
      </c>
      <c r="AI69" s="217" t="str">
        <f t="shared" si="4"/>
        <v/>
      </c>
      <c r="AJ69" s="217" t="str">
        <f t="shared" si="5"/>
        <v/>
      </c>
      <c r="AK69" s="215" t="str">
        <f>IF($AG$58&gt;=54,54,"")</f>
        <v/>
      </c>
      <c r="AL69" s="217" t="str">
        <f t="shared" si="6"/>
        <v/>
      </c>
      <c r="AM69" s="217" t="str">
        <f t="shared" si="7"/>
        <v/>
      </c>
      <c r="AN69" s="202"/>
      <c r="AO69" s="202"/>
    </row>
    <row r="70" spans="1:41" x14ac:dyDescent="0.25">
      <c r="A70" s="105" t="s">
        <v>40</v>
      </c>
      <c r="B70" s="154">
        <f t="shared" si="1"/>
        <v>0</v>
      </c>
      <c r="C70" s="117" t="s">
        <v>116</v>
      </c>
      <c r="D70" s="54"/>
      <c r="E70" s="54"/>
      <c r="F70" s="54"/>
      <c r="G70" s="54"/>
      <c r="H70" s="54"/>
      <c r="I70" s="60"/>
      <c r="K70" s="9">
        <v>66</v>
      </c>
      <c r="L70" s="16" t="str">
        <f>IF($C$9&gt;=66,$I27-$L$85,"")</f>
        <v/>
      </c>
      <c r="M70" s="16" t="str">
        <f>IF($C$9&gt;=66,$H27-$L$84,"")</f>
        <v/>
      </c>
      <c r="N70" s="16" t="str">
        <f>IF($C$9&gt;=66,$L70^2,"")</f>
        <v/>
      </c>
      <c r="O70" s="16" t="str">
        <f>IF($C$9&gt;=66,$M70^2,"")</f>
        <v/>
      </c>
      <c r="P70" s="16" t="str">
        <f>IF($C$9&gt;=66,$L70*$M70,"")</f>
        <v/>
      </c>
      <c r="Q70" s="17" t="str">
        <f>IF($C$9&gt;=66,$H27-$L$84,"")</f>
        <v/>
      </c>
      <c r="R70" s="17" t="str">
        <f>IF($C$9&gt;=66,$I27-$L$85,"")</f>
        <v/>
      </c>
      <c r="S70" s="18" t="str">
        <f>IF($C$9&gt;=66,(-$P$93/$C$9+($P$97*$L$86--$P$96*$L$89)/($L$86*$L$87-$L$89^2)*$Q70+(-$P$96*$L$87-$P$97*$L$89)/($L$86*$L$87-$L$89^2)*$R70),"")</f>
        <v/>
      </c>
      <c r="T70" s="18" t="str">
        <f>IF($C$9&gt;=66,((($P$94/$C$9+$P$98*-$R70/$L$88)^2+($P$95/$C$9+$P$98*$Q70/$L$88)^2)^(1/2)),"")</f>
        <v/>
      </c>
      <c r="AD70" s="208"/>
      <c r="AE70" s="215">
        <f>IF($AG$58&gt;=5,5,"")</f>
        <v>5</v>
      </c>
      <c r="AF70" s="217">
        <f t="shared" si="2"/>
        <v>0</v>
      </c>
      <c r="AG70" s="217">
        <f t="shared" si="3"/>
        <v>4.0000000000000009</v>
      </c>
      <c r="AH70" s="215" t="str">
        <f>IF($AG$58&gt;=30,30,"")</f>
        <v/>
      </c>
      <c r="AI70" s="217" t="str">
        <f t="shared" si="4"/>
        <v/>
      </c>
      <c r="AJ70" s="217" t="str">
        <f t="shared" si="5"/>
        <v/>
      </c>
      <c r="AK70" s="215" t="str">
        <f>IF($AG$58&gt;=55,55,"")</f>
        <v/>
      </c>
      <c r="AL70" s="217" t="str">
        <f t="shared" si="6"/>
        <v/>
      </c>
      <c r="AM70" s="217" t="str">
        <f t="shared" si="7"/>
        <v/>
      </c>
      <c r="AN70" s="202"/>
      <c r="AO70" s="202"/>
    </row>
    <row r="71" spans="1:41" x14ac:dyDescent="0.25">
      <c r="A71" s="48"/>
      <c r="B71" s="54"/>
      <c r="C71" s="54"/>
      <c r="D71" s="54"/>
      <c r="E71" s="54"/>
      <c r="F71" s="54"/>
      <c r="G71" s="54"/>
      <c r="H71" s="54"/>
      <c r="I71" s="118"/>
      <c r="K71" s="9">
        <v>67</v>
      </c>
      <c r="L71" s="16" t="str">
        <f>IF($C$9&gt;=67,$I28-$L$85,"")</f>
        <v/>
      </c>
      <c r="M71" s="16" t="str">
        <f>IF($C$9&gt;=67,$H28-$L$84,"")</f>
        <v/>
      </c>
      <c r="N71" s="16" t="str">
        <f>IF($C$9&gt;=67,$L71^2,"")</f>
        <v/>
      </c>
      <c r="O71" s="16" t="str">
        <f>IF($C$9&gt;=67,$M71^2,"")</f>
        <v/>
      </c>
      <c r="P71" s="16" t="str">
        <f>IF($C$9&gt;=67,$L71*$M71,"")</f>
        <v/>
      </c>
      <c r="Q71" s="17" t="str">
        <f>IF($C$9&gt;=67,$H28-$L$84,"")</f>
        <v/>
      </c>
      <c r="R71" s="17" t="str">
        <f>IF($C$9&gt;=67,$I28-$L$85,"")</f>
        <v/>
      </c>
      <c r="S71" s="18" t="str">
        <f>IF($C$9&gt;=67,(-$P$93/$C$9+($P$97*$L$86--$P$96*$L$89)/($L$86*$L$87-$L$89^2)*$Q71+(-$P$96*$L$87-$P$97*$L$89)/($L$86*$L$87-$L$89^2)*$R71),"")</f>
        <v/>
      </c>
      <c r="T71" s="18" t="str">
        <f>IF($C$9&gt;=67,((($P$94/$C$9+$P$98*-$R71/$L$88)^2+($P$95/$C$9+$P$98*$Q71/$L$88)^2)^(1/2)),"")</f>
        <v/>
      </c>
      <c r="AD71" s="208"/>
      <c r="AE71" s="215">
        <f>IF($AG$58&gt;=6,6,"")</f>
        <v>6</v>
      </c>
      <c r="AF71" s="217">
        <f t="shared" si="2"/>
        <v>1.1715728752538093</v>
      </c>
      <c r="AG71" s="217">
        <f t="shared" si="3"/>
        <v>1.1715728752538102</v>
      </c>
      <c r="AH71" s="215" t="str">
        <f>IF($AG$58&gt;=31,31,"")</f>
        <v/>
      </c>
      <c r="AI71" s="217" t="str">
        <f t="shared" si="4"/>
        <v/>
      </c>
      <c r="AJ71" s="217" t="str">
        <f t="shared" si="5"/>
        <v/>
      </c>
      <c r="AK71" s="215" t="str">
        <f>IF($AG$58&gt;=56,56,"")</f>
        <v/>
      </c>
      <c r="AL71" s="217" t="str">
        <f t="shared" si="6"/>
        <v/>
      </c>
      <c r="AM71" s="217" t="str">
        <f t="shared" si="7"/>
        <v/>
      </c>
      <c r="AN71" s="202"/>
      <c r="AO71" s="202"/>
    </row>
    <row r="72" spans="1:41" x14ac:dyDescent="0.25">
      <c r="A72" s="48"/>
      <c r="B72" s="58" t="s">
        <v>126</v>
      </c>
      <c r="C72" s="59"/>
      <c r="D72" s="48"/>
      <c r="E72" s="58" t="s">
        <v>126</v>
      </c>
      <c r="F72" s="59"/>
      <c r="G72" s="48"/>
      <c r="H72" s="58" t="s">
        <v>126</v>
      </c>
      <c r="I72" s="59"/>
      <c r="K72" s="9">
        <v>68</v>
      </c>
      <c r="L72" s="16" t="str">
        <f>IF($C$9&gt;=68,$I29-$L$85,"")</f>
        <v/>
      </c>
      <c r="M72" s="16" t="str">
        <f>IF($C$9&gt;=68,$H29-$L$84,"")</f>
        <v/>
      </c>
      <c r="N72" s="16" t="str">
        <f>IF($C$9&gt;=68,$L72^2,"")</f>
        <v/>
      </c>
      <c r="O72" s="16" t="str">
        <f>IF($C$9&gt;=68,$M72^2,"")</f>
        <v/>
      </c>
      <c r="P72" s="16" t="str">
        <f>IF($C$9&gt;=68,$L72*$M72,"")</f>
        <v/>
      </c>
      <c r="Q72" s="17" t="str">
        <f>IF($C$9&gt;=68,$H29-$L$84,"")</f>
        <v/>
      </c>
      <c r="R72" s="17" t="str">
        <f>IF($C$9&gt;=68,$I29-$L$85,"")</f>
        <v/>
      </c>
      <c r="S72" s="18" t="str">
        <f>IF($C$9&gt;=68,(-$P$93/$C$9+($P$97*$L$86--$P$96*$L$89)/($L$86*$L$87-$L$89^2)*$Q72+(-$P$96*$L$87-$P$97*$L$89)/($L$86*$L$87-$L$89^2)*$R72),"")</f>
        <v/>
      </c>
      <c r="T72" s="18" t="str">
        <f>IF($C$9&gt;=68,((($P$94/$C$9+$P$98*-$R72/$L$88)^2+($P$95/$C$9+$P$98*$Q72/$L$88)^2)^(1/2)),"")</f>
        <v/>
      </c>
      <c r="AD72" s="208"/>
      <c r="AE72" s="215">
        <f>IF($AG$58&gt;=7,7,"")</f>
        <v>7</v>
      </c>
      <c r="AF72" s="217">
        <f t="shared" si="2"/>
        <v>3.9999999999999991</v>
      </c>
      <c r="AG72" s="217">
        <f t="shared" si="3"/>
        <v>0</v>
      </c>
      <c r="AH72" s="215" t="str">
        <f>IF($AG$58&gt;=32,32,"")</f>
        <v/>
      </c>
      <c r="AI72" s="217" t="str">
        <f t="shared" si="4"/>
        <v/>
      </c>
      <c r="AJ72" s="217" t="str">
        <f t="shared" si="5"/>
        <v/>
      </c>
      <c r="AK72" s="215" t="str">
        <f>IF($AG$58&gt;=57,57,"")</f>
        <v/>
      </c>
      <c r="AL72" s="217" t="str">
        <f t="shared" si="6"/>
        <v/>
      </c>
      <c r="AM72" s="217" t="str">
        <f t="shared" si="7"/>
        <v/>
      </c>
      <c r="AN72" s="202"/>
      <c r="AO72" s="202"/>
    </row>
    <row r="73" spans="1:41" x14ac:dyDescent="0.25">
      <c r="A73" s="48"/>
      <c r="B73" s="62" t="s">
        <v>20</v>
      </c>
      <c r="C73" s="63" t="s">
        <v>21</v>
      </c>
      <c r="D73" s="48"/>
      <c r="E73" s="62" t="s">
        <v>20</v>
      </c>
      <c r="F73" s="63" t="s">
        <v>21</v>
      </c>
      <c r="G73" s="48"/>
      <c r="H73" s="62" t="s">
        <v>20</v>
      </c>
      <c r="I73" s="63" t="s">
        <v>21</v>
      </c>
      <c r="K73" s="9">
        <v>69</v>
      </c>
      <c r="L73" s="16" t="str">
        <f>IF($C$9&gt;=69,$I30-$L$85,"")</f>
        <v/>
      </c>
      <c r="M73" s="16" t="str">
        <f>IF($C$9&gt;=69,$H30-$L$84,"")</f>
        <v/>
      </c>
      <c r="N73" s="16" t="str">
        <f>IF($C$9&gt;=69,$L73^2,"")</f>
        <v/>
      </c>
      <c r="O73" s="16" t="str">
        <f>IF($C$9&gt;=69,$M73^2,"")</f>
        <v/>
      </c>
      <c r="P73" s="16" t="str">
        <f>IF($C$9&gt;=69,$L73*$M73,"")</f>
        <v/>
      </c>
      <c r="Q73" s="17" t="str">
        <f>IF($C$9&gt;=69,$H30-$L$84,"")</f>
        <v/>
      </c>
      <c r="R73" s="17" t="str">
        <f>IF($C$9&gt;=69,$I30-$L$85,"")</f>
        <v/>
      </c>
      <c r="S73" s="18" t="str">
        <f>IF($C$9&gt;=69,(-$P$93/$C$9+($P$97*$L$86--$P$96*$L$89)/($L$86*$L$87-$L$89^2)*$Q73+(-$P$96*$L$87-$P$97*$L$89)/($L$86*$L$87-$L$89^2)*$R73),"")</f>
        <v/>
      </c>
      <c r="T73" s="18" t="str">
        <f>IF($C$9&gt;=69,((($P$94/$C$9+$P$98*-$R73/$L$88)^2+($P$95/$C$9+$P$98*$Q73/$L$88)^2)^(1/2)),"")</f>
        <v/>
      </c>
      <c r="AD73" s="208"/>
      <c r="AE73" s="215">
        <f>IF($AG$58&gt;=8,8,"")</f>
        <v>8</v>
      </c>
      <c r="AF73" s="217">
        <f t="shared" si="2"/>
        <v>6.8284271247461898</v>
      </c>
      <c r="AG73" s="217">
        <f t="shared" si="3"/>
        <v>1.1715728752538093</v>
      </c>
      <c r="AH73" s="215" t="str">
        <f>IF($AG$58&gt;=33,33,"")</f>
        <v/>
      </c>
      <c r="AI73" s="217" t="str">
        <f t="shared" si="4"/>
        <v/>
      </c>
      <c r="AJ73" s="217" t="str">
        <f t="shared" si="5"/>
        <v/>
      </c>
      <c r="AK73" s="215" t="str">
        <f>IF($AG$58&gt;=58,58,"")</f>
        <v/>
      </c>
      <c r="AL73" s="217" t="str">
        <f t="shared" si="6"/>
        <v/>
      </c>
      <c r="AM73" s="217" t="str">
        <f t="shared" si="7"/>
        <v/>
      </c>
      <c r="AN73" s="202"/>
      <c r="AO73" s="200"/>
    </row>
    <row r="74" spans="1:41" x14ac:dyDescent="0.25">
      <c r="A74" s="260" t="str">
        <f>IF($C$9&gt;=1,"#1:","")</f>
        <v>#1:</v>
      </c>
      <c r="B74" s="143">
        <f t="shared" ref="B74:B98" si="8">$S5</f>
        <v>365.96740337151357</v>
      </c>
      <c r="C74" s="144">
        <f t="shared" ref="C74:C98" si="9">$T5</f>
        <v>8.0191462528234894</v>
      </c>
      <c r="D74" s="260" t="str">
        <f>IF($C$9&gt;=26,"#26:","")</f>
        <v>#26:</v>
      </c>
      <c r="E74" s="143">
        <f t="shared" ref="E74:E98" si="10">$S30</f>
        <v>325.07964558279286</v>
      </c>
      <c r="F74" s="144">
        <f t="shared" ref="F74:F98" si="11">$T30</f>
        <v>8.0191462528234894</v>
      </c>
      <c r="G74" s="261" t="str">
        <f>IF($C$9&gt;=51,"#51:","")</f>
        <v/>
      </c>
      <c r="H74" s="143" t="str">
        <f t="shared" ref="H74:H98" si="12">$S55</f>
        <v/>
      </c>
      <c r="I74" s="144" t="str">
        <f t="shared" ref="I74:I98" si="13">$T55</f>
        <v/>
      </c>
      <c r="K74" s="9">
        <v>70</v>
      </c>
      <c r="L74" s="16" t="str">
        <f>IF($C$9&gt;=70,$I31-$L$85,"")</f>
        <v/>
      </c>
      <c r="M74" s="16" t="str">
        <f>IF($C$9&gt;=70,$H31-$L$84,"")</f>
        <v/>
      </c>
      <c r="N74" s="16" t="str">
        <f>IF($C$9&gt;=70,$L74^2,"")</f>
        <v/>
      </c>
      <c r="O74" s="16" t="str">
        <f>IF($C$9&gt;=70,$M74^2,"")</f>
        <v/>
      </c>
      <c r="P74" s="16" t="str">
        <f>IF($C$9&gt;=70,$L74*$M74,"")</f>
        <v/>
      </c>
      <c r="Q74" s="17" t="str">
        <f>IF($C$9&gt;=70,$H31-$L$84,"")</f>
        <v/>
      </c>
      <c r="R74" s="17" t="str">
        <f>IF($C$9&gt;=70,$I31-$L$85,"")</f>
        <v/>
      </c>
      <c r="S74" s="18" t="str">
        <f>IF($C$9&gt;=70,(-$P$93/$C$9+($P$97*$L$86--$P$96*$L$89)/($L$86*$L$87-$L$89^2)*$Q74+(-$P$96*$L$87-$P$97*$L$89)/($L$86*$L$87-$L$89^2)*$R74),"")</f>
        <v/>
      </c>
      <c r="T74" s="18" t="str">
        <f>IF($C$9&gt;=70,((($P$94/$C$9+$P$98*-$R74/$L$88)^2+($P$95/$C$9+$P$98*$Q74/$L$88)^2)^(1/2)),"")</f>
        <v/>
      </c>
      <c r="AD74" s="208"/>
      <c r="AE74" s="215" t="str">
        <f>IF($AG$58&gt;=9,9,"")</f>
        <v/>
      </c>
      <c r="AF74" s="217" t="str">
        <f t="shared" si="2"/>
        <v/>
      </c>
      <c r="AG74" s="217" t="str">
        <f t="shared" si="3"/>
        <v/>
      </c>
      <c r="AH74" s="215" t="str">
        <f>IF($AG$58&gt;=34,34,"")</f>
        <v/>
      </c>
      <c r="AI74" s="217" t="str">
        <f t="shared" si="4"/>
        <v/>
      </c>
      <c r="AJ74" s="217" t="str">
        <f t="shared" si="5"/>
        <v/>
      </c>
      <c r="AK74" s="215" t="str">
        <f>IF($AG$58&gt;=59,59,"")</f>
        <v/>
      </c>
      <c r="AL74" s="217" t="str">
        <f t="shared" si="6"/>
        <v/>
      </c>
      <c r="AM74" s="217" t="str">
        <f t="shared" si="7"/>
        <v/>
      </c>
      <c r="AN74" s="202"/>
      <c r="AO74" s="200"/>
    </row>
    <row r="75" spans="1:41" x14ac:dyDescent="0.25">
      <c r="A75" s="260" t="str">
        <f>IF($C$9&gt;=2,"#2:","")</f>
        <v>#2:</v>
      </c>
      <c r="B75" s="147">
        <f t="shared" si="8"/>
        <v>363.72082333154958</v>
      </c>
      <c r="C75" s="148">
        <f t="shared" si="9"/>
        <v>8.0191462528234894</v>
      </c>
      <c r="D75" s="260" t="str">
        <f>IF($C$9&gt;=27,"#27:","")</f>
        <v>#27:</v>
      </c>
      <c r="E75" s="147">
        <f t="shared" si="10"/>
        <v>322.83306554282888</v>
      </c>
      <c r="F75" s="148">
        <f t="shared" si="11"/>
        <v>8.0191462528234894</v>
      </c>
      <c r="G75" s="261" t="str">
        <f>IF($C$9&gt;=52,"#52:","")</f>
        <v/>
      </c>
      <c r="H75" s="147" t="str">
        <f t="shared" si="12"/>
        <v/>
      </c>
      <c r="I75" s="148" t="str">
        <f t="shared" si="13"/>
        <v/>
      </c>
      <c r="K75" s="9">
        <v>71</v>
      </c>
      <c r="L75" s="16" t="str">
        <f>IF($C$9&gt;=71,$I32-$L$85,"")</f>
        <v/>
      </c>
      <c r="M75" s="16" t="str">
        <f>IF($C$9&gt;=71,$H32-$L$84,"")</f>
        <v/>
      </c>
      <c r="N75" s="16" t="str">
        <f>IF($C$9&gt;=71,$L75^2,"")</f>
        <v/>
      </c>
      <c r="O75" s="16" t="str">
        <f>IF($C$9&gt;=71,$M75^2,"")</f>
        <v/>
      </c>
      <c r="P75" s="16" t="str">
        <f>IF($C$9&gt;=71,$L75*$M75,"")</f>
        <v/>
      </c>
      <c r="Q75" s="17" t="str">
        <f>IF($C$9&gt;=71,$H32-$L$84,"")</f>
        <v/>
      </c>
      <c r="R75" s="17" t="str">
        <f>IF($C$9&gt;=71,$I32-$L$85,"")</f>
        <v/>
      </c>
      <c r="S75" s="18" t="str">
        <f>IF($C$9&gt;=71,(-$P$93/$C$9+($P$97*$L$86--$P$96*$L$89)/($L$86*$L$87-$L$89^2)*$Q75+(-$P$96*$L$87-$P$97*$L$89)/($L$86*$L$87-$L$89^2)*$R75),"")</f>
        <v/>
      </c>
      <c r="T75" s="18" t="str">
        <f>IF($C$9&gt;=71,((($P$94/$C$9+$P$98*-$R75/$L$88)^2+($P$95/$C$9+$P$98*$Q75/$L$88)^2)^(1/2)),"")</f>
        <v/>
      </c>
      <c r="AD75" s="208"/>
      <c r="AE75" s="215" t="str">
        <f>IF($AG$58&gt;=10,10,"")</f>
        <v/>
      </c>
      <c r="AF75" s="217" t="str">
        <f t="shared" si="2"/>
        <v/>
      </c>
      <c r="AG75" s="217" t="str">
        <f t="shared" si="3"/>
        <v/>
      </c>
      <c r="AH75" s="215" t="str">
        <f>IF($AG$58&gt;=35,35,"")</f>
        <v/>
      </c>
      <c r="AI75" s="217" t="str">
        <f t="shared" si="4"/>
        <v/>
      </c>
      <c r="AJ75" s="217" t="str">
        <f t="shared" si="5"/>
        <v/>
      </c>
      <c r="AK75" s="215" t="str">
        <f>IF($AG$58&gt;=60,60,"")</f>
        <v/>
      </c>
      <c r="AL75" s="217" t="str">
        <f t="shared" si="6"/>
        <v/>
      </c>
      <c r="AM75" s="217" t="str">
        <f t="shared" si="7"/>
        <v/>
      </c>
      <c r="AN75" s="202"/>
      <c r="AO75" s="202"/>
    </row>
    <row r="76" spans="1:41" x14ac:dyDescent="0.25">
      <c r="A76" s="260" t="str">
        <f>IF($C$9&gt;=3,"#3:","")</f>
        <v>#3:</v>
      </c>
      <c r="B76" s="147">
        <f t="shared" si="8"/>
        <v>361.47424329158559</v>
      </c>
      <c r="C76" s="148">
        <f t="shared" si="9"/>
        <v>8.0191462528234894</v>
      </c>
      <c r="D76" s="260" t="str">
        <f>IF($C$9&gt;=28,"#28:","")</f>
        <v>#28:</v>
      </c>
      <c r="E76" s="147">
        <f t="shared" si="10"/>
        <v>320.58648550286483</v>
      </c>
      <c r="F76" s="148">
        <f t="shared" si="11"/>
        <v>8.0191462528234894</v>
      </c>
      <c r="G76" s="261" t="str">
        <f>IF($C$9&gt;=53,"#53:","")</f>
        <v/>
      </c>
      <c r="H76" s="147" t="str">
        <f t="shared" si="12"/>
        <v/>
      </c>
      <c r="I76" s="148" t="str">
        <f t="shared" si="13"/>
        <v/>
      </c>
      <c r="K76" s="9">
        <v>72</v>
      </c>
      <c r="L76" s="16" t="str">
        <f>IF($C$9&gt;=72,$I33-$L$85,"")</f>
        <v/>
      </c>
      <c r="M76" s="16" t="str">
        <f>IF($C$9&gt;=72,$H33-$L$84,"")</f>
        <v/>
      </c>
      <c r="N76" s="16" t="str">
        <f>IF($C$9&gt;=72,$L76^2,"")</f>
        <v/>
      </c>
      <c r="O76" s="16" t="str">
        <f>IF($C$9&gt;=72,$M76^2,"")</f>
        <v/>
      </c>
      <c r="P76" s="16" t="str">
        <f>IF($C$9&gt;=72,$L76*$M76,"")</f>
        <v/>
      </c>
      <c r="Q76" s="17" t="str">
        <f>IF($C$9&gt;=72,$H33-$L$84,"")</f>
        <v/>
      </c>
      <c r="R76" s="17" t="str">
        <f>IF($C$9&gt;=72,$I33-$L$85,"")</f>
        <v/>
      </c>
      <c r="S76" s="18" t="str">
        <f>IF($C$9&gt;=72,(-$P$93/$C$9+($P$97*$L$86--$P$96*$L$89)/($L$86*$L$87-$L$89^2)*$Q76+(-$P$96*$L$87-$P$97*$L$89)/($L$86*$L$87-$L$89^2)*$R76),"")</f>
        <v/>
      </c>
      <c r="T76" s="18" t="str">
        <f>IF($C$9&gt;=72,((($P$94/$C$9+$P$98*-$R76/$L$88)^2+($P$95/$C$9+$P$98*$Q76/$L$88)^2)^(1/2)),"")</f>
        <v/>
      </c>
      <c r="AD76" s="208"/>
      <c r="AE76" s="215" t="str">
        <f>IF($AG$58&gt;=11,11,"")</f>
        <v/>
      </c>
      <c r="AF76" s="217" t="str">
        <f t="shared" si="2"/>
        <v/>
      </c>
      <c r="AG76" s="217" t="str">
        <f t="shared" si="3"/>
        <v/>
      </c>
      <c r="AH76" s="215" t="str">
        <f>IF($AG$58&gt;=36,36,"")</f>
        <v/>
      </c>
      <c r="AI76" s="217" t="str">
        <f t="shared" si="4"/>
        <v/>
      </c>
      <c r="AJ76" s="217" t="str">
        <f t="shared" si="5"/>
        <v/>
      </c>
      <c r="AK76" s="215" t="str">
        <f>IF($AG$58&gt;=61,61,"")</f>
        <v/>
      </c>
      <c r="AL76" s="217" t="str">
        <f t="shared" si="6"/>
        <v/>
      </c>
      <c r="AM76" s="217" t="str">
        <f t="shared" si="7"/>
        <v/>
      </c>
      <c r="AN76" s="202"/>
      <c r="AO76" s="202"/>
    </row>
    <row r="77" spans="1:41" x14ac:dyDescent="0.25">
      <c r="A77" s="260" t="str">
        <f>IF($C$9&gt;=4,"#4:","")</f>
        <v>#4:</v>
      </c>
      <c r="B77" s="147">
        <f t="shared" si="8"/>
        <v>359.22766325162155</v>
      </c>
      <c r="C77" s="148">
        <f t="shared" si="9"/>
        <v>8.0191462528234894</v>
      </c>
      <c r="D77" s="260" t="str">
        <f>IF($C$9&gt;=29,"#29:","")</f>
        <v>#29:</v>
      </c>
      <c r="E77" s="147">
        <f t="shared" si="10"/>
        <v>318.33990546290084</v>
      </c>
      <c r="F77" s="148">
        <f t="shared" si="11"/>
        <v>8.0191462528234894</v>
      </c>
      <c r="G77" s="261" t="str">
        <f>IF($C$9&gt;=54,"#54:","")</f>
        <v/>
      </c>
      <c r="H77" s="147" t="str">
        <f t="shared" si="12"/>
        <v/>
      </c>
      <c r="I77" s="148" t="str">
        <f t="shared" si="13"/>
        <v/>
      </c>
      <c r="K77" s="9">
        <v>73</v>
      </c>
      <c r="L77" s="16" t="str">
        <f>IF($C$9&gt;=73,$I34-$L$85,"")</f>
        <v/>
      </c>
      <c r="M77" s="16" t="str">
        <f>IF($C$9&gt;=73,$H34-$L$84,"")</f>
        <v/>
      </c>
      <c r="N77" s="16" t="str">
        <f>IF($C$9&gt;=73,$L77^2,"")</f>
        <v/>
      </c>
      <c r="O77" s="16" t="str">
        <f>IF($C$9&gt;=73,$M77^2,"")</f>
        <v/>
      </c>
      <c r="P77" s="16" t="str">
        <f>IF($C$9&gt;=73,$L77*$M77,"")</f>
        <v/>
      </c>
      <c r="Q77" s="17" t="str">
        <f>IF($C$9&gt;=73,$H34-$L$84,"")</f>
        <v/>
      </c>
      <c r="R77" s="17" t="str">
        <f>IF($C$9&gt;=73,$I34-$L$85,"")</f>
        <v/>
      </c>
      <c r="S77" s="18" t="str">
        <f>IF($C$9&gt;=73,(-$P$93/$C$9+($P$97*$L$86--$P$96*$L$89)/($L$86*$L$87-$L$89^2)*$Q77+(-$P$96*$L$87-$P$97*$L$89)/($L$86*$L$87-$L$89^2)*$R77),"")</f>
        <v/>
      </c>
      <c r="T77" s="18" t="str">
        <f>IF($C$9&gt;=73,((($P$94/$C$9+$P$98*-$R77/$L$88)^2+($P$95/$C$9+$P$98*$Q77/$L$88)^2)^(1/2)),"")</f>
        <v/>
      </c>
      <c r="AD77" s="208"/>
      <c r="AE77" s="215" t="str">
        <f>IF($AG$58&gt;=12,12,"")</f>
        <v/>
      </c>
      <c r="AF77" s="217" t="str">
        <f t="shared" si="2"/>
        <v/>
      </c>
      <c r="AG77" s="217" t="str">
        <f t="shared" si="3"/>
        <v/>
      </c>
      <c r="AH77" s="215" t="str">
        <f>IF($AG$58&gt;=37,37,"")</f>
        <v/>
      </c>
      <c r="AI77" s="217" t="str">
        <f t="shared" si="4"/>
        <v/>
      </c>
      <c r="AJ77" s="217" t="str">
        <f t="shared" si="5"/>
        <v/>
      </c>
      <c r="AK77" s="215" t="str">
        <f>IF($AG$58&gt;=62,62,"")</f>
        <v/>
      </c>
      <c r="AL77" s="217" t="str">
        <f t="shared" si="6"/>
        <v/>
      </c>
      <c r="AM77" s="217" t="str">
        <f t="shared" si="7"/>
        <v/>
      </c>
      <c r="AN77" s="202"/>
      <c r="AO77" s="194" t="s">
        <v>177</v>
      </c>
    </row>
    <row r="78" spans="1:41" x14ac:dyDescent="0.25">
      <c r="A78" s="260" t="str">
        <f>IF($C$9&gt;=5,"#5:","")</f>
        <v>#5:</v>
      </c>
      <c r="B78" s="147">
        <f t="shared" si="8"/>
        <v>356.98108321165756</v>
      </c>
      <c r="C78" s="148">
        <f t="shared" si="9"/>
        <v>8.0191462528234894</v>
      </c>
      <c r="D78" s="260" t="str">
        <f>IF($C$9&gt;=30,"#30:","")</f>
        <v>#30:</v>
      </c>
      <c r="E78" s="147">
        <f t="shared" si="10"/>
        <v>316.09332542293686</v>
      </c>
      <c r="F78" s="148">
        <f t="shared" si="11"/>
        <v>8.0191462528234894</v>
      </c>
      <c r="G78" s="261" t="str">
        <f>IF($C$9&gt;=55,"#55:","")</f>
        <v/>
      </c>
      <c r="H78" s="147" t="str">
        <f t="shared" si="12"/>
        <v/>
      </c>
      <c r="I78" s="148" t="str">
        <f t="shared" si="13"/>
        <v/>
      </c>
      <c r="K78" s="9">
        <v>74</v>
      </c>
      <c r="L78" s="16" t="str">
        <f>IF($C$9&gt;=74,$I35-$L$85,"")</f>
        <v/>
      </c>
      <c r="M78" s="16" t="str">
        <f>IF($C$9&gt;=74,$H35-$L$84,"")</f>
        <v/>
      </c>
      <c r="N78" s="16" t="str">
        <f>IF($C$9&gt;=74,$L78^2,"")</f>
        <v/>
      </c>
      <c r="O78" s="16" t="str">
        <f>IF($C$9&gt;=74,$M78^2,"")</f>
        <v/>
      </c>
      <c r="P78" s="16" t="str">
        <f>IF($C$9&gt;=74,$L78*$M78,"")</f>
        <v/>
      </c>
      <c r="Q78" s="17" t="str">
        <f>IF($C$9&gt;=74,$H35-$L$84,"")</f>
        <v/>
      </c>
      <c r="R78" s="17" t="str">
        <f>IF($C$9&gt;=74,$I35-$L$85,"")</f>
        <v/>
      </c>
      <c r="S78" s="18" t="str">
        <f>IF($C$9&gt;=74,(-$P$93/$C$9+($P$97*$L$86--$P$96*$L$89)/($L$86*$L$87-$L$89^2)*$Q78+(-$P$96*$L$87-$P$97*$L$89)/($L$86*$L$87-$L$89^2)*$R78),"")</f>
        <v/>
      </c>
      <c r="T78" s="18" t="str">
        <f>IF($C$9&gt;=74,((($P$94/$C$9+$P$98*-$R78/$L$88)^2+($P$95/$C$9+$P$98*$Q78/$L$88)^2)^(1/2)),"")</f>
        <v/>
      </c>
      <c r="AD78" s="208"/>
      <c r="AE78" s="215" t="str">
        <f>IF($AG$58&gt;=13,13,"")</f>
        <v/>
      </c>
      <c r="AF78" s="217" t="str">
        <f t="shared" si="2"/>
        <v/>
      </c>
      <c r="AG78" s="217" t="str">
        <f t="shared" si="3"/>
        <v/>
      </c>
      <c r="AH78" s="215" t="str">
        <f>IF($AG$58&gt;=38,38,"")</f>
        <v/>
      </c>
      <c r="AI78" s="217" t="str">
        <f t="shared" si="4"/>
        <v/>
      </c>
      <c r="AJ78" s="217" t="str">
        <f t="shared" si="5"/>
        <v/>
      </c>
      <c r="AK78" s="215" t="str">
        <f>IF($AG$58&gt;=63,63,"")</f>
        <v/>
      </c>
      <c r="AL78" s="217" t="str">
        <f t="shared" si="6"/>
        <v/>
      </c>
      <c r="AM78" s="217" t="str">
        <f t="shared" si="7"/>
        <v/>
      </c>
      <c r="AN78" s="202"/>
      <c r="AO78" s="194" t="s">
        <v>178</v>
      </c>
    </row>
    <row r="79" spans="1:41" x14ac:dyDescent="0.25">
      <c r="A79" s="260" t="str">
        <f>IF($C$9&gt;=6,"#6:","")</f>
        <v>#6:</v>
      </c>
      <c r="B79" s="147">
        <f t="shared" si="8"/>
        <v>354.73450317169358</v>
      </c>
      <c r="C79" s="148">
        <f t="shared" si="9"/>
        <v>8.0191462528234894</v>
      </c>
      <c r="D79" s="260" t="str">
        <f>IF($C$9&gt;=31,"#31:","")</f>
        <v>#31:</v>
      </c>
      <c r="E79" s="147">
        <f t="shared" si="10"/>
        <v>321.48511698816253</v>
      </c>
      <c r="F79" s="148">
        <f t="shared" si="11"/>
        <v>8.0191462528234894</v>
      </c>
      <c r="G79" s="261" t="str">
        <f>IF($C$9&gt;=56,"#56:","")</f>
        <v/>
      </c>
      <c r="H79" s="147" t="str">
        <f t="shared" si="12"/>
        <v/>
      </c>
      <c r="I79" s="148" t="str">
        <f t="shared" si="13"/>
        <v/>
      </c>
      <c r="K79" s="9">
        <v>75</v>
      </c>
      <c r="L79" s="16" t="str">
        <f>IF($C$9=75,$I36-$L$85,"")</f>
        <v/>
      </c>
      <c r="M79" s="16" t="str">
        <f>IF($C$9=75,$H36-$L$84,"")</f>
        <v/>
      </c>
      <c r="N79" s="16" t="str">
        <f>IF($C$9=75,$L79^2,"")</f>
        <v/>
      </c>
      <c r="O79" s="16" t="str">
        <f>IF($C$9=75,$M79^2,"")</f>
        <v/>
      </c>
      <c r="P79" s="16" t="str">
        <f>IF($C$9=75,$L79*$M79,"")</f>
        <v/>
      </c>
      <c r="Q79" s="17" t="str">
        <f>IF($C$9=75,$H36-$L$84,"")</f>
        <v/>
      </c>
      <c r="R79" s="17" t="str">
        <f>IF($C$9=75,$I36-$L$85,"")</f>
        <v/>
      </c>
      <c r="S79" s="18" t="str">
        <f>IF($C$9=75,(-$P$93/$C$9+($P$97*$L$86--$P$96*$L$89)/($L$86*$L$87-$L$89^2)*$Q79+(-$P$96*$L$87-$P$97*$L$89)/($L$86*$L$87-$L$89^2)*$R79),"")</f>
        <v/>
      </c>
      <c r="T79" s="18" t="str">
        <f>IF($C$9=75,((($P$94/$C$9+$P$98*-$R79/$L$88)^2+($P$95/$C$9+$P$98*$Q79/$L$88)^2)^(1/2)),"")</f>
        <v/>
      </c>
      <c r="AD79" s="208"/>
      <c r="AE79" s="215" t="str">
        <f>IF($AG$58&gt;=14,14,"")</f>
        <v/>
      </c>
      <c r="AF79" s="217" t="str">
        <f t="shared" si="2"/>
        <v/>
      </c>
      <c r="AG79" s="217" t="str">
        <f t="shared" si="3"/>
        <v/>
      </c>
      <c r="AH79" s="215" t="str">
        <f>IF($AG$58&gt;=39,39,"")</f>
        <v/>
      </c>
      <c r="AI79" s="217" t="str">
        <f t="shared" si="4"/>
        <v/>
      </c>
      <c r="AJ79" s="217" t="str">
        <f t="shared" si="5"/>
        <v/>
      </c>
      <c r="AK79" s="215" t="str">
        <f>IF($AG$58&gt;=64,64,"")</f>
        <v/>
      </c>
      <c r="AL79" s="217" t="str">
        <f t="shared" si="6"/>
        <v/>
      </c>
      <c r="AM79" s="217" t="str">
        <f t="shared" si="7"/>
        <v/>
      </c>
      <c r="AN79" s="202"/>
      <c r="AO79" s="202"/>
    </row>
    <row r="80" spans="1:41" x14ac:dyDescent="0.25">
      <c r="A80" s="260" t="str">
        <f>IF($C$9&gt;=7,"#7:","")</f>
        <v>#7:</v>
      </c>
      <c r="B80" s="147">
        <f t="shared" si="8"/>
        <v>352.48792313172959</v>
      </c>
      <c r="C80" s="148">
        <f t="shared" si="9"/>
        <v>8.0191462528234894</v>
      </c>
      <c r="D80" s="260" t="str">
        <f>IF($C$9&gt;=32,"#32:","")</f>
        <v>#32:</v>
      </c>
      <c r="E80" s="147">
        <f t="shared" si="10"/>
        <v>319.23853694819854</v>
      </c>
      <c r="F80" s="148">
        <f t="shared" si="11"/>
        <v>8.0191462528234894</v>
      </c>
      <c r="G80" s="261" t="str">
        <f>IF($C$9&gt;=57,"#57:","")</f>
        <v/>
      </c>
      <c r="H80" s="147" t="str">
        <f t="shared" si="12"/>
        <v/>
      </c>
      <c r="I80" s="148" t="str">
        <f t="shared" si="13"/>
        <v/>
      </c>
      <c r="AD80" s="208"/>
      <c r="AE80" s="215" t="str">
        <f>IF($AG$58&gt;=15,15,"")</f>
        <v/>
      </c>
      <c r="AF80" s="217" t="str">
        <f t="shared" si="2"/>
        <v/>
      </c>
      <c r="AG80" s="217" t="str">
        <f t="shared" si="3"/>
        <v/>
      </c>
      <c r="AH80" s="215" t="str">
        <f>IF($AG$58&gt;=40,40,"")</f>
        <v/>
      </c>
      <c r="AI80" s="217" t="str">
        <f t="shared" si="4"/>
        <v/>
      </c>
      <c r="AJ80" s="217" t="str">
        <f t="shared" si="5"/>
        <v/>
      </c>
      <c r="AK80" s="215" t="str">
        <f>IF($AG$58&gt;=65,65,"")</f>
        <v/>
      </c>
      <c r="AL80" s="217" t="str">
        <f t="shared" si="6"/>
        <v/>
      </c>
      <c r="AM80" s="217" t="str">
        <f t="shared" si="7"/>
        <v/>
      </c>
      <c r="AN80" s="202"/>
      <c r="AO80" s="202"/>
    </row>
    <row r="81" spans="1:41" x14ac:dyDescent="0.25">
      <c r="A81" s="260" t="str">
        <f>IF($C$9&gt;=8,"#8:","")</f>
        <v>#8:</v>
      </c>
      <c r="B81" s="147">
        <f t="shared" si="8"/>
        <v>350.24134309176554</v>
      </c>
      <c r="C81" s="148">
        <f t="shared" si="9"/>
        <v>8.0191462528234894</v>
      </c>
      <c r="D81" s="260" t="str">
        <f>IF($C$9&gt;=33,"#33:","")</f>
        <v>#33:</v>
      </c>
      <c r="E81" s="147">
        <f t="shared" si="10"/>
        <v>316.99195690823456</v>
      </c>
      <c r="F81" s="148">
        <f t="shared" si="11"/>
        <v>8.0191462528234894</v>
      </c>
      <c r="G81" s="261" t="str">
        <f>IF($C$9&gt;=58,"#58:","")</f>
        <v/>
      </c>
      <c r="H81" s="147" t="str">
        <f t="shared" si="12"/>
        <v/>
      </c>
      <c r="I81" s="148" t="str">
        <f t="shared" si="13"/>
        <v/>
      </c>
      <c r="K81" s="12" t="s">
        <v>32</v>
      </c>
      <c r="L81" s="8"/>
      <c r="M81" s="8"/>
      <c r="N81" s="3"/>
      <c r="O81" s="12" t="s">
        <v>7</v>
      </c>
      <c r="T81" s="24"/>
      <c r="AD81" s="208"/>
      <c r="AE81" s="215" t="str">
        <f>IF($AG$58&gt;=16,16,"")</f>
        <v/>
      </c>
      <c r="AF81" s="217" t="str">
        <f t="shared" si="2"/>
        <v/>
      </c>
      <c r="AG81" s="217" t="str">
        <f t="shared" si="3"/>
        <v/>
      </c>
      <c r="AH81" s="215" t="str">
        <f>IF($AG$58&gt;=41,41,"")</f>
        <v/>
      </c>
      <c r="AI81" s="217" t="str">
        <f t="shared" si="4"/>
        <v/>
      </c>
      <c r="AJ81" s="217" t="str">
        <f t="shared" si="5"/>
        <v/>
      </c>
      <c r="AK81" s="215" t="str">
        <f>IF($AG$58&gt;=66,66,"")</f>
        <v/>
      </c>
      <c r="AL81" s="217" t="str">
        <f t="shared" si="6"/>
        <v/>
      </c>
      <c r="AM81" s="217" t="str">
        <f t="shared" si="7"/>
        <v/>
      </c>
      <c r="AN81" s="202"/>
      <c r="AO81" s="202"/>
    </row>
    <row r="82" spans="1:41" x14ac:dyDescent="0.25">
      <c r="A82" s="260" t="str">
        <f>IF($C$9&gt;=9,"#9:","")</f>
        <v>#9:</v>
      </c>
      <c r="B82" s="147">
        <f t="shared" si="8"/>
        <v>347.99476305180156</v>
      </c>
      <c r="C82" s="148">
        <f t="shared" si="9"/>
        <v>8.0191462528234894</v>
      </c>
      <c r="D82" s="260" t="str">
        <f>IF($C$9&gt;=34,"#34:","")</f>
        <v>#34:</v>
      </c>
      <c r="E82" s="147">
        <f t="shared" si="10"/>
        <v>314.74537686827051</v>
      </c>
      <c r="F82" s="148">
        <f t="shared" si="11"/>
        <v>8.0191462528234894</v>
      </c>
      <c r="G82" s="261" t="str">
        <f>IF($C$9&gt;=59,"#59:","")</f>
        <v/>
      </c>
      <c r="H82" s="147" t="str">
        <f t="shared" si="12"/>
        <v/>
      </c>
      <c r="I82" s="148" t="str">
        <f t="shared" si="13"/>
        <v/>
      </c>
      <c r="K82" s="11" t="s">
        <v>85</v>
      </c>
      <c r="L82" s="4">
        <f>SUM($B$12:$B$36)+SUM($E$12:$E$36)+SUM($H$12:$H$36)</f>
        <v>54.864000000000019</v>
      </c>
      <c r="O82" s="8"/>
      <c r="P82" s="23" t="s">
        <v>8</v>
      </c>
      <c r="Q82" s="23" t="s">
        <v>9</v>
      </c>
      <c r="R82" s="23" t="s">
        <v>10</v>
      </c>
      <c r="S82" s="23" t="s">
        <v>11</v>
      </c>
      <c r="T82" s="23" t="s">
        <v>45</v>
      </c>
      <c r="U82" s="23" t="s">
        <v>46</v>
      </c>
      <c r="V82" s="23" t="s">
        <v>47</v>
      </c>
      <c r="W82" s="23" t="s">
        <v>48</v>
      </c>
      <c r="X82" s="23"/>
      <c r="Y82" s="23"/>
      <c r="Z82" s="23"/>
      <c r="AD82" s="208"/>
      <c r="AE82" s="215" t="str">
        <f>IF($AG$58&gt;=17,17,"")</f>
        <v/>
      </c>
      <c r="AF82" s="217" t="str">
        <f t="shared" si="2"/>
        <v/>
      </c>
      <c r="AG82" s="217" t="str">
        <f t="shared" si="3"/>
        <v/>
      </c>
      <c r="AH82" s="215" t="str">
        <f>IF($AG$58&gt;=42,42,"")</f>
        <v/>
      </c>
      <c r="AI82" s="217" t="str">
        <f t="shared" si="4"/>
        <v/>
      </c>
      <c r="AJ82" s="217" t="str">
        <f t="shared" si="5"/>
        <v/>
      </c>
      <c r="AK82" s="215" t="str">
        <f>IF($AG$58&gt;=67,67,"")</f>
        <v/>
      </c>
      <c r="AL82" s="217" t="str">
        <f t="shared" si="6"/>
        <v/>
      </c>
      <c r="AM82" s="217" t="str">
        <f t="shared" si="7"/>
        <v/>
      </c>
      <c r="AN82" s="202"/>
      <c r="AO82" s="202"/>
    </row>
    <row r="83" spans="1:41" x14ac:dyDescent="0.25">
      <c r="A83" s="260" t="str">
        <f>IF($C$9&gt;=10,"#10:","")</f>
        <v>#10:</v>
      </c>
      <c r="B83" s="147">
        <f t="shared" si="8"/>
        <v>345.74818301183757</v>
      </c>
      <c r="C83" s="148">
        <f t="shared" si="9"/>
        <v>8.0191462528234894</v>
      </c>
      <c r="D83" s="260" t="str">
        <f>IF($C$9&gt;=35,"#35:","")</f>
        <v>#35:</v>
      </c>
      <c r="E83" s="147">
        <f t="shared" si="10"/>
        <v>312.49879682830652</v>
      </c>
      <c r="F83" s="148">
        <f t="shared" si="11"/>
        <v>8.0191462528234894</v>
      </c>
      <c r="G83" s="261" t="str">
        <f>IF($C$9&gt;=60,"#60:","")</f>
        <v/>
      </c>
      <c r="H83" s="147" t="str">
        <f t="shared" si="12"/>
        <v/>
      </c>
      <c r="I83" s="148" t="str">
        <f t="shared" si="13"/>
        <v/>
      </c>
      <c r="K83" s="11" t="s">
        <v>86</v>
      </c>
      <c r="L83" s="4">
        <f>SUM($C$12:$C$36)+SUM($F$12:$F$36)+SUM($I$12:$I$36)</f>
        <v>164.59200000000004</v>
      </c>
      <c r="O83" s="4" t="s">
        <v>88</v>
      </c>
      <c r="P83" s="3">
        <f>IF($B$38&gt;=1,$B$41-$L$84,"")</f>
        <v>-2.2204460492503131E-16</v>
      </c>
      <c r="Q83" s="3">
        <f>IF($B$38&gt;=2,$C$41-$L$84,"")</f>
        <v>-2.2204460492503131E-16</v>
      </c>
      <c r="R83" s="3" t="str">
        <f>IF($B$38&gt;=3,$D$41-$L$84,"")</f>
        <v/>
      </c>
      <c r="S83" s="3" t="str">
        <f>IF($B$38&gt;=4,$E$41-$L$84,"")</f>
        <v/>
      </c>
      <c r="T83" s="3" t="str">
        <f>IF($B$38&gt;=5,$F$41-$L$84,"")</f>
        <v/>
      </c>
      <c r="U83" s="3" t="str">
        <f>IF($B$38&gt;=6,$G$41-$L$84,"")</f>
        <v/>
      </c>
      <c r="V83" s="3" t="str">
        <f>IF($B$38&gt;=7,$H$41-$L$84,"")</f>
        <v/>
      </c>
      <c r="W83" s="3" t="str">
        <f>IF($B$38=8,$I$41-$L$84,"")</f>
        <v/>
      </c>
      <c r="X83" s="3"/>
      <c r="Y83" s="3"/>
      <c r="Z83" s="3"/>
      <c r="AD83" s="208"/>
      <c r="AE83" s="215" t="str">
        <f>IF($AG$58&gt;=18,18,"")</f>
        <v/>
      </c>
      <c r="AF83" s="217" t="str">
        <f t="shared" si="2"/>
        <v/>
      </c>
      <c r="AG83" s="217" t="str">
        <f t="shared" si="3"/>
        <v/>
      </c>
      <c r="AH83" s="215" t="str">
        <f>IF($AG$58&gt;=43,43,"")</f>
        <v/>
      </c>
      <c r="AI83" s="217" t="str">
        <f t="shared" si="4"/>
        <v/>
      </c>
      <c r="AJ83" s="217" t="str">
        <f t="shared" si="5"/>
        <v/>
      </c>
      <c r="AK83" s="215" t="str">
        <f>IF($AG$58&gt;=68,68,"")</f>
        <v/>
      </c>
      <c r="AL83" s="217" t="str">
        <f t="shared" si="6"/>
        <v/>
      </c>
      <c r="AM83" s="217" t="str">
        <f t="shared" si="7"/>
        <v/>
      </c>
      <c r="AN83" s="200"/>
      <c r="AO83" s="200"/>
    </row>
    <row r="84" spans="1:41" x14ac:dyDescent="0.25">
      <c r="A84" s="260" t="str">
        <f>IF($C$9&gt;=11,"#11:","")</f>
        <v>#11:</v>
      </c>
      <c r="B84" s="147">
        <f t="shared" si="8"/>
        <v>351.13997457706324</v>
      </c>
      <c r="C84" s="148">
        <f t="shared" si="9"/>
        <v>8.0191462528234894</v>
      </c>
      <c r="D84" s="260" t="str">
        <f>IF($C$9&gt;=36,"#36:","")</f>
        <v>#36:</v>
      </c>
      <c r="E84" s="147">
        <f t="shared" si="10"/>
        <v>310.25221678834254</v>
      </c>
      <c r="F84" s="148">
        <f t="shared" si="11"/>
        <v>8.0191462528234894</v>
      </c>
      <c r="G84" s="261" t="str">
        <f>IF($C$9&gt;=61,"#61","")</f>
        <v/>
      </c>
      <c r="H84" s="147" t="str">
        <f t="shared" si="12"/>
        <v/>
      </c>
      <c r="I84" s="148" t="str">
        <f t="shared" si="13"/>
        <v/>
      </c>
      <c r="K84" s="19" t="s">
        <v>5</v>
      </c>
      <c r="L84" s="16">
        <f>$L$82/$C$9</f>
        <v>1.3716000000000004</v>
      </c>
      <c r="O84" s="4" t="s">
        <v>87</v>
      </c>
      <c r="P84" s="3">
        <f>IF($B$38&gt;=1,$B$42-$L$85,"")</f>
        <v>-1.3716000000000004</v>
      </c>
      <c r="Q84" s="3">
        <f>IF($B$38&gt;=2,$C$42-$L$85,"")</f>
        <v>1.3715999999999999</v>
      </c>
      <c r="R84" s="3" t="str">
        <f>IF($B$38&gt;=3,$D$42-$L$85,"")</f>
        <v/>
      </c>
      <c r="S84" s="3" t="str">
        <f>IF($B$38&gt;=4,$E$42-$L$85,"")</f>
        <v/>
      </c>
      <c r="T84" s="3" t="str">
        <f>IF($B$38&gt;=5,$F$42-$L$85,"")</f>
        <v/>
      </c>
      <c r="U84" s="3" t="str">
        <f>IF($B$38&gt;=6,$G$42-$L$85,"")</f>
        <v/>
      </c>
      <c r="V84" s="3" t="str">
        <f>IF($B$38&gt;=7,$H$42-$L$85,"")</f>
        <v/>
      </c>
      <c r="W84" s="3" t="str">
        <f>IF($B$38=8,$I$42-$L$85,"")</f>
        <v/>
      </c>
      <c r="X84" s="3"/>
      <c r="Y84" s="3"/>
      <c r="Z84" s="3"/>
      <c r="AD84" s="208"/>
      <c r="AE84" s="215" t="str">
        <f>IF($AG$58&gt;=19,19,"")</f>
        <v/>
      </c>
      <c r="AF84" s="217" t="str">
        <f t="shared" si="2"/>
        <v/>
      </c>
      <c r="AG84" s="217" t="str">
        <f t="shared" si="3"/>
        <v/>
      </c>
      <c r="AH84" s="215" t="str">
        <f>IF($AG$58&gt;=44,44,"")</f>
        <v/>
      </c>
      <c r="AI84" s="217" t="str">
        <f t="shared" si="4"/>
        <v/>
      </c>
      <c r="AJ84" s="217" t="str">
        <f t="shared" si="5"/>
        <v/>
      </c>
      <c r="AK84" s="215" t="str">
        <f>IF($AG$58&gt;=69,69,"")</f>
        <v/>
      </c>
      <c r="AL84" s="217" t="str">
        <f t="shared" si="6"/>
        <v/>
      </c>
      <c r="AM84" s="217" t="str">
        <f t="shared" si="7"/>
        <v/>
      </c>
      <c r="AN84" s="200"/>
      <c r="AO84" s="200"/>
    </row>
    <row r="85" spans="1:41" x14ac:dyDescent="0.25">
      <c r="A85" s="260" t="str">
        <f>IF($C$9&gt;=12,"#12:","")</f>
        <v>#12:</v>
      </c>
      <c r="B85" s="147">
        <f t="shared" si="8"/>
        <v>348.89339453709925</v>
      </c>
      <c r="C85" s="148">
        <f t="shared" si="9"/>
        <v>8.0191462528234894</v>
      </c>
      <c r="D85" s="260" t="str">
        <f>IF($C$9&gt;=37,"#37:","")</f>
        <v>#37:</v>
      </c>
      <c r="E85" s="147">
        <f t="shared" si="10"/>
        <v>308.00563674837855</v>
      </c>
      <c r="F85" s="148">
        <f t="shared" si="11"/>
        <v>8.0191462528234894</v>
      </c>
      <c r="G85" s="261" t="str">
        <f>IF($C$9&gt;=62,"#62","")</f>
        <v/>
      </c>
      <c r="H85" s="147" t="str">
        <f t="shared" si="12"/>
        <v/>
      </c>
      <c r="I85" s="148" t="str">
        <f t="shared" si="13"/>
        <v/>
      </c>
      <c r="K85" s="19" t="s">
        <v>6</v>
      </c>
      <c r="L85" s="16">
        <f>$L$83/$C$9</f>
        <v>4.1148000000000007</v>
      </c>
      <c r="O85" s="23" t="s">
        <v>12</v>
      </c>
      <c r="P85" s="3">
        <f>IF($B$38&gt;=1,$B$44*$P$84,"")</f>
        <v>9151.7719428000037</v>
      </c>
      <c r="Q85" s="3">
        <f>IF($B$38&gt;=2,$C$44*$Q$84,"")</f>
        <v>-9151.7719428</v>
      </c>
      <c r="R85" s="3" t="str">
        <f>IF($B$38&gt;=3,$D$44*$R$84,"")</f>
        <v/>
      </c>
      <c r="S85" s="3" t="str">
        <f>IF($B$38&gt;=4,$E$44*$S$84,"")</f>
        <v/>
      </c>
      <c r="T85" s="3" t="str">
        <f>IF($B$38&gt;=5,$F$44*$T$84,"")</f>
        <v/>
      </c>
      <c r="U85" s="3" t="str">
        <f>IF($B$38&gt;=6,$G$44*$U$84,"")</f>
        <v/>
      </c>
      <c r="V85" s="3" t="str">
        <f>IF($B$38&gt;=7,$H$44*$V$84,"")</f>
        <v/>
      </c>
      <c r="W85" s="3" t="str">
        <f>IF($B$38=8,$I$44*$W$84,"")</f>
        <v/>
      </c>
      <c r="X85" s="3"/>
      <c r="Y85" s="3"/>
      <c r="Z85" s="3"/>
      <c r="AD85" s="208"/>
      <c r="AE85" s="215" t="str">
        <f>IF($AG$58&gt;=20,20,"")</f>
        <v/>
      </c>
      <c r="AF85" s="217" t="str">
        <f t="shared" si="2"/>
        <v/>
      </c>
      <c r="AG85" s="217" t="str">
        <f t="shared" si="3"/>
        <v/>
      </c>
      <c r="AH85" s="215" t="str">
        <f>IF($AG$58&gt;=45,45,"")</f>
        <v/>
      </c>
      <c r="AI85" s="217" t="str">
        <f t="shared" si="4"/>
        <v/>
      </c>
      <c r="AJ85" s="217" t="str">
        <f t="shared" si="5"/>
        <v/>
      </c>
      <c r="AK85" s="215" t="str">
        <f>IF($AG$58&gt;=70,70,"")</f>
        <v/>
      </c>
      <c r="AL85" s="217" t="str">
        <f t="shared" si="6"/>
        <v/>
      </c>
      <c r="AM85" s="217" t="str">
        <f t="shared" si="7"/>
        <v/>
      </c>
      <c r="AN85" s="200"/>
      <c r="AO85" s="200"/>
    </row>
    <row r="86" spans="1:41" x14ac:dyDescent="0.25">
      <c r="A86" s="260" t="str">
        <f>IF($C$9&gt;=13,"#13:","")</f>
        <v>#13:</v>
      </c>
      <c r="B86" s="147">
        <f t="shared" si="8"/>
        <v>346.64681449713527</v>
      </c>
      <c r="C86" s="148">
        <f t="shared" si="9"/>
        <v>8.0191462528234894</v>
      </c>
      <c r="D86" s="260" t="str">
        <f>IF($C$9&gt;=38,"#38:","")</f>
        <v>#38:</v>
      </c>
      <c r="E86" s="147">
        <f t="shared" si="10"/>
        <v>305.75905670841451</v>
      </c>
      <c r="F86" s="148">
        <f t="shared" si="11"/>
        <v>8.0191462528234894</v>
      </c>
      <c r="G86" s="261" t="str">
        <f>IF($C$9&gt;=63,"#63","")</f>
        <v/>
      </c>
      <c r="H86" s="147" t="str">
        <f t="shared" si="12"/>
        <v/>
      </c>
      <c r="I86" s="148" t="str">
        <f t="shared" si="13"/>
        <v/>
      </c>
      <c r="K86" s="20" t="s">
        <v>92</v>
      </c>
      <c r="L86" s="30">
        <f>SUM($N$5:$N$79)</f>
        <v>275.922020570401</v>
      </c>
      <c r="O86" s="23" t="s">
        <v>13</v>
      </c>
      <c r="P86" s="3">
        <f>IF($B$38&gt;=1,$B$44*-$P$83,"")</f>
        <v>-1.481555544913249E-12</v>
      </c>
      <c r="Q86" s="3">
        <f>IF($B$38&gt;=2,$C$44*-$Q$83,"")</f>
        <v>-1.481555544913249E-12</v>
      </c>
      <c r="R86" s="3" t="str">
        <f>IF($B$38&gt;=3,$D$44*-$R$83,"")</f>
        <v/>
      </c>
      <c r="S86" s="3" t="str">
        <f>IF($B$38&gt;=4,$E$44*-$S$83,"")</f>
        <v/>
      </c>
      <c r="T86" s="3" t="str">
        <f>IF($B$38&gt;=5,$F$44*-$T$83,"")</f>
        <v/>
      </c>
      <c r="U86" s="3" t="str">
        <f>IF($B$38&gt;=6,$G$44*-$U$83,"")</f>
        <v/>
      </c>
      <c r="V86" s="3" t="str">
        <f>IF($B$38&gt;=7,$H$44*-$V$83,"")</f>
        <v/>
      </c>
      <c r="W86" s="3" t="str">
        <f>IF($B$38=8,$I$44*-$W$83,"")</f>
        <v/>
      </c>
      <c r="X86" s="3"/>
      <c r="Y86" s="3"/>
      <c r="Z86" s="3"/>
      <c r="AD86" s="208"/>
      <c r="AE86" s="215" t="str">
        <f>IF($AG$58&gt;=21,21,"")</f>
        <v/>
      </c>
      <c r="AF86" s="217" t="str">
        <f t="shared" si="2"/>
        <v/>
      </c>
      <c r="AG86" s="217" t="str">
        <f t="shared" si="3"/>
        <v/>
      </c>
      <c r="AH86" s="215" t="str">
        <f>IF($AG$58&gt;=46,46,"")</f>
        <v/>
      </c>
      <c r="AI86" s="217" t="str">
        <f t="shared" si="4"/>
        <v/>
      </c>
      <c r="AJ86" s="217" t="str">
        <f t="shared" si="5"/>
        <v/>
      </c>
      <c r="AK86" s="215" t="str">
        <f>IF($AG$58&gt;=71,71,"")</f>
        <v/>
      </c>
      <c r="AL86" s="217" t="str">
        <f t="shared" si="6"/>
        <v/>
      </c>
      <c r="AM86" s="217" t="str">
        <f t="shared" si="7"/>
        <v/>
      </c>
      <c r="AN86" s="206"/>
      <c r="AO86" s="218"/>
    </row>
    <row r="87" spans="1:41" x14ac:dyDescent="0.25">
      <c r="A87" s="260" t="str">
        <f>IF($C$9&gt;=14,"#14:","")</f>
        <v>#14:</v>
      </c>
      <c r="B87" s="147">
        <f t="shared" si="8"/>
        <v>344.40023445717122</v>
      </c>
      <c r="C87" s="148">
        <f t="shared" si="9"/>
        <v>8.0191462528234894</v>
      </c>
      <c r="D87" s="260" t="str">
        <f>IF($C$9&gt;=39,"#39:","")</f>
        <v>#39:</v>
      </c>
      <c r="E87" s="147">
        <f t="shared" si="10"/>
        <v>303.51247666845052</v>
      </c>
      <c r="F87" s="148">
        <f t="shared" si="11"/>
        <v>8.0191462528234894</v>
      </c>
      <c r="G87" s="261" t="str">
        <f>IF($C$9&gt;=64,"#64","")</f>
        <v/>
      </c>
      <c r="H87" s="147" t="str">
        <f t="shared" si="12"/>
        <v/>
      </c>
      <c r="I87" s="148" t="str">
        <f t="shared" si="13"/>
        <v/>
      </c>
      <c r="K87" s="20" t="s">
        <v>93</v>
      </c>
      <c r="L87" s="30">
        <f>SUM($O$5:$O$79)</f>
        <v>41.806365256801037</v>
      </c>
      <c r="O87" s="23" t="s">
        <v>14</v>
      </c>
      <c r="P87" s="3">
        <f>IF($B$38&gt;=1,$B$43*-$B$46,"")</f>
        <v>203.37270984000003</v>
      </c>
      <c r="Q87" s="3">
        <f>IF($B$38&gt;=2,$C$43*-$C$46,"")</f>
        <v>203.37270984000003</v>
      </c>
      <c r="R87" s="3" t="str">
        <f>IF($B$38&gt;=3,$D$43*-$D$46,"")</f>
        <v/>
      </c>
      <c r="S87" s="3" t="str">
        <f>IF($B$38&gt;=4,$E$43*-$E$46,"")</f>
        <v/>
      </c>
      <c r="T87" s="3" t="str">
        <f>IF($B$38&gt;=5,$F$43*-$F$46,"")</f>
        <v/>
      </c>
      <c r="U87" s="3" t="str">
        <f>IF($B$38&gt;=6,$G$43*-$G$46,"")</f>
        <v/>
      </c>
      <c r="V87" s="3" t="str">
        <f>IF($B$38&gt;=7,$H$43*-$H$46,"")</f>
        <v/>
      </c>
      <c r="W87" s="3" t="str">
        <f>IF($B$38=8,$I$43*-$I$46,"")</f>
        <v/>
      </c>
      <c r="X87" s="3"/>
      <c r="Y87" s="3"/>
      <c r="Z87" s="3"/>
      <c r="AD87" s="208"/>
      <c r="AE87" s="215" t="str">
        <f>IF($AG$58&gt;=22,22,"")</f>
        <v/>
      </c>
      <c r="AF87" s="217" t="str">
        <f t="shared" si="2"/>
        <v/>
      </c>
      <c r="AG87" s="217" t="str">
        <f t="shared" si="3"/>
        <v/>
      </c>
      <c r="AH87" s="215" t="str">
        <f>IF($AG$58&gt;=47,47,"")</f>
        <v/>
      </c>
      <c r="AI87" s="217" t="str">
        <f t="shared" si="4"/>
        <v/>
      </c>
      <c r="AJ87" s="217" t="str">
        <f t="shared" si="5"/>
        <v/>
      </c>
      <c r="AK87" s="215" t="str">
        <f>IF($AG$58&gt;=72,72,"")</f>
        <v/>
      </c>
      <c r="AL87" s="217" t="str">
        <f t="shared" si="6"/>
        <v/>
      </c>
      <c r="AM87" s="217" t="str">
        <f t="shared" si="7"/>
        <v/>
      </c>
      <c r="AN87" s="219"/>
      <c r="AO87" s="220"/>
    </row>
    <row r="88" spans="1:41" x14ac:dyDescent="0.25">
      <c r="A88" s="260" t="str">
        <f>IF($C$9&gt;=15,"#15:","")</f>
        <v>#15:</v>
      </c>
      <c r="B88" s="147">
        <f t="shared" si="8"/>
        <v>342.15365441720724</v>
      </c>
      <c r="C88" s="148">
        <f t="shared" si="9"/>
        <v>8.0191462528234894</v>
      </c>
      <c r="D88" s="260" t="str">
        <f>IF($C$9&gt;=40,"#40:","")</f>
        <v>#40:</v>
      </c>
      <c r="E88" s="147">
        <f t="shared" si="10"/>
        <v>301.26589662848653</v>
      </c>
      <c r="F88" s="148">
        <f t="shared" si="11"/>
        <v>8.0191462528234894</v>
      </c>
      <c r="G88" s="261" t="str">
        <f>IF($C$9&gt;=65,"#65","")</f>
        <v/>
      </c>
      <c r="H88" s="147" t="str">
        <f t="shared" si="12"/>
        <v/>
      </c>
      <c r="I88" s="148" t="str">
        <f t="shared" si="13"/>
        <v/>
      </c>
      <c r="K88" s="20" t="s">
        <v>22</v>
      </c>
      <c r="L88" s="30">
        <f>$L$86+$L$87</f>
        <v>317.72838582720203</v>
      </c>
      <c r="O88" s="23" t="s">
        <v>15</v>
      </c>
      <c r="P88" s="3">
        <f>IF($B$38&gt;=1,$B$43*$B$45,"")</f>
        <v>-135.58180656000002</v>
      </c>
      <c r="Q88" s="3">
        <f>IF($B$38&gt;=2,$C$43*$C$45,"")</f>
        <v>-135.58180656000002</v>
      </c>
      <c r="R88" s="3" t="str">
        <f>IF($B$38&gt;=3,$D$43*$D$45,"")</f>
        <v/>
      </c>
      <c r="S88" s="3" t="str">
        <f>IF($B$38&gt;=4,$E$43*$E$45,"")</f>
        <v/>
      </c>
      <c r="T88" s="3" t="str">
        <f>IF($B$38&gt;=5,$F$43*$F$45,"")</f>
        <v/>
      </c>
      <c r="U88" s="3" t="str">
        <f>IF($B$38&gt;=6,$G$43*$G$45,"")</f>
        <v/>
      </c>
      <c r="V88" s="3" t="str">
        <f>IF($B$38&gt;=7,$H$43*$H$45,"")</f>
        <v/>
      </c>
      <c r="W88" s="3" t="str">
        <f>IF($B$38=8,$I$43*$I$45,"")</f>
        <v/>
      </c>
      <c r="X88" s="3"/>
      <c r="Y88" s="3"/>
      <c r="Z88" s="3"/>
      <c r="AD88" s="208"/>
      <c r="AE88" s="215" t="str">
        <f>IF($AG$58&gt;=23,23,"")</f>
        <v/>
      </c>
      <c r="AF88" s="217" t="str">
        <f t="shared" si="2"/>
        <v/>
      </c>
      <c r="AG88" s="217" t="str">
        <f t="shared" si="3"/>
        <v/>
      </c>
      <c r="AH88" s="215" t="str">
        <f>IF($AG$58&gt;=48,48,"")</f>
        <v/>
      </c>
      <c r="AI88" s="217" t="str">
        <f t="shared" si="4"/>
        <v/>
      </c>
      <c r="AJ88" s="217" t="str">
        <f t="shared" si="5"/>
        <v/>
      </c>
      <c r="AK88" s="215" t="str">
        <f>IF($AG$58&gt;=73,73,"")</f>
        <v/>
      </c>
      <c r="AL88" s="217" t="str">
        <f t="shared" si="6"/>
        <v/>
      </c>
      <c r="AM88" s="217" t="str">
        <f t="shared" si="7"/>
        <v/>
      </c>
      <c r="AN88" s="219"/>
      <c r="AO88" s="220"/>
    </row>
    <row r="89" spans="1:41" x14ac:dyDescent="0.25">
      <c r="A89" s="260" t="str">
        <f>IF($C$9&gt;=16,"#16:","")</f>
        <v>#16:</v>
      </c>
      <c r="B89" s="147">
        <f t="shared" si="8"/>
        <v>339.90707437724325</v>
      </c>
      <c r="C89" s="148">
        <f t="shared" si="9"/>
        <v>8.0191462528234894</v>
      </c>
      <c r="D89" s="260" t="str">
        <f>IF($C$9&gt;=41,"#41:","")</f>
        <v/>
      </c>
      <c r="E89" s="147" t="str">
        <f t="shared" si="10"/>
        <v/>
      </c>
      <c r="F89" s="148" t="str">
        <f t="shared" si="11"/>
        <v/>
      </c>
      <c r="G89" s="261" t="str">
        <f>IF($C$9&gt;=66,"#66","")</f>
        <v/>
      </c>
      <c r="H89" s="147" t="str">
        <f t="shared" si="12"/>
        <v/>
      </c>
      <c r="I89" s="148" t="str">
        <f t="shared" si="13"/>
        <v/>
      </c>
      <c r="K89" s="20" t="s">
        <v>94</v>
      </c>
      <c r="L89" s="4">
        <f>IF(ABS(SUM($P$5:$P$79))&lt;0.0005,0,SUM($P$5:$P$79))</f>
        <v>0</v>
      </c>
      <c r="O89" s="9" t="s">
        <v>16</v>
      </c>
      <c r="P89" s="28">
        <f>IF($B$38&gt;=1,$B$45*-$P$84,"")</f>
        <v>-122.02362590400004</v>
      </c>
      <c r="Q89" s="3">
        <f>IF($B$38&gt;=2,$C$45*-$Q$84,"")</f>
        <v>122.02362590400001</v>
      </c>
      <c r="R89" s="28" t="str">
        <f>IF($B$38&gt;=3,$D$45*-$R$84,"")</f>
        <v/>
      </c>
      <c r="S89" s="28" t="str">
        <f>IF($B$38&gt;=4,$E$45*-$S$84,"")</f>
        <v/>
      </c>
      <c r="T89" s="28" t="str">
        <f>IF($B$38&gt;=5,$F$45*-$T$84,"")</f>
        <v/>
      </c>
      <c r="U89" s="3" t="str">
        <f>IF($B$38&gt;=6,$G$45*-$U$84,"")</f>
        <v/>
      </c>
      <c r="V89" s="28" t="str">
        <f>IF($B$38&gt;=7,$H$45*-$V$84,"")</f>
        <v/>
      </c>
      <c r="W89" s="28" t="str">
        <f>IF($B$38=8,$I$45*-$W$84,"")</f>
        <v/>
      </c>
      <c r="X89" s="28"/>
      <c r="Y89" s="28"/>
      <c r="Z89" s="28"/>
      <c r="AD89" s="208"/>
      <c r="AE89" s="215" t="str">
        <f>IF($AG$58&gt;=24,24,"")</f>
        <v/>
      </c>
      <c r="AF89" s="221" t="str">
        <f t="shared" si="2"/>
        <v/>
      </c>
      <c r="AG89" s="221" t="str">
        <f t="shared" si="3"/>
        <v/>
      </c>
      <c r="AH89" s="215" t="str">
        <f>IF($AG$58&gt;=49,49,"")</f>
        <v/>
      </c>
      <c r="AI89" s="221" t="str">
        <f t="shared" si="4"/>
        <v/>
      </c>
      <c r="AJ89" s="221" t="str">
        <f t="shared" si="5"/>
        <v/>
      </c>
      <c r="AK89" s="215" t="str">
        <f>IF($AG$58&gt;=74,74,"")</f>
        <v/>
      </c>
      <c r="AL89" s="221" t="str">
        <f t="shared" si="6"/>
        <v/>
      </c>
      <c r="AM89" s="221" t="str">
        <f t="shared" si="7"/>
        <v/>
      </c>
      <c r="AN89" s="200"/>
      <c r="AO89" s="200"/>
    </row>
    <row r="90" spans="1:41" x14ac:dyDescent="0.25">
      <c r="A90" s="260" t="str">
        <f>IF($C$9&gt;=17,"#17:","")</f>
        <v>#17:</v>
      </c>
      <c r="B90" s="147">
        <f t="shared" si="8"/>
        <v>337.66049433727926</v>
      </c>
      <c r="C90" s="148">
        <f t="shared" si="9"/>
        <v>8.0191462528234894</v>
      </c>
      <c r="D90" s="260" t="str">
        <f>IF($C$9&gt;=42,"#42:","")</f>
        <v/>
      </c>
      <c r="E90" s="147" t="str">
        <f t="shared" si="10"/>
        <v/>
      </c>
      <c r="F90" s="148" t="str">
        <f t="shared" si="11"/>
        <v/>
      </c>
      <c r="G90" s="261" t="str">
        <f>IF($C$9&gt;=67,"#67","")</f>
        <v/>
      </c>
      <c r="H90" s="147" t="str">
        <f t="shared" si="12"/>
        <v/>
      </c>
      <c r="I90" s="148" t="str">
        <f t="shared" si="13"/>
        <v/>
      </c>
      <c r="K90" s="11" t="s">
        <v>23</v>
      </c>
      <c r="L90" s="4">
        <f>IF(ABS($L$86-$L$87)&lt;0.0005,IF($L$89&gt;0,-45,IF($L$89&lt;0,45,0)),DEGREES(ATAN(-2*$L$89/($L$86-$L$87))/2))</f>
        <v>0</v>
      </c>
      <c r="O90" s="9" t="s">
        <v>17</v>
      </c>
      <c r="P90" s="28">
        <f>IF($B$38&gt;=1,$B$46*$P$83,"")</f>
        <v>2.963111089826498E-14</v>
      </c>
      <c r="Q90" s="3">
        <f>IF($B$38&gt;=2,$C$46*$Q$83,"")</f>
        <v>2.963111089826498E-14</v>
      </c>
      <c r="R90" s="28" t="str">
        <f>IF($B$38&gt;=3,$D$46*$R$83,"")</f>
        <v/>
      </c>
      <c r="S90" s="28" t="str">
        <f>IF($B$38&gt;=4,$E$46*$S$83,"")</f>
        <v/>
      </c>
      <c r="T90" s="28" t="str">
        <f>IF($B$38&gt;=5,$F$46*$T$83,"")</f>
        <v/>
      </c>
      <c r="U90" s="3" t="str">
        <f>IF($B$38&gt;=6,$G$46*$U$83,"")</f>
        <v/>
      </c>
      <c r="V90" s="28" t="str">
        <f>IF($B$38&gt;=7,$H$46*$V$83,"")</f>
        <v/>
      </c>
      <c r="W90" s="28" t="str">
        <f>IF($B$38=8,$I$46*$W$83,"")</f>
        <v/>
      </c>
      <c r="X90" s="28"/>
      <c r="Y90" s="28"/>
      <c r="Z90" s="28"/>
      <c r="AD90" s="208"/>
      <c r="AE90" s="227" t="str">
        <f>IF($AG$58&gt;=25,25,"")</f>
        <v/>
      </c>
      <c r="AF90" s="222" t="str">
        <f t="shared" si="2"/>
        <v/>
      </c>
      <c r="AG90" s="222" t="str">
        <f t="shared" si="3"/>
        <v/>
      </c>
      <c r="AH90" s="227" t="str">
        <f>IF($AG$58&gt;=50,50,"")</f>
        <v/>
      </c>
      <c r="AI90" s="222" t="str">
        <f t="shared" si="4"/>
        <v/>
      </c>
      <c r="AJ90" s="222" t="str">
        <f t="shared" si="5"/>
        <v/>
      </c>
      <c r="AK90" s="215" t="str">
        <f>IF($AG$58=75,75,"")</f>
        <v/>
      </c>
      <c r="AL90" s="222" t="str">
        <f t="shared" si="6"/>
        <v/>
      </c>
      <c r="AM90" s="222" t="str">
        <f t="shared" si="7"/>
        <v/>
      </c>
      <c r="AN90" s="200"/>
      <c r="AO90" s="200"/>
    </row>
    <row r="91" spans="1:41" x14ac:dyDescent="0.25">
      <c r="A91" s="260" t="str">
        <f>IF($C$9&gt;=18,"#18:","")</f>
        <v>#18:</v>
      </c>
      <c r="B91" s="147">
        <f t="shared" si="8"/>
        <v>335.41391429731522</v>
      </c>
      <c r="C91" s="148">
        <f t="shared" si="9"/>
        <v>8.0191462528234894</v>
      </c>
      <c r="D91" s="260" t="str">
        <f>IF($C$9&gt;=43,"#43:","")</f>
        <v/>
      </c>
      <c r="E91" s="147" t="str">
        <f t="shared" si="10"/>
        <v/>
      </c>
      <c r="F91" s="148" t="str">
        <f t="shared" si="11"/>
        <v/>
      </c>
      <c r="G91" s="261" t="str">
        <f>IF($C$9&gt;=68,"#68","")</f>
        <v/>
      </c>
      <c r="H91" s="147" t="str">
        <f t="shared" si="12"/>
        <v/>
      </c>
      <c r="I91" s="148" t="str">
        <f t="shared" si="13"/>
        <v/>
      </c>
      <c r="O91" s="24"/>
      <c r="P91" s="24"/>
      <c r="Q91" s="24"/>
      <c r="R91" s="24"/>
      <c r="S91" s="24"/>
      <c r="T91" s="24"/>
      <c r="AD91" s="193"/>
      <c r="AE91" s="200"/>
      <c r="AF91" s="200"/>
      <c r="AG91" s="200"/>
      <c r="AH91" s="200"/>
      <c r="AI91" s="200"/>
      <c r="AJ91" s="92"/>
      <c r="AK91" s="92"/>
      <c r="AL91" s="92"/>
      <c r="AM91" s="92"/>
      <c r="AN91" s="92"/>
      <c r="AO91" s="92"/>
    </row>
    <row r="92" spans="1:41" x14ac:dyDescent="0.25">
      <c r="A92" s="260" t="str">
        <f>IF($C$9&gt;=19,"#19:","")</f>
        <v>#19:</v>
      </c>
      <c r="B92" s="147">
        <f t="shared" si="8"/>
        <v>333.16733425735123</v>
      </c>
      <c r="C92" s="148">
        <f t="shared" si="9"/>
        <v>8.0191462528234894</v>
      </c>
      <c r="D92" s="260" t="str">
        <f>IF($C$9&gt;=44,"#44:","")</f>
        <v/>
      </c>
      <c r="E92" s="147" t="str">
        <f t="shared" si="10"/>
        <v/>
      </c>
      <c r="F92" s="148" t="str">
        <f t="shared" si="11"/>
        <v/>
      </c>
      <c r="G92" s="261" t="str">
        <f>IF($C$9&gt;=69,"#69","")</f>
        <v/>
      </c>
      <c r="H92" s="147" t="str">
        <f t="shared" si="12"/>
        <v/>
      </c>
      <c r="I92" s="148" t="str">
        <f t="shared" si="13"/>
        <v/>
      </c>
      <c r="O92" s="26" t="s">
        <v>98</v>
      </c>
      <c r="Q92" s="24"/>
      <c r="R92" s="24"/>
      <c r="S92" s="24"/>
      <c r="T92" s="24"/>
      <c r="AD92" s="223" t="s">
        <v>195</v>
      </c>
      <c r="AE92" s="202"/>
      <c r="AF92" s="202"/>
      <c r="AG92" s="202"/>
      <c r="AH92" s="202"/>
      <c r="AI92" s="202"/>
      <c r="AJ92" s="92"/>
      <c r="AK92" s="92"/>
      <c r="AL92" s="92"/>
      <c r="AM92" s="92"/>
      <c r="AN92" s="92"/>
      <c r="AO92" s="92"/>
    </row>
    <row r="93" spans="1:41" x14ac:dyDescent="0.25">
      <c r="A93" s="260" t="str">
        <f>IF($C$9&gt;=20,"#20:","")</f>
        <v>#20:</v>
      </c>
      <c r="B93" s="147">
        <f t="shared" si="8"/>
        <v>330.92075421738724</v>
      </c>
      <c r="C93" s="148">
        <f t="shared" si="9"/>
        <v>8.0191462528234894</v>
      </c>
      <c r="D93" s="260" t="str">
        <f>IF($C$9&gt;=45,"#45:","")</f>
        <v/>
      </c>
      <c r="E93" s="147" t="str">
        <f t="shared" si="10"/>
        <v/>
      </c>
      <c r="F93" s="148" t="str">
        <f t="shared" si="11"/>
        <v/>
      </c>
      <c r="G93" s="261" t="str">
        <f>IF($C$9&gt;=70,"#70","")</f>
        <v/>
      </c>
      <c r="H93" s="147" t="str">
        <f t="shared" si="12"/>
        <v/>
      </c>
      <c r="I93" s="148" t="str">
        <f t="shared" si="13"/>
        <v/>
      </c>
      <c r="O93" s="11" t="s">
        <v>26</v>
      </c>
      <c r="P93" s="3">
        <f>SUM($B$44:$I$44)</f>
        <v>-13344.666000000001</v>
      </c>
      <c r="Q93" s="24" t="s">
        <v>114</v>
      </c>
      <c r="R93" s="24"/>
      <c r="S93" s="24"/>
      <c r="T93" s="24"/>
      <c r="AD93" s="224" t="s">
        <v>180</v>
      </c>
      <c r="AE93" s="202"/>
      <c r="AF93" s="202"/>
      <c r="AG93" s="202"/>
      <c r="AH93" s="202"/>
      <c r="AI93" s="202"/>
      <c r="AJ93" s="92"/>
      <c r="AK93" s="92"/>
      <c r="AL93" s="92"/>
      <c r="AM93" s="92"/>
      <c r="AN93" s="92"/>
      <c r="AO93" s="92"/>
    </row>
    <row r="94" spans="1:41" x14ac:dyDescent="0.25">
      <c r="A94" s="260" t="str">
        <f>IF($C$9&gt;=21,"#21:","")</f>
        <v>#21:</v>
      </c>
      <c r="B94" s="147">
        <f t="shared" si="8"/>
        <v>336.31254578261286</v>
      </c>
      <c r="C94" s="148">
        <f t="shared" si="9"/>
        <v>8.0191462528234894</v>
      </c>
      <c r="D94" s="260" t="str">
        <f>IF($C$9&gt;=46,"#46:","")</f>
        <v/>
      </c>
      <c r="E94" s="147" t="str">
        <f t="shared" si="10"/>
        <v/>
      </c>
      <c r="F94" s="148" t="str">
        <f t="shared" si="11"/>
        <v/>
      </c>
      <c r="G94" s="261" t="str">
        <f>IF($C$9&gt;=71,"#71","")</f>
        <v/>
      </c>
      <c r="H94" s="147" t="str">
        <f t="shared" si="12"/>
        <v/>
      </c>
      <c r="I94" s="148" t="str">
        <f t="shared" si="13"/>
        <v/>
      </c>
      <c r="O94" s="11" t="s">
        <v>27</v>
      </c>
      <c r="P94" s="3">
        <f>SUM($B$45:$I$45)</f>
        <v>-177.92888000000002</v>
      </c>
      <c r="Q94" s="24" t="s">
        <v>114</v>
      </c>
      <c r="R94" s="24"/>
      <c r="S94" s="24"/>
      <c r="T94" s="24"/>
      <c r="AD94" s="224" t="s">
        <v>187</v>
      </c>
      <c r="AE94" s="202"/>
      <c r="AF94" s="202"/>
      <c r="AG94" s="202"/>
      <c r="AH94" s="202"/>
      <c r="AI94" s="202"/>
      <c r="AJ94" s="92"/>
      <c r="AK94" s="92"/>
      <c r="AL94" s="92"/>
      <c r="AM94" s="92"/>
      <c r="AN94" s="92"/>
      <c r="AO94" s="92"/>
    </row>
    <row r="95" spans="1:41" x14ac:dyDescent="0.25">
      <c r="A95" s="260" t="str">
        <f>IF($C$9&gt;=22,"#22:","")</f>
        <v>#22:</v>
      </c>
      <c r="B95" s="147">
        <f t="shared" si="8"/>
        <v>334.06596574264887</v>
      </c>
      <c r="C95" s="148">
        <f t="shared" si="9"/>
        <v>8.0191462528234894</v>
      </c>
      <c r="D95" s="260" t="str">
        <f>IF($C$9&gt;=47,"#47:","")</f>
        <v/>
      </c>
      <c r="E95" s="147" t="str">
        <f t="shared" si="10"/>
        <v/>
      </c>
      <c r="F95" s="148" t="str">
        <f t="shared" si="11"/>
        <v/>
      </c>
      <c r="G95" s="261" t="str">
        <f>IF($C$9&gt;=72,"#72","")</f>
        <v/>
      </c>
      <c r="H95" s="147" t="str">
        <f t="shared" si="12"/>
        <v/>
      </c>
      <c r="I95" s="148" t="str">
        <f t="shared" si="13"/>
        <v/>
      </c>
      <c r="O95" s="11" t="s">
        <v>28</v>
      </c>
      <c r="P95" s="3">
        <f>SUM($B$46:$I$46)</f>
        <v>-266.89332000000002</v>
      </c>
      <c r="Q95" s="24" t="s">
        <v>114</v>
      </c>
      <c r="R95" s="24"/>
      <c r="S95" s="24"/>
      <c r="T95" s="24"/>
      <c r="AD95" s="224" t="s">
        <v>188</v>
      </c>
      <c r="AE95" s="200"/>
      <c r="AF95" s="200"/>
      <c r="AG95" s="200"/>
      <c r="AH95" s="200"/>
      <c r="AI95" s="200"/>
      <c r="AJ95" s="92"/>
      <c r="AK95" s="92"/>
      <c r="AL95" s="92"/>
      <c r="AM95" s="92"/>
      <c r="AN95" s="92"/>
      <c r="AO95" s="92"/>
    </row>
    <row r="96" spans="1:41" x14ac:dyDescent="0.25">
      <c r="A96" s="260" t="str">
        <f>IF($C$9&gt;=23,"#23:","")</f>
        <v>#23:</v>
      </c>
      <c r="B96" s="147">
        <f t="shared" si="8"/>
        <v>331.81938570268488</v>
      </c>
      <c r="C96" s="148">
        <f t="shared" si="9"/>
        <v>8.0191462528234894</v>
      </c>
      <c r="D96" s="260" t="str">
        <f>IF($C$9&gt;=48,"#48:","")</f>
        <v/>
      </c>
      <c r="E96" s="147" t="str">
        <f t="shared" si="10"/>
        <v/>
      </c>
      <c r="F96" s="148" t="str">
        <f t="shared" si="11"/>
        <v/>
      </c>
      <c r="G96" s="261" t="str">
        <f>IF($C$9&gt;=73,"#73","")</f>
        <v/>
      </c>
      <c r="H96" s="147" t="str">
        <f t="shared" si="12"/>
        <v/>
      </c>
      <c r="I96" s="148" t="str">
        <f t="shared" si="13"/>
        <v/>
      </c>
      <c r="O96" s="11" t="s">
        <v>29</v>
      </c>
      <c r="P96" s="18">
        <f>ROUND(SUM($B$47:$I$47)+SUM($P$85:$W$85)+SUM($P$87:$W$87),2)</f>
        <v>677.91</v>
      </c>
      <c r="Q96" s="24" t="s">
        <v>116</v>
      </c>
      <c r="R96" s="24"/>
      <c r="S96" s="24"/>
      <c r="T96" s="24"/>
      <c r="AD96" s="200" t="s">
        <v>189</v>
      </c>
      <c r="AE96" s="200"/>
      <c r="AF96" s="200"/>
      <c r="AG96" s="200"/>
      <c r="AH96" s="200"/>
      <c r="AI96" s="200"/>
      <c r="AJ96" s="92"/>
      <c r="AK96" s="92"/>
      <c r="AL96" s="92"/>
      <c r="AM96" s="92"/>
      <c r="AN96" s="92"/>
      <c r="AO96" s="92"/>
    </row>
    <row r="97" spans="1:20" x14ac:dyDescent="0.25">
      <c r="A97" s="260" t="str">
        <f>IF($C$9&gt;=24,"#24:","")</f>
        <v>#24:</v>
      </c>
      <c r="B97" s="147">
        <f t="shared" si="8"/>
        <v>329.57280566272084</v>
      </c>
      <c r="C97" s="148">
        <f t="shared" si="9"/>
        <v>8.0191462528234894</v>
      </c>
      <c r="D97" s="260" t="str">
        <f>IF($C$9&gt;=49,"#49:","")</f>
        <v/>
      </c>
      <c r="E97" s="147" t="str">
        <f t="shared" si="10"/>
        <v/>
      </c>
      <c r="F97" s="148" t="str">
        <f t="shared" si="11"/>
        <v/>
      </c>
      <c r="G97" s="261" t="str">
        <f>IF($C$9&gt;=74,"#74","")</f>
        <v/>
      </c>
      <c r="H97" s="147" t="str">
        <f t="shared" si="12"/>
        <v/>
      </c>
      <c r="I97" s="148" t="str">
        <f t="shared" si="13"/>
        <v/>
      </c>
      <c r="O97" s="11" t="s">
        <v>30</v>
      </c>
      <c r="P97" s="18">
        <f>ROUND(SUM($B$48:$I$48)+SUM($P$86:$W$86)+SUM($P$88:$W$88),2)</f>
        <v>-677.91</v>
      </c>
      <c r="Q97" s="24" t="s">
        <v>116</v>
      </c>
      <c r="R97" s="24"/>
      <c r="S97" s="24"/>
      <c r="T97" s="24"/>
    </row>
    <row r="98" spans="1:20" x14ac:dyDescent="0.25">
      <c r="A98" s="260" t="str">
        <f>IF($C$9&gt;=25,"#25:","")</f>
        <v>#25:</v>
      </c>
      <c r="B98" s="154">
        <f t="shared" si="8"/>
        <v>327.32622562275685</v>
      </c>
      <c r="C98" s="155">
        <f t="shared" si="9"/>
        <v>8.0191462528234894</v>
      </c>
      <c r="D98" s="260" t="str">
        <f>IF($C$9&gt;=50,"#50:","")</f>
        <v/>
      </c>
      <c r="E98" s="154" t="str">
        <f t="shared" si="10"/>
        <v/>
      </c>
      <c r="F98" s="155" t="str">
        <f t="shared" si="11"/>
        <v/>
      </c>
      <c r="G98" s="261" t="str">
        <f>IF($C$9=75,"#75","")</f>
        <v/>
      </c>
      <c r="H98" s="154" t="str">
        <f t="shared" si="12"/>
        <v/>
      </c>
      <c r="I98" s="155" t="str">
        <f t="shared" si="13"/>
        <v/>
      </c>
      <c r="O98" s="11" t="s">
        <v>31</v>
      </c>
      <c r="P98" s="29">
        <f>ROUND(SUM($B$49:$I$49)+SUM($P$89:$W$89)+SUM($P$90:$W$90),2)</f>
        <v>0</v>
      </c>
      <c r="Q98" s="24" t="s">
        <v>116</v>
      </c>
      <c r="R98" s="24"/>
      <c r="S98" s="24"/>
      <c r="T98" s="24"/>
    </row>
    <row r="99" spans="1:20" x14ac:dyDescent="0.25">
      <c r="A99" s="48"/>
      <c r="E99" s="54"/>
      <c r="F99" s="54"/>
      <c r="G99" s="54"/>
      <c r="H99" s="54"/>
      <c r="I99" s="60"/>
    </row>
    <row r="100" spans="1:20" x14ac:dyDescent="0.25">
      <c r="A100" s="48"/>
      <c r="B100" s="52" t="s">
        <v>99</v>
      </c>
      <c r="C100" s="70"/>
      <c r="D100" s="70"/>
      <c r="E100" s="54"/>
      <c r="F100" s="54"/>
      <c r="G100" s="54"/>
      <c r="H100" s="77"/>
      <c r="I100" s="187"/>
    </row>
    <row r="101" spans="1:20" x14ac:dyDescent="0.25">
      <c r="A101" s="48"/>
      <c r="B101" s="72" t="s">
        <v>100</v>
      </c>
      <c r="C101" s="143">
        <f>MAX($S$5:$S$79)</f>
        <v>365.96740337151357</v>
      </c>
      <c r="D101" s="117" t="s">
        <v>114</v>
      </c>
      <c r="E101" s="54"/>
      <c r="F101" s="54"/>
      <c r="G101" s="54"/>
      <c r="H101" s="77"/>
      <c r="I101" s="186"/>
    </row>
    <row r="102" spans="1:20" x14ac:dyDescent="0.25">
      <c r="A102" s="48"/>
      <c r="B102" s="72" t="s">
        <v>101</v>
      </c>
      <c r="C102" s="147">
        <f>MIN($S$5:$S$79)</f>
        <v>301.26589662848653</v>
      </c>
      <c r="D102" s="117" t="s">
        <v>114</v>
      </c>
      <c r="E102" s="54"/>
      <c r="F102" s="54"/>
      <c r="G102" s="54"/>
      <c r="H102" s="77"/>
      <c r="I102" s="182"/>
    </row>
    <row r="103" spans="1:20" x14ac:dyDescent="0.25">
      <c r="A103" s="48"/>
      <c r="B103" s="73" t="s">
        <v>102</v>
      </c>
      <c r="C103" s="154">
        <f>MAX($T$5:$T$79)</f>
        <v>8.0191462528234894</v>
      </c>
      <c r="D103" s="117" t="s">
        <v>114</v>
      </c>
      <c r="E103" s="54"/>
      <c r="F103" s="54"/>
      <c r="G103" s="54"/>
      <c r="H103" s="54"/>
      <c r="I103" s="60"/>
    </row>
    <row r="104" spans="1:20" x14ac:dyDescent="0.25">
      <c r="A104" s="79"/>
      <c r="B104" s="106"/>
      <c r="C104" s="106"/>
      <c r="D104" s="106"/>
      <c r="E104" s="106"/>
      <c r="F104" s="106"/>
      <c r="G104" s="106"/>
      <c r="H104" s="106"/>
      <c r="I104" s="118"/>
    </row>
    <row r="105" spans="1:20" x14ac:dyDescent="0.25">
      <c r="A105" s="54"/>
      <c r="B105" s="54"/>
      <c r="C105" s="54"/>
      <c r="D105" s="54"/>
      <c r="E105" s="54"/>
      <c r="F105" s="54"/>
      <c r="G105" s="54"/>
      <c r="H105" s="54"/>
      <c r="I105" s="54"/>
    </row>
  </sheetData>
  <sheetProtection sheet="1" objects="1" scenarios="1"/>
  <phoneticPr fontId="41" type="noConversion"/>
  <conditionalFormatting sqref="E54">
    <cfRule type="cellIs" dxfId="5" priority="1" stopIfTrue="1" operator="notEqual">
      <formula>"OK"</formula>
    </cfRule>
  </conditionalFormatting>
  <dataValidations count="7">
    <dataValidation type="decimal" operator="greaterThanOrEqual" allowBlank="1" showInputMessage="1" showErrorMessage="1" prompt="'Xo' is the x-coordinate location of the center of the pile circle from the origin Y-axis.  Xo &gt;=  Dc/2" sqref="AG60">
      <formula1>$AG$59/2</formula1>
    </dataValidation>
    <dataValidation allowBlank="1" showInputMessage="1" showErrorMessage="1" prompt="'Dc' is the diameter of the pile circle." sqref="AG59"/>
    <dataValidation type="decimal" operator="greaterThanOrEqual" allowBlank="1" showInputMessage="1" showErrorMessage="1" prompt="'Yo' is the y-coordinate location of the center of the pile circle from the origin X-axis.  Yo &gt;=  Dc/2" sqref="AG61">
      <formula1>$AG$59/2</formula1>
    </dataValidation>
    <dataValidation type="decimal" operator="greaterThanOrEqual" allowBlank="1" showInputMessage="1" showErrorMessage="1" prompt="The angle to Pile #1 is measured counterclockwise from the origin X-axis." sqref="AG62">
      <formula1>0</formula1>
    </dataValidation>
    <dataValidation type="list" allowBlank="1" showInputMessage="1" showErrorMessage="1" errorTitle="Warning!" error="Invalid input for number of piles_x000a_(must input a value between 2 and 75)" sqref="C9">
      <formula1>$K$6:$K$79</formula1>
    </dataValidation>
    <dataValidation type="list" allowBlank="1" showInputMessage="1" showErrorMessage="1" errorTitle="Warning!" error="Invalid input for number of piers_x000a_(must input a value between 1 and 4)" sqref="B38">
      <formula1>$K$5:$K$12</formula1>
    </dataValidation>
    <dataValidation type="list" allowBlank="1" showInputMessage="1" showErrorMessage="1" errorTitle="Warning!" error="Invalid input for number of piles_x000a_(must input a value between 2 and 75)" sqref="AG58">
      <formula1>$K$7:$K$79</formula1>
    </dataValidation>
  </dataValidations>
  <pageMargins left="1" right="0.5" top="1" bottom="1" header="0.5" footer="0.5"/>
  <pageSetup scale="98" orientation="portrait" r:id="rId1"/>
  <headerFooter alignWithMargins="0">
    <oddHeader>&amp;R"PILEGRP.xls" Program
Version 3.6</oddHeader>
    <oddFooter>&amp;C&amp;P of &amp;N&amp;R&amp;D  &amp;T</oddFooter>
  </headerFooter>
  <rowBreaks count="1" manualBreakCount="1">
    <brk id="52" max="8" man="1"/>
  </rowBreaks>
  <drawing r:id="rId2"/>
  <mc:AlternateContent xmlns:mc="http://schemas.openxmlformats.org/markup-compatibility/2006">
    <mc:Choice Requires="v">
      <legacyDrawing r:id="rId3"/>
    </mc:Choice>
  </mc:AlternateContent>
</worksheet>
</file>

<file path=xl/worksheets/sheet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dimension ref="A1:BY407"/>
  <sheetViews>
    <sheetView zoomScale="80" zoomScaleNormal="80" workbookViewId="0"/>
  </sheetViews>
  <sheetFormatPr defaultColWidth="9.109375" defaultRowHeight="13.2" x14ac:dyDescent="0.25"/>
  <cols>
    <col min="1" max="1" width="11.88671875" style="92" customWidth="1"/>
    <col min="2" max="2" width="10.6640625" style="92" customWidth="1"/>
    <col min="3" max="5" width="9.109375" style="92"/>
    <col min="6" max="6" width="11.109375" style="92" customWidth="1"/>
    <col min="7" max="9" width="9.109375" style="92"/>
    <col min="10" max="19" width="9.109375" style="1"/>
    <col min="20" max="21" width="9.109375" style="1" hidden="1" customWidth="1"/>
    <col min="22" max="22" width="10.6640625" style="1" hidden="1" customWidth="1"/>
    <col min="23" max="25" width="9.109375" style="1" hidden="1" customWidth="1"/>
    <col min="26" max="26" width="10.6640625" style="1" hidden="1" customWidth="1"/>
    <col min="27" max="43" width="9.109375" style="1" hidden="1" customWidth="1"/>
    <col min="44" max="44" width="9.109375" style="1"/>
    <col min="45" max="45" width="9.109375" style="9"/>
    <col min="46" max="16384" width="9.109375" style="1"/>
  </cols>
  <sheetData>
    <row r="1" spans="1:64" ht="15.6" x14ac:dyDescent="0.3">
      <c r="A1" s="32" t="s">
        <v>67</v>
      </c>
      <c r="B1" s="33"/>
      <c r="C1" s="34"/>
      <c r="D1" s="34"/>
      <c r="E1" s="34"/>
      <c r="F1" s="34"/>
      <c r="G1" s="33"/>
      <c r="H1" s="33"/>
      <c r="I1" s="33"/>
      <c r="J1" s="242"/>
      <c r="K1" s="35"/>
      <c r="L1" s="243"/>
      <c r="M1" s="243"/>
      <c r="N1" s="243"/>
      <c r="O1" s="243"/>
      <c r="P1" s="243"/>
      <c r="Q1" s="243"/>
      <c r="R1" s="243"/>
      <c r="S1" s="244"/>
      <c r="T1" s="93"/>
      <c r="U1" s="7" t="s">
        <v>4</v>
      </c>
      <c r="X1" s="7"/>
      <c r="AR1" s="184" t="s">
        <v>373</v>
      </c>
    </row>
    <row r="2" spans="1:64" x14ac:dyDescent="0.25">
      <c r="A2" s="36" t="s">
        <v>238</v>
      </c>
      <c r="B2" s="37"/>
      <c r="C2" s="38"/>
      <c r="D2" s="37"/>
      <c r="E2" s="37"/>
      <c r="F2" s="37"/>
      <c r="G2" s="39"/>
      <c r="H2" s="39"/>
      <c r="I2" s="39"/>
      <c r="J2" s="245"/>
      <c r="K2" s="40"/>
      <c r="L2" s="93"/>
      <c r="M2" s="93"/>
      <c r="N2" s="93"/>
      <c r="O2" s="93"/>
      <c r="P2" s="93"/>
      <c r="Q2" s="93"/>
      <c r="R2" s="93"/>
      <c r="S2" s="246"/>
      <c r="T2" s="93"/>
      <c r="AS2" s="134" t="s">
        <v>109</v>
      </c>
      <c r="AT2" s="129"/>
    </row>
    <row r="3" spans="1:64" x14ac:dyDescent="0.25">
      <c r="A3" s="136" t="s">
        <v>161</v>
      </c>
      <c r="B3" s="41"/>
      <c r="C3" s="41"/>
      <c r="D3" s="41"/>
      <c r="E3" s="41"/>
      <c r="F3" s="41"/>
      <c r="G3" s="42"/>
      <c r="H3" s="42"/>
      <c r="I3" s="42"/>
      <c r="J3" s="247"/>
      <c r="K3" s="43"/>
      <c r="L3" s="93"/>
      <c r="M3" s="93"/>
      <c r="N3" s="93"/>
      <c r="O3" s="93"/>
      <c r="P3" s="93"/>
      <c r="Q3" s="93"/>
      <c r="R3" s="93"/>
      <c r="S3" s="246"/>
      <c r="T3" s="93"/>
      <c r="V3" s="25" t="s">
        <v>55</v>
      </c>
      <c r="W3" s="21"/>
      <c r="X3" s="25" t="s">
        <v>84</v>
      </c>
      <c r="Y3" s="6"/>
      <c r="Z3" s="21"/>
      <c r="AA3" s="25" t="s">
        <v>24</v>
      </c>
      <c r="AB3" s="21"/>
      <c r="AC3" s="25" t="s">
        <v>25</v>
      </c>
      <c r="AD3" s="22"/>
      <c r="AS3" s="130" t="s">
        <v>110</v>
      </c>
      <c r="AT3" s="130" t="s">
        <v>111</v>
      </c>
    </row>
    <row r="4" spans="1:64" x14ac:dyDescent="0.25">
      <c r="A4" s="44" t="s">
        <v>2</v>
      </c>
      <c r="B4" s="248"/>
      <c r="C4" s="249"/>
      <c r="D4" s="249"/>
      <c r="E4" s="249"/>
      <c r="F4" s="120" t="s">
        <v>108</v>
      </c>
      <c r="G4" s="250"/>
      <c r="H4" s="251"/>
      <c r="I4" s="123"/>
      <c r="J4" s="243"/>
      <c r="K4" s="252"/>
      <c r="L4" s="93"/>
      <c r="M4" s="93"/>
      <c r="N4" s="93"/>
      <c r="O4" s="93"/>
      <c r="P4" s="93"/>
      <c r="Q4" s="93"/>
      <c r="R4" s="93"/>
      <c r="S4" s="246"/>
      <c r="T4" s="93"/>
      <c r="U4" s="13" t="s">
        <v>56</v>
      </c>
      <c r="V4" s="14" t="s">
        <v>87</v>
      </c>
      <c r="W4" s="14" t="s">
        <v>88</v>
      </c>
      <c r="X4" s="23" t="s">
        <v>95</v>
      </c>
      <c r="Y4" s="23" t="s">
        <v>96</v>
      </c>
      <c r="Z4" s="23" t="s">
        <v>97</v>
      </c>
      <c r="AA4" s="15" t="s">
        <v>18</v>
      </c>
      <c r="AB4" s="15" t="s">
        <v>19</v>
      </c>
      <c r="AC4" s="15" t="s">
        <v>20</v>
      </c>
      <c r="AD4" s="15" t="s">
        <v>21</v>
      </c>
      <c r="AS4" s="27">
        <v>10</v>
      </c>
      <c r="AT4" s="133">
        <v>28</v>
      </c>
    </row>
    <row r="5" spans="1:64" x14ac:dyDescent="0.25">
      <c r="A5" s="44" t="s">
        <v>3</v>
      </c>
      <c r="B5" s="122"/>
      <c r="C5" s="123"/>
      <c r="D5" s="123"/>
      <c r="E5" s="124"/>
      <c r="F5" s="127" t="s">
        <v>107</v>
      </c>
      <c r="G5" s="253"/>
      <c r="H5" s="254"/>
      <c r="I5" s="255" t="s">
        <v>106</v>
      </c>
      <c r="J5" s="253"/>
      <c r="K5" s="124"/>
      <c r="L5" s="93"/>
      <c r="M5" s="93"/>
      <c r="N5" s="93"/>
      <c r="O5" s="93"/>
      <c r="P5" s="93"/>
      <c r="Q5" s="93"/>
      <c r="R5" s="93"/>
      <c r="S5" s="246"/>
      <c r="T5" s="93"/>
      <c r="U5" s="256">
        <v>1</v>
      </c>
      <c r="V5" s="16">
        <f t="shared" ref="V5:V36" si="0">IF($C$9&gt;=$U5,$C13+0.000001-$V$310,"")</f>
        <v>-13.499999000000001</v>
      </c>
      <c r="W5" s="16">
        <f t="shared" ref="W5:W36" si="1">IF($C$9&gt;=$U5,$B13+0.000001-$V$309,"")</f>
        <v>-4.4999989999999999</v>
      </c>
      <c r="X5" s="16">
        <f t="shared" ref="X5:X68" si="2">IF($C$9&gt;=$U5,$V5^2,"")</f>
        <v>182.24997300000101</v>
      </c>
      <c r="Y5" s="16">
        <f t="shared" ref="Y5:Y68" si="3">IF($C$9&gt;=$U5,$W5^2,"")</f>
        <v>20.249991000001</v>
      </c>
      <c r="Z5" s="16">
        <f t="shared" ref="Z5:Z68" si="4">IF($C$9&gt;=$U5,$V5*$W5,"")</f>
        <v>60.749982000001005</v>
      </c>
      <c r="AA5" s="17">
        <f t="shared" ref="AA5:AA36" si="5">IF($C$9&gt;=$U5,$B13-$V$309,"")</f>
        <v>-4.5</v>
      </c>
      <c r="AB5" s="17">
        <f t="shared" ref="AB5:AB36" si="6">IF($C$9&gt;=$U5,$C13-$V$310,"")</f>
        <v>-13.5</v>
      </c>
      <c r="AC5" s="18">
        <f t="shared" ref="AC5:AC68" si="7">IF($C$9&gt;=$U5,(-$Z$318/$C$9+($Z$322*$V$311--$Z$321*$V$314)/($V$311*$V$312-$V$314^2)*$AA5+(-$Z$321*$V$312-$Z$322*$V$314)/($V$311*$V$312-$V$314^2)*$AB5),"")</f>
        <v>82.272727272726797</v>
      </c>
      <c r="AD5" s="18">
        <f t="shared" ref="AD5:AD68" si="8">IF($C$9&gt;=$U5,((($Z$319/$C$9+$Z$323*-$AB5/$V$313)^2+($Z$320/$C$9+$Z$323*$AA5/$V$313)^2)^(1/2)),"")</f>
        <v>1.8027756377319946</v>
      </c>
      <c r="AV5" s="139" t="s">
        <v>169</v>
      </c>
      <c r="AW5" s="137"/>
      <c r="AX5" s="137"/>
      <c r="AY5" s="137"/>
      <c r="AZ5" s="138"/>
    </row>
    <row r="6" spans="1:64" x14ac:dyDescent="0.25">
      <c r="A6" s="45"/>
      <c r="B6" s="93"/>
      <c r="C6" s="93"/>
      <c r="D6" s="93"/>
      <c r="E6" s="93"/>
      <c r="F6" s="93"/>
      <c r="G6" s="93"/>
      <c r="H6" s="185"/>
      <c r="I6" s="257"/>
      <c r="J6" s="93"/>
      <c r="K6" s="93"/>
      <c r="L6" s="93"/>
      <c r="M6" s="93"/>
      <c r="N6" s="93"/>
      <c r="O6" s="93"/>
      <c r="P6" s="93"/>
      <c r="Q6" s="93"/>
      <c r="R6" s="93"/>
      <c r="S6" s="246"/>
      <c r="T6" s="93"/>
      <c r="U6" s="256">
        <v>2</v>
      </c>
      <c r="V6" s="16">
        <f t="shared" si="0"/>
        <v>-10.499998999999999</v>
      </c>
      <c r="W6" s="16">
        <f t="shared" si="1"/>
        <v>-4.4999989999999999</v>
      </c>
      <c r="X6" s="16">
        <f t="shared" si="2"/>
        <v>110.24997900000098</v>
      </c>
      <c r="Y6" s="16">
        <f t="shared" si="3"/>
        <v>20.249991000001</v>
      </c>
      <c r="Z6" s="16">
        <f t="shared" si="4"/>
        <v>47.249985000000997</v>
      </c>
      <c r="AA6" s="17">
        <f t="shared" si="5"/>
        <v>-4.5</v>
      </c>
      <c r="AB6" s="17">
        <f t="shared" si="6"/>
        <v>-10.5</v>
      </c>
      <c r="AC6" s="18">
        <f t="shared" si="7"/>
        <v>81.767676767676306</v>
      </c>
      <c r="AD6" s="18">
        <f t="shared" si="8"/>
        <v>1.8027756377319946</v>
      </c>
      <c r="AV6" s="137" t="s">
        <v>167</v>
      </c>
      <c r="AW6" s="137"/>
      <c r="AX6" s="137"/>
      <c r="AY6" s="137"/>
      <c r="AZ6" s="138"/>
    </row>
    <row r="7" spans="1:64" x14ac:dyDescent="0.25">
      <c r="A7" s="47" t="s">
        <v>1</v>
      </c>
      <c r="B7" s="93"/>
      <c r="C7" s="94"/>
      <c r="D7" s="93"/>
      <c r="E7" s="93"/>
      <c r="F7" s="93"/>
      <c r="G7" s="93"/>
      <c r="H7" s="185"/>
      <c r="I7" s="258"/>
      <c r="J7" s="93"/>
      <c r="K7" s="93"/>
      <c r="L7" s="93"/>
      <c r="M7" s="93"/>
      <c r="N7" s="93"/>
      <c r="O7" s="93"/>
      <c r="P7" s="93"/>
      <c r="Q7" s="93"/>
      <c r="R7" s="93"/>
      <c r="S7" s="246"/>
      <c r="T7" s="93"/>
      <c r="U7" s="256">
        <v>3</v>
      </c>
      <c r="V7" s="16">
        <f t="shared" si="0"/>
        <v>-7.4999989999999999</v>
      </c>
      <c r="W7" s="16">
        <f t="shared" si="1"/>
        <v>-4.4999989999999999</v>
      </c>
      <c r="X7" s="16">
        <f t="shared" si="2"/>
        <v>56.249985000000997</v>
      </c>
      <c r="Y7" s="16">
        <f t="shared" si="3"/>
        <v>20.249991000001</v>
      </c>
      <c r="Z7" s="16">
        <f t="shared" si="4"/>
        <v>33.749988000000997</v>
      </c>
      <c r="AA7" s="17">
        <f t="shared" si="5"/>
        <v>-4.5</v>
      </c>
      <c r="AB7" s="17">
        <f t="shared" si="6"/>
        <v>-7.5</v>
      </c>
      <c r="AC7" s="18">
        <f t="shared" si="7"/>
        <v>81.262626262625801</v>
      </c>
      <c r="AD7" s="18">
        <f t="shared" si="8"/>
        <v>1.8027756377319946</v>
      </c>
      <c r="AV7" s="137" t="s">
        <v>172</v>
      </c>
      <c r="AW7" s="137"/>
      <c r="AX7" s="137"/>
      <c r="AY7" s="137"/>
      <c r="AZ7" s="138"/>
    </row>
    <row r="8" spans="1:64" x14ac:dyDescent="0.25">
      <c r="A8" s="48"/>
      <c r="B8" s="128"/>
      <c r="C8" s="93"/>
      <c r="D8" s="93"/>
      <c r="E8" s="93"/>
      <c r="F8" s="93"/>
      <c r="G8" s="93"/>
      <c r="H8" s="185"/>
      <c r="I8" s="185"/>
      <c r="J8" s="93"/>
      <c r="K8" s="93"/>
      <c r="L8" s="93"/>
      <c r="M8" s="93"/>
      <c r="N8" s="93"/>
      <c r="O8" s="93"/>
      <c r="P8" s="93"/>
      <c r="Q8" s="93"/>
      <c r="R8" s="93"/>
      <c r="S8" s="246"/>
      <c r="T8" s="93"/>
      <c r="U8" s="256">
        <v>4</v>
      </c>
      <c r="V8" s="16">
        <f t="shared" si="0"/>
        <v>-4.4999990000000007</v>
      </c>
      <c r="W8" s="16">
        <f t="shared" si="1"/>
        <v>-4.4999989999999999</v>
      </c>
      <c r="X8" s="16">
        <f t="shared" si="2"/>
        <v>20.249991000001007</v>
      </c>
      <c r="Y8" s="16">
        <f t="shared" si="3"/>
        <v>20.249991000001</v>
      </c>
      <c r="Z8" s="16">
        <f t="shared" si="4"/>
        <v>20.249991000001003</v>
      </c>
      <c r="AA8" s="17">
        <f t="shared" si="5"/>
        <v>-4.5</v>
      </c>
      <c r="AB8" s="17">
        <f t="shared" si="6"/>
        <v>-4.5</v>
      </c>
      <c r="AC8" s="18">
        <f t="shared" si="7"/>
        <v>80.75757575757531</v>
      </c>
      <c r="AD8" s="18">
        <f t="shared" si="8"/>
        <v>1.8027756377319946</v>
      </c>
      <c r="AV8" s="137" t="s">
        <v>168</v>
      </c>
      <c r="AW8" s="137"/>
      <c r="AX8" s="137"/>
      <c r="AY8" s="137"/>
      <c r="AZ8" s="138"/>
    </row>
    <row r="9" spans="1:64" x14ac:dyDescent="0.25">
      <c r="A9" s="45"/>
      <c r="B9" s="50" t="s">
        <v>57</v>
      </c>
      <c r="C9" s="27">
        <v>40</v>
      </c>
      <c r="D9" s="54"/>
      <c r="E9" s="54"/>
      <c r="F9" s="53"/>
      <c r="G9" s="54"/>
      <c r="H9" s="54"/>
      <c r="I9" s="54" t="s">
        <v>0</v>
      </c>
      <c r="J9" s="2"/>
      <c r="K9" s="2"/>
      <c r="L9" s="2"/>
      <c r="M9" s="2"/>
      <c r="N9" s="2"/>
      <c r="O9" s="2"/>
      <c r="P9" s="2"/>
      <c r="Q9" s="2"/>
      <c r="R9" s="2"/>
      <c r="S9" s="259"/>
      <c r="T9" s="2"/>
      <c r="U9" s="256">
        <v>5</v>
      </c>
      <c r="V9" s="16">
        <f t="shared" si="0"/>
        <v>-1.4999990000000007</v>
      </c>
      <c r="W9" s="16">
        <f t="shared" si="1"/>
        <v>-4.4999989999999999</v>
      </c>
      <c r="X9" s="16">
        <f t="shared" si="2"/>
        <v>2.2499970000010023</v>
      </c>
      <c r="Y9" s="16">
        <f t="shared" si="3"/>
        <v>20.249991000001</v>
      </c>
      <c r="Z9" s="16">
        <f t="shared" si="4"/>
        <v>6.7499940000010028</v>
      </c>
      <c r="AA9" s="17">
        <f t="shared" si="5"/>
        <v>-4.5</v>
      </c>
      <c r="AB9" s="17">
        <f t="shared" si="6"/>
        <v>-1.5</v>
      </c>
      <c r="AC9" s="18">
        <f t="shared" si="7"/>
        <v>80.252525252524805</v>
      </c>
      <c r="AD9" s="18">
        <f t="shared" si="8"/>
        <v>1.8027756377319946</v>
      </c>
      <c r="BD9" s="2"/>
    </row>
    <row r="10" spans="1:64" x14ac:dyDescent="0.25">
      <c r="A10" s="48"/>
      <c r="B10" s="54"/>
      <c r="C10" s="54"/>
      <c r="D10" s="54"/>
      <c r="E10" s="54"/>
      <c r="F10" s="54"/>
      <c r="G10" s="54"/>
      <c r="H10" s="54"/>
      <c r="I10" s="54"/>
      <c r="J10" s="2"/>
      <c r="K10" s="2"/>
      <c r="L10" s="2"/>
      <c r="M10" s="2"/>
      <c r="N10" s="2"/>
      <c r="O10" s="2"/>
      <c r="P10" s="2"/>
      <c r="Q10" s="2"/>
      <c r="R10" s="2"/>
      <c r="S10" s="259"/>
      <c r="T10" s="2"/>
      <c r="U10" s="256">
        <v>6</v>
      </c>
      <c r="V10" s="16">
        <f t="shared" si="0"/>
        <v>1.5000009999999993</v>
      </c>
      <c r="W10" s="16">
        <f t="shared" si="1"/>
        <v>-4.4999989999999999</v>
      </c>
      <c r="X10" s="16">
        <f t="shared" si="2"/>
        <v>2.2500030000009978</v>
      </c>
      <c r="Y10" s="16">
        <f t="shared" si="3"/>
        <v>20.249991000001</v>
      </c>
      <c r="Z10" s="16">
        <f t="shared" si="4"/>
        <v>-6.7500029999989968</v>
      </c>
      <c r="AA10" s="17">
        <f t="shared" si="5"/>
        <v>-4.5</v>
      </c>
      <c r="AB10" s="17">
        <f t="shared" si="6"/>
        <v>1.5</v>
      </c>
      <c r="AC10" s="18">
        <f t="shared" si="7"/>
        <v>79.747474747474314</v>
      </c>
      <c r="AD10" s="18">
        <f t="shared" si="8"/>
        <v>1.8027756377319946</v>
      </c>
      <c r="AY10" s="8"/>
    </row>
    <row r="11" spans="1:64" x14ac:dyDescent="0.25">
      <c r="A11" s="97"/>
      <c r="B11" s="56" t="s">
        <v>53</v>
      </c>
      <c r="C11" s="53"/>
      <c r="D11" s="74"/>
      <c r="E11" s="56" t="s">
        <v>53</v>
      </c>
      <c r="F11" s="53"/>
      <c r="G11" s="74"/>
      <c r="H11" s="56" t="s">
        <v>54</v>
      </c>
      <c r="I11" s="53"/>
      <c r="J11" s="2"/>
      <c r="K11" s="56" t="s">
        <v>54</v>
      </c>
      <c r="L11" s="53"/>
      <c r="M11" s="2"/>
      <c r="N11" s="56" t="s">
        <v>54</v>
      </c>
      <c r="O11" s="53"/>
      <c r="P11" s="2"/>
      <c r="Q11" s="56" t="s">
        <v>54</v>
      </c>
      <c r="R11" s="53"/>
      <c r="S11" s="259"/>
      <c r="T11" s="2"/>
      <c r="U11" s="256">
        <v>7</v>
      </c>
      <c r="V11" s="16">
        <f t="shared" si="0"/>
        <v>4.500001000000001</v>
      </c>
      <c r="W11" s="16">
        <f t="shared" si="1"/>
        <v>-4.4999989999999999</v>
      </c>
      <c r="X11" s="16">
        <f t="shared" si="2"/>
        <v>20.250009000001008</v>
      </c>
      <c r="Y11" s="16">
        <f t="shared" si="3"/>
        <v>20.249991000001</v>
      </c>
      <c r="Z11" s="16">
        <f t="shared" si="4"/>
        <v>-20.249999999999005</v>
      </c>
      <c r="AA11" s="17">
        <f t="shared" si="5"/>
        <v>-4.5</v>
      </c>
      <c r="AB11" s="17">
        <f t="shared" si="6"/>
        <v>4.5</v>
      </c>
      <c r="AC11" s="18">
        <f t="shared" si="7"/>
        <v>79.242424242423809</v>
      </c>
      <c r="AD11" s="18">
        <f t="shared" si="8"/>
        <v>1.8027756377319946</v>
      </c>
      <c r="AG11" s="2"/>
      <c r="AH11" s="2"/>
      <c r="AI11" s="2"/>
      <c r="AJ11" s="2"/>
      <c r="AK11" s="2"/>
      <c r="AL11" s="2"/>
      <c r="AM11" s="2"/>
      <c r="AN11" s="2"/>
      <c r="AO11" s="2"/>
      <c r="AP11" s="2"/>
      <c r="AQ11" s="2"/>
      <c r="AU11" s="239" t="s">
        <v>163</v>
      </c>
      <c r="AV11" s="22"/>
      <c r="AW11" s="22"/>
      <c r="AX11" s="22"/>
      <c r="AY11" s="196"/>
    </row>
    <row r="12" spans="1:64" x14ac:dyDescent="0.25">
      <c r="A12" s="45"/>
      <c r="B12" s="77" t="s">
        <v>140</v>
      </c>
      <c r="C12" s="77" t="s">
        <v>141</v>
      </c>
      <c r="D12" s="54"/>
      <c r="E12" s="77" t="s">
        <v>140</v>
      </c>
      <c r="F12" s="77" t="s">
        <v>141</v>
      </c>
      <c r="G12" s="54"/>
      <c r="H12" s="77" t="s">
        <v>140</v>
      </c>
      <c r="I12" s="77" t="s">
        <v>141</v>
      </c>
      <c r="J12" s="2"/>
      <c r="K12" s="77" t="s">
        <v>140</v>
      </c>
      <c r="L12" s="77" t="s">
        <v>141</v>
      </c>
      <c r="M12" s="2"/>
      <c r="N12" s="77" t="s">
        <v>140</v>
      </c>
      <c r="O12" s="77" t="s">
        <v>141</v>
      </c>
      <c r="P12" s="2"/>
      <c r="Q12" s="77" t="s">
        <v>140</v>
      </c>
      <c r="R12" s="77" t="s">
        <v>141</v>
      </c>
      <c r="S12" s="259"/>
      <c r="T12" s="2"/>
      <c r="U12" s="256">
        <v>8</v>
      </c>
      <c r="V12" s="16">
        <f t="shared" si="0"/>
        <v>7.500001000000001</v>
      </c>
      <c r="W12" s="16">
        <f t="shared" si="1"/>
        <v>-4.4999989999999999</v>
      </c>
      <c r="X12" s="16">
        <f t="shared" si="2"/>
        <v>56.250015000001014</v>
      </c>
      <c r="Y12" s="16">
        <f t="shared" si="3"/>
        <v>20.249991000001</v>
      </c>
      <c r="Z12" s="16">
        <f t="shared" si="4"/>
        <v>-33.749996999999006</v>
      </c>
      <c r="AA12" s="17">
        <f t="shared" si="5"/>
        <v>-4.5</v>
      </c>
      <c r="AB12" s="17">
        <f t="shared" si="6"/>
        <v>7.5</v>
      </c>
      <c r="AC12" s="18">
        <f t="shared" si="7"/>
        <v>78.737373737373318</v>
      </c>
      <c r="AD12" s="18">
        <f t="shared" si="8"/>
        <v>1.8027756377319946</v>
      </c>
      <c r="AG12" s="2"/>
      <c r="AH12" s="2"/>
      <c r="AI12" s="2"/>
      <c r="AJ12" s="2"/>
      <c r="AK12" s="2"/>
      <c r="AL12" s="2"/>
      <c r="AM12" s="2"/>
      <c r="AN12" s="2"/>
      <c r="AO12" s="2"/>
      <c r="AP12" s="2"/>
      <c r="AQ12" s="2"/>
      <c r="AU12" s="199"/>
      <c r="AV12" s="196" t="s">
        <v>207</v>
      </c>
      <c r="AW12" s="196" t="s">
        <v>208</v>
      </c>
      <c r="AX12" s="194"/>
      <c r="AY12" s="196" t="s">
        <v>207</v>
      </c>
      <c r="AZ12" s="196" t="s">
        <v>208</v>
      </c>
      <c r="BB12" s="196" t="s">
        <v>207</v>
      </c>
      <c r="BC12" s="196" t="s">
        <v>208</v>
      </c>
      <c r="BE12" s="196" t="s">
        <v>207</v>
      </c>
      <c r="BF12" s="196" t="s">
        <v>208</v>
      </c>
      <c r="BH12" s="196" t="s">
        <v>207</v>
      </c>
      <c r="BI12" s="196" t="s">
        <v>208</v>
      </c>
      <c r="BK12" s="196" t="s">
        <v>207</v>
      </c>
      <c r="BL12" s="196" t="s">
        <v>208</v>
      </c>
    </row>
    <row r="13" spans="1:64" x14ac:dyDescent="0.25">
      <c r="A13" s="260" t="str">
        <f t="shared" ref="A13:A44" si="9">IF($C$9&gt;=$U5,"#"&amp;$U5&amp;":","")</f>
        <v>#1:</v>
      </c>
      <c r="B13" s="141">
        <v>0</v>
      </c>
      <c r="C13" s="141">
        <v>0</v>
      </c>
      <c r="D13" s="260" t="str">
        <f t="shared" ref="D13:D44" si="10">IF($C$9&gt;=$U55,"#"&amp;$U55&amp;":","")</f>
        <v/>
      </c>
      <c r="E13" s="141"/>
      <c r="F13" s="141"/>
      <c r="G13" s="260" t="str">
        <f t="shared" ref="G13:G44" si="11">IF($C$9&gt;=$U105,"#"&amp;$U105&amp;":","")</f>
        <v/>
      </c>
      <c r="H13" s="141"/>
      <c r="I13" s="141"/>
      <c r="J13" s="261" t="str">
        <f t="shared" ref="J13:J44" si="12">IF($C$9&gt;=$U155,"#"&amp;$U155&amp;":","")</f>
        <v/>
      </c>
      <c r="K13" s="141"/>
      <c r="L13" s="142"/>
      <c r="M13" s="260" t="str">
        <f t="shared" ref="M13:M44" si="13">IF($C$9&gt;=$U205,"#"&amp;$U205&amp;":","")</f>
        <v/>
      </c>
      <c r="N13" s="141"/>
      <c r="O13" s="141"/>
      <c r="P13" s="260" t="str">
        <f t="shared" ref="P13:P44" si="14">IF($C$9&gt;=$U255,"#"&amp;$U255&amp;":","")</f>
        <v/>
      </c>
      <c r="Q13" s="141"/>
      <c r="R13" s="141"/>
      <c r="S13" s="259"/>
      <c r="T13" s="2"/>
      <c r="U13" s="256">
        <v>9</v>
      </c>
      <c r="V13" s="16">
        <f t="shared" si="0"/>
        <v>10.500001000000001</v>
      </c>
      <c r="W13" s="16">
        <f t="shared" si="1"/>
        <v>-4.4999989999999999</v>
      </c>
      <c r="X13" s="16">
        <f t="shared" si="2"/>
        <v>110.25002100000103</v>
      </c>
      <c r="Y13" s="16">
        <f t="shared" si="3"/>
        <v>20.249991000001</v>
      </c>
      <c r="Z13" s="16">
        <f t="shared" si="4"/>
        <v>-47.249993999999006</v>
      </c>
      <c r="AA13" s="17">
        <f t="shared" si="5"/>
        <v>-4.5</v>
      </c>
      <c r="AB13" s="17">
        <f t="shared" si="6"/>
        <v>10.5</v>
      </c>
      <c r="AC13" s="18">
        <f t="shared" si="7"/>
        <v>78.232323232322813</v>
      </c>
      <c r="AD13" s="18">
        <f t="shared" si="8"/>
        <v>1.8027756377319946</v>
      </c>
      <c r="AG13" s="2"/>
      <c r="AH13" s="2"/>
      <c r="AI13" s="2"/>
      <c r="AJ13" s="2"/>
      <c r="AK13" s="2"/>
      <c r="AL13" s="2"/>
      <c r="AM13" s="2"/>
      <c r="AN13" s="2"/>
      <c r="AO13" s="2"/>
      <c r="AP13" s="2"/>
      <c r="AQ13" s="2"/>
      <c r="AU13" s="262" t="str">
        <f t="shared" ref="AU13:AU44" si="15">IF($C$9&gt;=$U5,"#"&amp;$U5&amp;":","")</f>
        <v>#1:</v>
      </c>
      <c r="AV13" s="216">
        <f t="shared" ref="AV13:AV44" si="16">IF($C$9&gt;=$U5,$B13*0.3048,"")</f>
        <v>0</v>
      </c>
      <c r="AW13" s="228">
        <f t="shared" ref="AW13:AW44" si="17">IF($C$9&gt;=$U5,$C13*0.3048,"")</f>
        <v>0</v>
      </c>
      <c r="AX13" s="262" t="str">
        <f t="shared" ref="AX13:AX44" si="18">IF($C$9&gt;=$U55,"#"&amp;$U55&amp;":","")</f>
        <v/>
      </c>
      <c r="AY13" s="216" t="str">
        <f t="shared" ref="AY13:AY44" si="19">IF($C$9&gt;=$U55,$E13*0.3048,"")</f>
        <v/>
      </c>
      <c r="AZ13" s="228" t="str">
        <f t="shared" ref="AZ13:AZ44" si="20">IF($C$9&gt;=$U55,$F13*0.3048,"")</f>
        <v/>
      </c>
      <c r="BA13" s="262" t="str">
        <f t="shared" ref="BA13:BA44" si="21">IF($C$9&gt;=$U105,"#"&amp;$U105&amp;":","")</f>
        <v/>
      </c>
      <c r="BB13" s="216" t="str">
        <f t="shared" ref="BB13:BB44" si="22">IF($C$9&gt;=$U105,$H13*0.3048,"")</f>
        <v/>
      </c>
      <c r="BC13" s="228" t="str">
        <f t="shared" ref="BC13:BC44" si="23">IF($C$9&gt;=$U105,$I13*0.3048,"")</f>
        <v/>
      </c>
      <c r="BD13" s="262" t="str">
        <f t="shared" ref="BD13:BD44" si="24">IF($C$9&gt;=$U155,"#"&amp;$U155&amp;":","")</f>
        <v/>
      </c>
      <c r="BE13" s="216" t="str">
        <f t="shared" ref="BE13:BE44" si="25">IF($C$9&gt;=$U155,$K13*0.3048,"")</f>
        <v/>
      </c>
      <c r="BF13" s="228" t="str">
        <f t="shared" ref="BF13:BF44" si="26">IF($C$9&gt;=$U155,$L13*0.3048,"")</f>
        <v/>
      </c>
      <c r="BG13" s="262" t="str">
        <f t="shared" ref="BG13:BG44" si="27">IF($C$9&gt;=$U205,"#"&amp;$U205&amp;":","")</f>
        <v/>
      </c>
      <c r="BH13" s="216" t="str">
        <f t="shared" ref="BH13:BH44" si="28">IF($C$9&gt;=$U205,$N13*0.3048,"")</f>
        <v/>
      </c>
      <c r="BI13" s="228" t="str">
        <f t="shared" ref="BI13:BI44" si="29">IF($C$9&gt;=$U205,$O13*0.3048,"")</f>
        <v/>
      </c>
      <c r="BJ13" s="262" t="str">
        <f t="shared" ref="BJ13:BJ44" si="30">IF($C$9&gt;=$U255,"#"&amp;$U255&amp;":","")</f>
        <v/>
      </c>
      <c r="BK13" s="216" t="str">
        <f t="shared" ref="BK13:BK44" si="31">IF($C$9&gt;=$U255,$Q13*0.3048,"")</f>
        <v/>
      </c>
      <c r="BL13" s="228" t="str">
        <f t="shared" ref="BL13:BL44" si="32">IF($C$9&gt;=$U255,$R13*0.3048,"")</f>
        <v/>
      </c>
    </row>
    <row r="14" spans="1:64" x14ac:dyDescent="0.25">
      <c r="A14" s="260" t="str">
        <f t="shared" si="9"/>
        <v>#2:</v>
      </c>
      <c r="B14" s="145">
        <v>0</v>
      </c>
      <c r="C14" s="145">
        <v>3</v>
      </c>
      <c r="D14" s="260" t="str">
        <f t="shared" si="10"/>
        <v/>
      </c>
      <c r="E14" s="145"/>
      <c r="F14" s="145"/>
      <c r="G14" s="260" t="str">
        <f t="shared" si="11"/>
        <v/>
      </c>
      <c r="H14" s="145"/>
      <c r="I14" s="145"/>
      <c r="J14" s="261" t="str">
        <f t="shared" si="12"/>
        <v/>
      </c>
      <c r="K14" s="145"/>
      <c r="L14" s="145"/>
      <c r="M14" s="260" t="str">
        <f t="shared" si="13"/>
        <v/>
      </c>
      <c r="N14" s="145"/>
      <c r="O14" s="145"/>
      <c r="P14" s="260" t="str">
        <f t="shared" si="14"/>
        <v/>
      </c>
      <c r="Q14" s="145"/>
      <c r="R14" s="145"/>
      <c r="S14" s="259"/>
      <c r="T14" s="2"/>
      <c r="U14" s="256">
        <v>10</v>
      </c>
      <c r="V14" s="16">
        <f t="shared" si="0"/>
        <v>13.500001000000001</v>
      </c>
      <c r="W14" s="16">
        <f t="shared" si="1"/>
        <v>-4.4999989999999999</v>
      </c>
      <c r="X14" s="16">
        <f t="shared" si="2"/>
        <v>182.25002700000104</v>
      </c>
      <c r="Y14" s="16">
        <f t="shared" si="3"/>
        <v>20.249991000001</v>
      </c>
      <c r="Z14" s="16">
        <f t="shared" si="4"/>
        <v>-60.749990999999</v>
      </c>
      <c r="AA14" s="17">
        <f t="shared" si="5"/>
        <v>-4.5</v>
      </c>
      <c r="AB14" s="17">
        <f t="shared" si="6"/>
        <v>13.5</v>
      </c>
      <c r="AC14" s="18">
        <f t="shared" si="7"/>
        <v>77.727272727272322</v>
      </c>
      <c r="AD14" s="18">
        <f t="shared" si="8"/>
        <v>1.8027756377319946</v>
      </c>
      <c r="AG14" s="2"/>
      <c r="AH14" s="2"/>
      <c r="AI14" s="2"/>
      <c r="AJ14" s="2"/>
      <c r="AK14" s="2"/>
      <c r="AL14" s="2"/>
      <c r="AM14" s="2"/>
      <c r="AN14" s="2"/>
      <c r="AO14" s="2"/>
      <c r="AP14" s="2"/>
      <c r="AQ14" s="2"/>
      <c r="AU14" s="262" t="str">
        <f t="shared" si="15"/>
        <v>#2:</v>
      </c>
      <c r="AV14" s="217">
        <f t="shared" si="16"/>
        <v>0</v>
      </c>
      <c r="AW14" s="229">
        <f t="shared" si="17"/>
        <v>0.9144000000000001</v>
      </c>
      <c r="AX14" s="262" t="str">
        <f t="shared" si="18"/>
        <v/>
      </c>
      <c r="AY14" s="217" t="str">
        <f t="shared" si="19"/>
        <v/>
      </c>
      <c r="AZ14" s="229" t="str">
        <f t="shared" si="20"/>
        <v/>
      </c>
      <c r="BA14" s="262" t="str">
        <f t="shared" si="21"/>
        <v/>
      </c>
      <c r="BB14" s="217" t="str">
        <f t="shared" si="22"/>
        <v/>
      </c>
      <c r="BC14" s="229" t="str">
        <f t="shared" si="23"/>
        <v/>
      </c>
      <c r="BD14" s="262" t="str">
        <f t="shared" si="24"/>
        <v/>
      </c>
      <c r="BE14" s="217" t="str">
        <f t="shared" si="25"/>
        <v/>
      </c>
      <c r="BF14" s="229" t="str">
        <f t="shared" si="26"/>
        <v/>
      </c>
      <c r="BG14" s="262" t="str">
        <f t="shared" si="27"/>
        <v/>
      </c>
      <c r="BH14" s="217" t="str">
        <f t="shared" si="28"/>
        <v/>
      </c>
      <c r="BI14" s="229" t="str">
        <f t="shared" si="29"/>
        <v/>
      </c>
      <c r="BJ14" s="262" t="str">
        <f t="shared" si="30"/>
        <v/>
      </c>
      <c r="BK14" s="217" t="str">
        <f t="shared" si="31"/>
        <v/>
      </c>
      <c r="BL14" s="229" t="str">
        <f t="shared" si="32"/>
        <v/>
      </c>
    </row>
    <row r="15" spans="1:64" x14ac:dyDescent="0.25">
      <c r="A15" s="260" t="str">
        <f t="shared" si="9"/>
        <v>#3:</v>
      </c>
      <c r="B15" s="145">
        <v>0</v>
      </c>
      <c r="C15" s="145">
        <v>6</v>
      </c>
      <c r="D15" s="260" t="str">
        <f t="shared" si="10"/>
        <v/>
      </c>
      <c r="E15" s="145"/>
      <c r="F15" s="145"/>
      <c r="G15" s="260" t="str">
        <f t="shared" si="11"/>
        <v/>
      </c>
      <c r="H15" s="145"/>
      <c r="I15" s="145"/>
      <c r="J15" s="261" t="str">
        <f t="shared" si="12"/>
        <v/>
      </c>
      <c r="K15" s="145"/>
      <c r="L15" s="145"/>
      <c r="M15" s="260" t="str">
        <f t="shared" si="13"/>
        <v/>
      </c>
      <c r="N15" s="145"/>
      <c r="O15" s="145"/>
      <c r="P15" s="260" t="str">
        <f t="shared" si="14"/>
        <v/>
      </c>
      <c r="Q15" s="145"/>
      <c r="R15" s="145"/>
      <c r="S15" s="259"/>
      <c r="T15" s="2"/>
      <c r="U15" s="256">
        <v>11</v>
      </c>
      <c r="V15" s="16">
        <f t="shared" si="0"/>
        <v>-13.499999000000001</v>
      </c>
      <c r="W15" s="16">
        <f t="shared" si="1"/>
        <v>-1.4999989999999999</v>
      </c>
      <c r="X15" s="16">
        <f t="shared" si="2"/>
        <v>182.24997300000101</v>
      </c>
      <c r="Y15" s="16">
        <f t="shared" si="3"/>
        <v>2.2499970000009997</v>
      </c>
      <c r="Z15" s="16">
        <f t="shared" si="4"/>
        <v>20.249985000001001</v>
      </c>
      <c r="AA15" s="17">
        <f t="shared" si="5"/>
        <v>-1.5</v>
      </c>
      <c r="AB15" s="17">
        <f t="shared" si="6"/>
        <v>-13.5</v>
      </c>
      <c r="AC15" s="18">
        <f t="shared" si="7"/>
        <v>78.939393939393753</v>
      </c>
      <c r="AD15" s="18">
        <f t="shared" si="8"/>
        <v>1.8027756377319946</v>
      </c>
      <c r="AG15" s="2"/>
      <c r="AH15" s="2"/>
      <c r="AI15" s="2"/>
      <c r="AJ15" s="2"/>
      <c r="AK15" s="2"/>
      <c r="AL15" s="2"/>
      <c r="AM15" s="2"/>
      <c r="AN15" s="2"/>
      <c r="AO15" s="2"/>
      <c r="AP15" s="2"/>
      <c r="AQ15" s="2"/>
      <c r="AU15" s="262" t="str">
        <f t="shared" si="15"/>
        <v>#3:</v>
      </c>
      <c r="AV15" s="217">
        <f t="shared" si="16"/>
        <v>0</v>
      </c>
      <c r="AW15" s="229">
        <f t="shared" si="17"/>
        <v>1.8288000000000002</v>
      </c>
      <c r="AX15" s="262" t="str">
        <f t="shared" si="18"/>
        <v/>
      </c>
      <c r="AY15" s="217" t="str">
        <f t="shared" si="19"/>
        <v/>
      </c>
      <c r="AZ15" s="229" t="str">
        <f t="shared" si="20"/>
        <v/>
      </c>
      <c r="BA15" s="262" t="str">
        <f t="shared" si="21"/>
        <v/>
      </c>
      <c r="BB15" s="217" t="str">
        <f t="shared" si="22"/>
        <v/>
      </c>
      <c r="BC15" s="229" t="str">
        <f t="shared" si="23"/>
        <v/>
      </c>
      <c r="BD15" s="262" t="str">
        <f t="shared" si="24"/>
        <v/>
      </c>
      <c r="BE15" s="217" t="str">
        <f t="shared" si="25"/>
        <v/>
      </c>
      <c r="BF15" s="229" t="str">
        <f t="shared" si="26"/>
        <v/>
      </c>
      <c r="BG15" s="262" t="str">
        <f t="shared" si="27"/>
        <v/>
      </c>
      <c r="BH15" s="217" t="str">
        <f t="shared" si="28"/>
        <v/>
      </c>
      <c r="BI15" s="229" t="str">
        <f t="shared" si="29"/>
        <v/>
      </c>
      <c r="BJ15" s="262" t="str">
        <f t="shared" si="30"/>
        <v/>
      </c>
      <c r="BK15" s="217" t="str">
        <f t="shared" si="31"/>
        <v/>
      </c>
      <c r="BL15" s="229" t="str">
        <f t="shared" si="32"/>
        <v/>
      </c>
    </row>
    <row r="16" spans="1:64" x14ac:dyDescent="0.25">
      <c r="A16" s="260" t="str">
        <f t="shared" si="9"/>
        <v>#4:</v>
      </c>
      <c r="B16" s="145">
        <v>0</v>
      </c>
      <c r="C16" s="145">
        <v>9</v>
      </c>
      <c r="D16" s="260" t="str">
        <f t="shared" si="10"/>
        <v/>
      </c>
      <c r="E16" s="145"/>
      <c r="F16" s="145"/>
      <c r="G16" s="260" t="str">
        <f t="shared" si="11"/>
        <v/>
      </c>
      <c r="H16" s="145"/>
      <c r="I16" s="145"/>
      <c r="J16" s="261" t="str">
        <f t="shared" si="12"/>
        <v/>
      </c>
      <c r="K16" s="145"/>
      <c r="L16" s="145"/>
      <c r="M16" s="260" t="str">
        <f t="shared" si="13"/>
        <v/>
      </c>
      <c r="N16" s="145"/>
      <c r="O16" s="145"/>
      <c r="P16" s="260" t="str">
        <f t="shared" si="14"/>
        <v/>
      </c>
      <c r="Q16" s="145"/>
      <c r="R16" s="145"/>
      <c r="S16" s="259"/>
      <c r="T16" s="2"/>
      <c r="U16" s="256">
        <v>12</v>
      </c>
      <c r="V16" s="16">
        <f t="shared" si="0"/>
        <v>-10.499998999999999</v>
      </c>
      <c r="W16" s="16">
        <f t="shared" si="1"/>
        <v>-1.4999989999999999</v>
      </c>
      <c r="X16" s="16">
        <f t="shared" si="2"/>
        <v>110.24997900000098</v>
      </c>
      <c r="Y16" s="16">
        <f t="shared" si="3"/>
        <v>2.2499970000009997</v>
      </c>
      <c r="Z16" s="16">
        <f t="shared" si="4"/>
        <v>15.749988000000997</v>
      </c>
      <c r="AA16" s="17">
        <f t="shared" si="5"/>
        <v>-1.5</v>
      </c>
      <c r="AB16" s="17">
        <f t="shared" si="6"/>
        <v>-10.5</v>
      </c>
      <c r="AC16" s="18">
        <f t="shared" si="7"/>
        <v>78.434343434343262</v>
      </c>
      <c r="AD16" s="18">
        <f t="shared" si="8"/>
        <v>1.8027756377319946</v>
      </c>
      <c r="AG16" s="2"/>
      <c r="AH16" s="2"/>
      <c r="AI16" s="2"/>
      <c r="AJ16" s="2"/>
      <c r="AK16" s="2"/>
      <c r="AL16" s="2"/>
      <c r="AM16" s="2"/>
      <c r="AN16" s="2"/>
      <c r="AO16" s="2"/>
      <c r="AP16" s="2"/>
      <c r="AQ16" s="2"/>
      <c r="AU16" s="262" t="str">
        <f t="shared" si="15"/>
        <v>#4:</v>
      </c>
      <c r="AV16" s="217">
        <f t="shared" si="16"/>
        <v>0</v>
      </c>
      <c r="AW16" s="229">
        <f t="shared" si="17"/>
        <v>2.7432000000000003</v>
      </c>
      <c r="AX16" s="262" t="str">
        <f t="shared" si="18"/>
        <v/>
      </c>
      <c r="AY16" s="217" t="str">
        <f t="shared" si="19"/>
        <v/>
      </c>
      <c r="AZ16" s="229" t="str">
        <f t="shared" si="20"/>
        <v/>
      </c>
      <c r="BA16" s="262" t="str">
        <f t="shared" si="21"/>
        <v/>
      </c>
      <c r="BB16" s="217" t="str">
        <f t="shared" si="22"/>
        <v/>
      </c>
      <c r="BC16" s="229" t="str">
        <f t="shared" si="23"/>
        <v/>
      </c>
      <c r="BD16" s="262" t="str">
        <f t="shared" si="24"/>
        <v/>
      </c>
      <c r="BE16" s="217" t="str">
        <f t="shared" si="25"/>
        <v/>
      </c>
      <c r="BF16" s="229" t="str">
        <f t="shared" si="26"/>
        <v/>
      </c>
      <c r="BG16" s="262" t="str">
        <f t="shared" si="27"/>
        <v/>
      </c>
      <c r="BH16" s="217" t="str">
        <f t="shared" si="28"/>
        <v/>
      </c>
      <c r="BI16" s="229" t="str">
        <f t="shared" si="29"/>
        <v/>
      </c>
      <c r="BJ16" s="262" t="str">
        <f t="shared" si="30"/>
        <v/>
      </c>
      <c r="BK16" s="217" t="str">
        <f t="shared" si="31"/>
        <v/>
      </c>
      <c r="BL16" s="229" t="str">
        <f t="shared" si="32"/>
        <v/>
      </c>
    </row>
    <row r="17" spans="1:64" x14ac:dyDescent="0.25">
      <c r="A17" s="260" t="str">
        <f t="shared" si="9"/>
        <v>#5:</v>
      </c>
      <c r="B17" s="145">
        <v>0</v>
      </c>
      <c r="C17" s="145">
        <v>12</v>
      </c>
      <c r="D17" s="260" t="str">
        <f t="shared" si="10"/>
        <v/>
      </c>
      <c r="E17" s="145"/>
      <c r="F17" s="145"/>
      <c r="G17" s="260" t="str">
        <f t="shared" si="11"/>
        <v/>
      </c>
      <c r="H17" s="145"/>
      <c r="I17" s="145"/>
      <c r="J17" s="261" t="str">
        <f t="shared" si="12"/>
        <v/>
      </c>
      <c r="K17" s="145"/>
      <c r="L17" s="145"/>
      <c r="M17" s="260" t="str">
        <f t="shared" si="13"/>
        <v/>
      </c>
      <c r="N17" s="145"/>
      <c r="O17" s="145"/>
      <c r="P17" s="260" t="str">
        <f t="shared" si="14"/>
        <v/>
      </c>
      <c r="Q17" s="145"/>
      <c r="R17" s="145"/>
      <c r="S17" s="259"/>
      <c r="T17" s="2"/>
      <c r="U17" s="256">
        <v>13</v>
      </c>
      <c r="V17" s="16">
        <f t="shared" si="0"/>
        <v>-7.4999989999999999</v>
      </c>
      <c r="W17" s="16">
        <f t="shared" si="1"/>
        <v>-1.4999989999999999</v>
      </c>
      <c r="X17" s="16">
        <f t="shared" si="2"/>
        <v>56.249985000000997</v>
      </c>
      <c r="Y17" s="16">
        <f t="shared" si="3"/>
        <v>2.2499970000009997</v>
      </c>
      <c r="Z17" s="16">
        <f t="shared" si="4"/>
        <v>11.249991000000998</v>
      </c>
      <c r="AA17" s="17">
        <f t="shared" si="5"/>
        <v>-1.5</v>
      </c>
      <c r="AB17" s="17">
        <f t="shared" si="6"/>
        <v>-7.5</v>
      </c>
      <c r="AC17" s="18">
        <f t="shared" si="7"/>
        <v>77.929292929292757</v>
      </c>
      <c r="AD17" s="18">
        <f t="shared" si="8"/>
        <v>1.8027756377319946</v>
      </c>
      <c r="AG17" s="2"/>
      <c r="AH17" s="2"/>
      <c r="AI17" s="2"/>
      <c r="AJ17" s="2"/>
      <c r="AK17" s="2"/>
      <c r="AL17" s="2"/>
      <c r="AM17" s="2"/>
      <c r="AN17" s="2"/>
      <c r="AO17" s="2"/>
      <c r="AP17" s="2"/>
      <c r="AQ17" s="2"/>
      <c r="AU17" s="262" t="str">
        <f t="shared" si="15"/>
        <v>#5:</v>
      </c>
      <c r="AV17" s="217">
        <f t="shared" si="16"/>
        <v>0</v>
      </c>
      <c r="AW17" s="229">
        <f t="shared" si="17"/>
        <v>3.6576000000000004</v>
      </c>
      <c r="AX17" s="262" t="str">
        <f t="shared" si="18"/>
        <v/>
      </c>
      <c r="AY17" s="217" t="str">
        <f t="shared" si="19"/>
        <v/>
      </c>
      <c r="AZ17" s="229" t="str">
        <f t="shared" si="20"/>
        <v/>
      </c>
      <c r="BA17" s="262" t="str">
        <f t="shared" si="21"/>
        <v/>
      </c>
      <c r="BB17" s="217" t="str">
        <f t="shared" si="22"/>
        <v/>
      </c>
      <c r="BC17" s="229" t="str">
        <f t="shared" si="23"/>
        <v/>
      </c>
      <c r="BD17" s="262" t="str">
        <f t="shared" si="24"/>
        <v/>
      </c>
      <c r="BE17" s="217" t="str">
        <f t="shared" si="25"/>
        <v/>
      </c>
      <c r="BF17" s="229" t="str">
        <f t="shared" si="26"/>
        <v/>
      </c>
      <c r="BG17" s="262" t="str">
        <f t="shared" si="27"/>
        <v/>
      </c>
      <c r="BH17" s="217" t="str">
        <f t="shared" si="28"/>
        <v/>
      </c>
      <c r="BI17" s="229" t="str">
        <f t="shared" si="29"/>
        <v/>
      </c>
      <c r="BJ17" s="262" t="str">
        <f t="shared" si="30"/>
        <v/>
      </c>
      <c r="BK17" s="217" t="str">
        <f t="shared" si="31"/>
        <v/>
      </c>
      <c r="BL17" s="229" t="str">
        <f t="shared" si="32"/>
        <v/>
      </c>
    </row>
    <row r="18" spans="1:64" x14ac:dyDescent="0.25">
      <c r="A18" s="260" t="str">
        <f t="shared" si="9"/>
        <v>#6:</v>
      </c>
      <c r="B18" s="145">
        <v>0</v>
      </c>
      <c r="C18" s="145">
        <v>15</v>
      </c>
      <c r="D18" s="260" t="str">
        <f t="shared" si="10"/>
        <v/>
      </c>
      <c r="E18" s="145"/>
      <c r="F18" s="145"/>
      <c r="G18" s="260" t="str">
        <f t="shared" si="11"/>
        <v/>
      </c>
      <c r="H18" s="145"/>
      <c r="I18" s="145"/>
      <c r="J18" s="261" t="str">
        <f t="shared" si="12"/>
        <v/>
      </c>
      <c r="K18" s="145"/>
      <c r="L18" s="145"/>
      <c r="M18" s="260" t="str">
        <f t="shared" si="13"/>
        <v/>
      </c>
      <c r="N18" s="145"/>
      <c r="O18" s="145"/>
      <c r="P18" s="260" t="str">
        <f t="shared" si="14"/>
        <v/>
      </c>
      <c r="Q18" s="145"/>
      <c r="R18" s="145"/>
      <c r="S18" s="259"/>
      <c r="T18" s="2"/>
      <c r="U18" s="256">
        <v>14</v>
      </c>
      <c r="V18" s="16">
        <f t="shared" si="0"/>
        <v>-4.4999990000000007</v>
      </c>
      <c r="W18" s="16">
        <f t="shared" si="1"/>
        <v>-1.4999989999999999</v>
      </c>
      <c r="X18" s="16">
        <f t="shared" si="2"/>
        <v>20.249991000001007</v>
      </c>
      <c r="Y18" s="16">
        <f t="shared" si="3"/>
        <v>2.2499970000009997</v>
      </c>
      <c r="Z18" s="16">
        <f t="shared" si="4"/>
        <v>6.7499940000010001</v>
      </c>
      <c r="AA18" s="17">
        <f t="shared" si="5"/>
        <v>-1.5</v>
      </c>
      <c r="AB18" s="17">
        <f t="shared" si="6"/>
        <v>-4.5</v>
      </c>
      <c r="AC18" s="18">
        <f t="shared" si="7"/>
        <v>77.424242424242266</v>
      </c>
      <c r="AD18" s="18">
        <f t="shared" si="8"/>
        <v>1.8027756377319946</v>
      </c>
      <c r="AG18" s="2"/>
      <c r="AH18" s="2"/>
      <c r="AI18" s="2"/>
      <c r="AJ18" s="2"/>
      <c r="AK18" s="2"/>
      <c r="AL18" s="2"/>
      <c r="AM18" s="2"/>
      <c r="AN18" s="2"/>
      <c r="AO18" s="2"/>
      <c r="AP18" s="2"/>
      <c r="AQ18" s="2"/>
      <c r="AU18" s="262" t="str">
        <f t="shared" si="15"/>
        <v>#6:</v>
      </c>
      <c r="AV18" s="217">
        <f t="shared" si="16"/>
        <v>0</v>
      </c>
      <c r="AW18" s="229">
        <f t="shared" si="17"/>
        <v>4.5720000000000001</v>
      </c>
      <c r="AX18" s="262" t="str">
        <f t="shared" si="18"/>
        <v/>
      </c>
      <c r="AY18" s="217" t="str">
        <f t="shared" si="19"/>
        <v/>
      </c>
      <c r="AZ18" s="229" t="str">
        <f t="shared" si="20"/>
        <v/>
      </c>
      <c r="BA18" s="262" t="str">
        <f t="shared" si="21"/>
        <v/>
      </c>
      <c r="BB18" s="217" t="str">
        <f t="shared" si="22"/>
        <v/>
      </c>
      <c r="BC18" s="229" t="str">
        <f t="shared" si="23"/>
        <v/>
      </c>
      <c r="BD18" s="262" t="str">
        <f t="shared" si="24"/>
        <v/>
      </c>
      <c r="BE18" s="217" t="str">
        <f t="shared" si="25"/>
        <v/>
      </c>
      <c r="BF18" s="229" t="str">
        <f t="shared" si="26"/>
        <v/>
      </c>
      <c r="BG18" s="262" t="str">
        <f t="shared" si="27"/>
        <v/>
      </c>
      <c r="BH18" s="217" t="str">
        <f t="shared" si="28"/>
        <v/>
      </c>
      <c r="BI18" s="229" t="str">
        <f t="shared" si="29"/>
        <v/>
      </c>
      <c r="BJ18" s="262" t="str">
        <f t="shared" si="30"/>
        <v/>
      </c>
      <c r="BK18" s="217" t="str">
        <f t="shared" si="31"/>
        <v/>
      </c>
      <c r="BL18" s="229" t="str">
        <f t="shared" si="32"/>
        <v/>
      </c>
    </row>
    <row r="19" spans="1:64" x14ac:dyDescent="0.25">
      <c r="A19" s="260" t="str">
        <f t="shared" si="9"/>
        <v>#7:</v>
      </c>
      <c r="B19" s="145">
        <v>0</v>
      </c>
      <c r="C19" s="145">
        <v>18</v>
      </c>
      <c r="D19" s="260" t="str">
        <f t="shared" si="10"/>
        <v/>
      </c>
      <c r="E19" s="145"/>
      <c r="F19" s="145"/>
      <c r="G19" s="260" t="str">
        <f t="shared" si="11"/>
        <v/>
      </c>
      <c r="H19" s="145"/>
      <c r="I19" s="145"/>
      <c r="J19" s="261" t="str">
        <f t="shared" si="12"/>
        <v/>
      </c>
      <c r="K19" s="145"/>
      <c r="L19" s="145"/>
      <c r="M19" s="260" t="str">
        <f t="shared" si="13"/>
        <v/>
      </c>
      <c r="N19" s="145"/>
      <c r="O19" s="145"/>
      <c r="P19" s="260" t="str">
        <f t="shared" si="14"/>
        <v/>
      </c>
      <c r="Q19" s="145"/>
      <c r="R19" s="145"/>
      <c r="S19" s="259"/>
      <c r="T19" s="2"/>
      <c r="U19" s="256">
        <v>15</v>
      </c>
      <c r="V19" s="16">
        <f t="shared" si="0"/>
        <v>-1.4999990000000007</v>
      </c>
      <c r="W19" s="16">
        <f t="shared" si="1"/>
        <v>-1.4999989999999999</v>
      </c>
      <c r="X19" s="16">
        <f t="shared" si="2"/>
        <v>2.2499970000010023</v>
      </c>
      <c r="Y19" s="16">
        <f t="shared" si="3"/>
        <v>2.2499970000009997</v>
      </c>
      <c r="Z19" s="16">
        <f t="shared" si="4"/>
        <v>2.249997000001001</v>
      </c>
      <c r="AA19" s="17">
        <f t="shared" si="5"/>
        <v>-1.5</v>
      </c>
      <c r="AB19" s="17">
        <f t="shared" si="6"/>
        <v>-1.5</v>
      </c>
      <c r="AC19" s="18">
        <f t="shared" si="7"/>
        <v>76.919191919191761</v>
      </c>
      <c r="AD19" s="18">
        <f t="shared" si="8"/>
        <v>1.8027756377319946</v>
      </c>
      <c r="AG19" s="2"/>
      <c r="AH19" s="2"/>
      <c r="AI19" s="2"/>
      <c r="AJ19" s="2"/>
      <c r="AK19" s="2"/>
      <c r="AL19" s="2"/>
      <c r="AM19" s="2"/>
      <c r="AN19" s="2"/>
      <c r="AO19" s="2"/>
      <c r="AP19" s="2"/>
      <c r="AQ19" s="2"/>
      <c r="AU19" s="262" t="str">
        <f t="shared" si="15"/>
        <v>#7:</v>
      </c>
      <c r="AV19" s="217">
        <f t="shared" si="16"/>
        <v>0</v>
      </c>
      <c r="AW19" s="229">
        <f t="shared" si="17"/>
        <v>5.4864000000000006</v>
      </c>
      <c r="AX19" s="262" t="str">
        <f t="shared" si="18"/>
        <v/>
      </c>
      <c r="AY19" s="217" t="str">
        <f t="shared" si="19"/>
        <v/>
      </c>
      <c r="AZ19" s="229" t="str">
        <f t="shared" si="20"/>
        <v/>
      </c>
      <c r="BA19" s="262" t="str">
        <f t="shared" si="21"/>
        <v/>
      </c>
      <c r="BB19" s="217" t="str">
        <f t="shared" si="22"/>
        <v/>
      </c>
      <c r="BC19" s="229" t="str">
        <f t="shared" si="23"/>
        <v/>
      </c>
      <c r="BD19" s="262" t="str">
        <f t="shared" si="24"/>
        <v/>
      </c>
      <c r="BE19" s="217" t="str">
        <f t="shared" si="25"/>
        <v/>
      </c>
      <c r="BF19" s="229" t="str">
        <f t="shared" si="26"/>
        <v/>
      </c>
      <c r="BG19" s="262" t="str">
        <f t="shared" si="27"/>
        <v/>
      </c>
      <c r="BH19" s="217" t="str">
        <f t="shared" si="28"/>
        <v/>
      </c>
      <c r="BI19" s="229" t="str">
        <f t="shared" si="29"/>
        <v/>
      </c>
      <c r="BJ19" s="262" t="str">
        <f t="shared" si="30"/>
        <v/>
      </c>
      <c r="BK19" s="217" t="str">
        <f t="shared" si="31"/>
        <v/>
      </c>
      <c r="BL19" s="229" t="str">
        <f t="shared" si="32"/>
        <v/>
      </c>
    </row>
    <row r="20" spans="1:64" x14ac:dyDescent="0.25">
      <c r="A20" s="260" t="str">
        <f t="shared" si="9"/>
        <v>#8:</v>
      </c>
      <c r="B20" s="145">
        <v>0</v>
      </c>
      <c r="C20" s="145">
        <v>21</v>
      </c>
      <c r="D20" s="260" t="str">
        <f t="shared" si="10"/>
        <v/>
      </c>
      <c r="E20" s="145"/>
      <c r="F20" s="145"/>
      <c r="G20" s="260" t="str">
        <f t="shared" si="11"/>
        <v/>
      </c>
      <c r="H20" s="145"/>
      <c r="I20" s="145"/>
      <c r="J20" s="261" t="str">
        <f t="shared" si="12"/>
        <v/>
      </c>
      <c r="K20" s="145"/>
      <c r="L20" s="145"/>
      <c r="M20" s="260" t="str">
        <f t="shared" si="13"/>
        <v/>
      </c>
      <c r="N20" s="145"/>
      <c r="O20" s="145"/>
      <c r="P20" s="260" t="str">
        <f t="shared" si="14"/>
        <v/>
      </c>
      <c r="Q20" s="145"/>
      <c r="R20" s="145"/>
      <c r="S20" s="259"/>
      <c r="T20" s="2"/>
      <c r="U20" s="256">
        <v>16</v>
      </c>
      <c r="V20" s="16">
        <f t="shared" si="0"/>
        <v>1.5000009999999993</v>
      </c>
      <c r="W20" s="16">
        <f t="shared" si="1"/>
        <v>-1.4999989999999999</v>
      </c>
      <c r="X20" s="16">
        <f t="shared" si="2"/>
        <v>2.2500030000009978</v>
      </c>
      <c r="Y20" s="16">
        <f t="shared" si="3"/>
        <v>2.2499970000009997</v>
      </c>
      <c r="Z20" s="16">
        <f t="shared" si="4"/>
        <v>-2.2499999999989986</v>
      </c>
      <c r="AA20" s="17">
        <f t="shared" si="5"/>
        <v>-1.5</v>
      </c>
      <c r="AB20" s="17">
        <f t="shared" si="6"/>
        <v>1.5</v>
      </c>
      <c r="AC20" s="18">
        <f t="shared" si="7"/>
        <v>76.41414141414127</v>
      </c>
      <c r="AD20" s="18">
        <f t="shared" si="8"/>
        <v>1.8027756377319946</v>
      </c>
      <c r="AG20" s="2"/>
      <c r="AH20" s="2"/>
      <c r="AI20" s="2"/>
      <c r="AJ20" s="2"/>
      <c r="AK20" s="2"/>
      <c r="AL20" s="2"/>
      <c r="AM20" s="2"/>
      <c r="AN20" s="2"/>
      <c r="AO20" s="2"/>
      <c r="AP20" s="2"/>
      <c r="AQ20" s="2"/>
      <c r="AU20" s="262" t="str">
        <f t="shared" si="15"/>
        <v>#8:</v>
      </c>
      <c r="AV20" s="217">
        <f t="shared" si="16"/>
        <v>0</v>
      </c>
      <c r="AW20" s="229">
        <f t="shared" si="17"/>
        <v>6.4008000000000003</v>
      </c>
      <c r="AX20" s="262" t="str">
        <f t="shared" si="18"/>
        <v/>
      </c>
      <c r="AY20" s="217" t="str">
        <f t="shared" si="19"/>
        <v/>
      </c>
      <c r="AZ20" s="229" t="str">
        <f t="shared" si="20"/>
        <v/>
      </c>
      <c r="BA20" s="262" t="str">
        <f t="shared" si="21"/>
        <v/>
      </c>
      <c r="BB20" s="217" t="str">
        <f t="shared" si="22"/>
        <v/>
      </c>
      <c r="BC20" s="229" t="str">
        <f t="shared" si="23"/>
        <v/>
      </c>
      <c r="BD20" s="262" t="str">
        <f t="shared" si="24"/>
        <v/>
      </c>
      <c r="BE20" s="217" t="str">
        <f t="shared" si="25"/>
        <v/>
      </c>
      <c r="BF20" s="229" t="str">
        <f t="shared" si="26"/>
        <v/>
      </c>
      <c r="BG20" s="262" t="str">
        <f t="shared" si="27"/>
        <v/>
      </c>
      <c r="BH20" s="217" t="str">
        <f t="shared" si="28"/>
        <v/>
      </c>
      <c r="BI20" s="229" t="str">
        <f t="shared" si="29"/>
        <v/>
      </c>
      <c r="BJ20" s="262" t="str">
        <f t="shared" si="30"/>
        <v/>
      </c>
      <c r="BK20" s="217" t="str">
        <f t="shared" si="31"/>
        <v/>
      </c>
      <c r="BL20" s="229" t="str">
        <f t="shared" si="32"/>
        <v/>
      </c>
    </row>
    <row r="21" spans="1:64" x14ac:dyDescent="0.25">
      <c r="A21" s="260" t="str">
        <f t="shared" si="9"/>
        <v>#9:</v>
      </c>
      <c r="B21" s="145">
        <v>0</v>
      </c>
      <c r="C21" s="145">
        <v>24</v>
      </c>
      <c r="D21" s="260" t="str">
        <f t="shared" si="10"/>
        <v/>
      </c>
      <c r="E21" s="145"/>
      <c r="F21" s="145"/>
      <c r="G21" s="260" t="str">
        <f t="shared" si="11"/>
        <v/>
      </c>
      <c r="H21" s="145"/>
      <c r="I21" s="145"/>
      <c r="J21" s="261" t="str">
        <f t="shared" si="12"/>
        <v/>
      </c>
      <c r="K21" s="145"/>
      <c r="L21" s="145"/>
      <c r="M21" s="260" t="str">
        <f t="shared" si="13"/>
        <v/>
      </c>
      <c r="N21" s="145"/>
      <c r="O21" s="145"/>
      <c r="P21" s="260" t="str">
        <f t="shared" si="14"/>
        <v/>
      </c>
      <c r="Q21" s="145"/>
      <c r="R21" s="145"/>
      <c r="S21" s="259"/>
      <c r="T21" s="2"/>
      <c r="U21" s="256">
        <v>17</v>
      </c>
      <c r="V21" s="16">
        <f t="shared" si="0"/>
        <v>4.500001000000001</v>
      </c>
      <c r="W21" s="16">
        <f t="shared" si="1"/>
        <v>-1.4999989999999999</v>
      </c>
      <c r="X21" s="16">
        <f t="shared" si="2"/>
        <v>20.250009000001008</v>
      </c>
      <c r="Y21" s="16">
        <f t="shared" si="3"/>
        <v>2.2499970000009997</v>
      </c>
      <c r="Z21" s="16">
        <f t="shared" si="4"/>
        <v>-6.7499969999990013</v>
      </c>
      <c r="AA21" s="17">
        <f t="shared" si="5"/>
        <v>-1.5</v>
      </c>
      <c r="AB21" s="17">
        <f t="shared" si="6"/>
        <v>4.5</v>
      </c>
      <c r="AC21" s="18">
        <f t="shared" si="7"/>
        <v>75.909090909090764</v>
      </c>
      <c r="AD21" s="18">
        <f t="shared" si="8"/>
        <v>1.8027756377319946</v>
      </c>
      <c r="AG21" s="2"/>
      <c r="AH21" s="2"/>
      <c r="AI21" s="2"/>
      <c r="AJ21" s="2"/>
      <c r="AK21" s="2"/>
      <c r="AL21" s="2"/>
      <c r="AM21" s="2"/>
      <c r="AN21" s="2"/>
      <c r="AO21" s="2"/>
      <c r="AP21" s="2"/>
      <c r="AQ21" s="2"/>
      <c r="AU21" s="262" t="str">
        <f t="shared" si="15"/>
        <v>#9:</v>
      </c>
      <c r="AV21" s="217">
        <f t="shared" si="16"/>
        <v>0</v>
      </c>
      <c r="AW21" s="229">
        <f t="shared" si="17"/>
        <v>7.3152000000000008</v>
      </c>
      <c r="AX21" s="262" t="str">
        <f t="shared" si="18"/>
        <v/>
      </c>
      <c r="AY21" s="217" t="str">
        <f t="shared" si="19"/>
        <v/>
      </c>
      <c r="AZ21" s="229" t="str">
        <f t="shared" si="20"/>
        <v/>
      </c>
      <c r="BA21" s="262" t="str">
        <f t="shared" si="21"/>
        <v/>
      </c>
      <c r="BB21" s="217" t="str">
        <f t="shared" si="22"/>
        <v/>
      </c>
      <c r="BC21" s="229" t="str">
        <f t="shared" si="23"/>
        <v/>
      </c>
      <c r="BD21" s="262" t="str">
        <f t="shared" si="24"/>
        <v/>
      </c>
      <c r="BE21" s="217" t="str">
        <f t="shared" si="25"/>
        <v/>
      </c>
      <c r="BF21" s="229" t="str">
        <f t="shared" si="26"/>
        <v/>
      </c>
      <c r="BG21" s="262" t="str">
        <f t="shared" si="27"/>
        <v/>
      </c>
      <c r="BH21" s="217" t="str">
        <f t="shared" si="28"/>
        <v/>
      </c>
      <c r="BI21" s="229" t="str">
        <f t="shared" si="29"/>
        <v/>
      </c>
      <c r="BJ21" s="262" t="str">
        <f t="shared" si="30"/>
        <v/>
      </c>
      <c r="BK21" s="217" t="str">
        <f t="shared" si="31"/>
        <v/>
      </c>
      <c r="BL21" s="229" t="str">
        <f t="shared" si="32"/>
        <v/>
      </c>
    </row>
    <row r="22" spans="1:64" x14ac:dyDescent="0.25">
      <c r="A22" s="260" t="str">
        <f t="shared" si="9"/>
        <v>#10:</v>
      </c>
      <c r="B22" s="145">
        <v>0</v>
      </c>
      <c r="C22" s="145">
        <v>27</v>
      </c>
      <c r="D22" s="260" t="str">
        <f t="shared" si="10"/>
        <v/>
      </c>
      <c r="E22" s="145"/>
      <c r="F22" s="145"/>
      <c r="G22" s="260" t="str">
        <f t="shared" si="11"/>
        <v/>
      </c>
      <c r="H22" s="145"/>
      <c r="I22" s="145"/>
      <c r="J22" s="261" t="str">
        <f t="shared" si="12"/>
        <v/>
      </c>
      <c r="K22" s="145"/>
      <c r="L22" s="145"/>
      <c r="M22" s="260" t="str">
        <f t="shared" si="13"/>
        <v/>
      </c>
      <c r="N22" s="145"/>
      <c r="O22" s="145"/>
      <c r="P22" s="260" t="str">
        <f t="shared" si="14"/>
        <v/>
      </c>
      <c r="Q22" s="145"/>
      <c r="R22" s="145"/>
      <c r="S22" s="259"/>
      <c r="T22" s="2"/>
      <c r="U22" s="256">
        <v>18</v>
      </c>
      <c r="V22" s="16">
        <f t="shared" si="0"/>
        <v>7.500001000000001</v>
      </c>
      <c r="W22" s="16">
        <f t="shared" si="1"/>
        <v>-1.4999989999999999</v>
      </c>
      <c r="X22" s="16">
        <f t="shared" si="2"/>
        <v>56.250015000001014</v>
      </c>
      <c r="Y22" s="16">
        <f t="shared" si="3"/>
        <v>2.2499970000009997</v>
      </c>
      <c r="Z22" s="16">
        <f t="shared" si="4"/>
        <v>-11.249993999999001</v>
      </c>
      <c r="AA22" s="17">
        <f t="shared" si="5"/>
        <v>-1.5</v>
      </c>
      <c r="AB22" s="17">
        <f t="shared" si="6"/>
        <v>7.5</v>
      </c>
      <c r="AC22" s="18">
        <f t="shared" si="7"/>
        <v>75.404040404040273</v>
      </c>
      <c r="AD22" s="18">
        <f t="shared" si="8"/>
        <v>1.8027756377319946</v>
      </c>
      <c r="AG22" s="2"/>
      <c r="AH22" s="2"/>
      <c r="AI22" s="2"/>
      <c r="AJ22" s="2"/>
      <c r="AK22" s="2"/>
      <c r="AL22" s="2"/>
      <c r="AM22" s="2"/>
      <c r="AN22" s="2"/>
      <c r="AO22" s="2"/>
      <c r="AP22" s="2"/>
      <c r="AQ22" s="2"/>
      <c r="AU22" s="262" t="str">
        <f t="shared" si="15"/>
        <v>#10:</v>
      </c>
      <c r="AV22" s="217">
        <f t="shared" si="16"/>
        <v>0</v>
      </c>
      <c r="AW22" s="229">
        <f t="shared" si="17"/>
        <v>8.2295999999999996</v>
      </c>
      <c r="AX22" s="262" t="str">
        <f t="shared" si="18"/>
        <v/>
      </c>
      <c r="AY22" s="217" t="str">
        <f t="shared" si="19"/>
        <v/>
      </c>
      <c r="AZ22" s="229" t="str">
        <f t="shared" si="20"/>
        <v/>
      </c>
      <c r="BA22" s="262" t="str">
        <f t="shared" si="21"/>
        <v/>
      </c>
      <c r="BB22" s="217" t="str">
        <f t="shared" si="22"/>
        <v/>
      </c>
      <c r="BC22" s="229" t="str">
        <f t="shared" si="23"/>
        <v/>
      </c>
      <c r="BD22" s="262" t="str">
        <f t="shared" si="24"/>
        <v/>
      </c>
      <c r="BE22" s="217" t="str">
        <f t="shared" si="25"/>
        <v/>
      </c>
      <c r="BF22" s="229" t="str">
        <f t="shared" si="26"/>
        <v/>
      </c>
      <c r="BG22" s="262" t="str">
        <f t="shared" si="27"/>
        <v/>
      </c>
      <c r="BH22" s="217" t="str">
        <f t="shared" si="28"/>
        <v/>
      </c>
      <c r="BI22" s="229" t="str">
        <f t="shared" si="29"/>
        <v/>
      </c>
      <c r="BJ22" s="262" t="str">
        <f t="shared" si="30"/>
        <v/>
      </c>
      <c r="BK22" s="217" t="str">
        <f t="shared" si="31"/>
        <v/>
      </c>
      <c r="BL22" s="229" t="str">
        <f t="shared" si="32"/>
        <v/>
      </c>
    </row>
    <row r="23" spans="1:64" x14ac:dyDescent="0.25">
      <c r="A23" s="260" t="str">
        <f t="shared" si="9"/>
        <v>#11:</v>
      </c>
      <c r="B23" s="145">
        <v>3</v>
      </c>
      <c r="C23" s="145">
        <v>0</v>
      </c>
      <c r="D23" s="260" t="str">
        <f t="shared" si="10"/>
        <v/>
      </c>
      <c r="E23" s="145"/>
      <c r="F23" s="145"/>
      <c r="G23" s="260" t="str">
        <f t="shared" si="11"/>
        <v/>
      </c>
      <c r="H23" s="145"/>
      <c r="I23" s="145"/>
      <c r="J23" s="261" t="str">
        <f t="shared" si="12"/>
        <v/>
      </c>
      <c r="K23" s="145"/>
      <c r="L23" s="145"/>
      <c r="M23" s="260" t="str">
        <f t="shared" si="13"/>
        <v/>
      </c>
      <c r="N23" s="145"/>
      <c r="O23" s="145"/>
      <c r="P23" s="260" t="str">
        <f t="shared" si="14"/>
        <v/>
      </c>
      <c r="Q23" s="145"/>
      <c r="R23" s="145"/>
      <c r="S23" s="259"/>
      <c r="T23" s="2"/>
      <c r="U23" s="256">
        <v>19</v>
      </c>
      <c r="V23" s="16">
        <f t="shared" si="0"/>
        <v>10.500001000000001</v>
      </c>
      <c r="W23" s="16">
        <f t="shared" si="1"/>
        <v>-1.4999989999999999</v>
      </c>
      <c r="X23" s="16">
        <f t="shared" si="2"/>
        <v>110.25002100000103</v>
      </c>
      <c r="Y23" s="16">
        <f t="shared" si="3"/>
        <v>2.2499970000009997</v>
      </c>
      <c r="Z23" s="16">
        <f t="shared" si="4"/>
        <v>-15.749990999999</v>
      </c>
      <c r="AA23" s="17">
        <f t="shared" si="5"/>
        <v>-1.5</v>
      </c>
      <c r="AB23" s="17">
        <f t="shared" si="6"/>
        <v>10.5</v>
      </c>
      <c r="AC23" s="18">
        <f t="shared" si="7"/>
        <v>74.898989898989768</v>
      </c>
      <c r="AD23" s="18">
        <f t="shared" si="8"/>
        <v>1.8027756377319946</v>
      </c>
      <c r="AG23" s="2"/>
      <c r="AH23" s="2"/>
      <c r="AI23" s="2"/>
      <c r="AJ23" s="2"/>
      <c r="AK23" s="2"/>
      <c r="AL23" s="2"/>
      <c r="AM23" s="2"/>
      <c r="AN23" s="2"/>
      <c r="AO23" s="2"/>
      <c r="AP23" s="2"/>
      <c r="AQ23" s="2"/>
      <c r="AU23" s="262" t="str">
        <f t="shared" si="15"/>
        <v>#11:</v>
      </c>
      <c r="AV23" s="217">
        <f t="shared" si="16"/>
        <v>0.9144000000000001</v>
      </c>
      <c r="AW23" s="229">
        <f t="shared" si="17"/>
        <v>0</v>
      </c>
      <c r="AX23" s="262" t="str">
        <f t="shared" si="18"/>
        <v/>
      </c>
      <c r="AY23" s="217" t="str">
        <f t="shared" si="19"/>
        <v/>
      </c>
      <c r="AZ23" s="229" t="str">
        <f t="shared" si="20"/>
        <v/>
      </c>
      <c r="BA23" s="262" t="str">
        <f t="shared" si="21"/>
        <v/>
      </c>
      <c r="BB23" s="217" t="str">
        <f t="shared" si="22"/>
        <v/>
      </c>
      <c r="BC23" s="229" t="str">
        <f t="shared" si="23"/>
        <v/>
      </c>
      <c r="BD23" s="262" t="str">
        <f t="shared" si="24"/>
        <v/>
      </c>
      <c r="BE23" s="217" t="str">
        <f t="shared" si="25"/>
        <v/>
      </c>
      <c r="BF23" s="229" t="str">
        <f t="shared" si="26"/>
        <v/>
      </c>
      <c r="BG23" s="262" t="str">
        <f t="shared" si="27"/>
        <v/>
      </c>
      <c r="BH23" s="217" t="str">
        <f t="shared" si="28"/>
        <v/>
      </c>
      <c r="BI23" s="229" t="str">
        <f t="shared" si="29"/>
        <v/>
      </c>
      <c r="BJ23" s="262" t="str">
        <f t="shared" si="30"/>
        <v/>
      </c>
      <c r="BK23" s="217" t="str">
        <f t="shared" si="31"/>
        <v/>
      </c>
      <c r="BL23" s="229" t="str">
        <f t="shared" si="32"/>
        <v/>
      </c>
    </row>
    <row r="24" spans="1:64" x14ac:dyDescent="0.25">
      <c r="A24" s="260" t="str">
        <f t="shared" si="9"/>
        <v>#12:</v>
      </c>
      <c r="B24" s="145">
        <v>3</v>
      </c>
      <c r="C24" s="145">
        <v>3</v>
      </c>
      <c r="D24" s="260" t="str">
        <f t="shared" si="10"/>
        <v/>
      </c>
      <c r="E24" s="145"/>
      <c r="F24" s="145"/>
      <c r="G24" s="260" t="str">
        <f t="shared" si="11"/>
        <v/>
      </c>
      <c r="H24" s="145"/>
      <c r="I24" s="145"/>
      <c r="J24" s="261" t="str">
        <f t="shared" si="12"/>
        <v/>
      </c>
      <c r="K24" s="145"/>
      <c r="L24" s="145"/>
      <c r="M24" s="260" t="str">
        <f t="shared" si="13"/>
        <v/>
      </c>
      <c r="N24" s="145"/>
      <c r="O24" s="145"/>
      <c r="P24" s="260" t="str">
        <f t="shared" si="14"/>
        <v/>
      </c>
      <c r="Q24" s="145"/>
      <c r="R24" s="145"/>
      <c r="S24" s="259"/>
      <c r="T24" s="2"/>
      <c r="U24" s="256">
        <v>20</v>
      </c>
      <c r="V24" s="16">
        <f t="shared" si="0"/>
        <v>13.500001000000001</v>
      </c>
      <c r="W24" s="16">
        <f t="shared" si="1"/>
        <v>-1.4999989999999999</v>
      </c>
      <c r="X24" s="16">
        <f t="shared" si="2"/>
        <v>182.25002700000104</v>
      </c>
      <c r="Y24" s="16">
        <f t="shared" si="3"/>
        <v>2.2499970000009997</v>
      </c>
      <c r="Z24" s="16">
        <f t="shared" si="4"/>
        <v>-20.249987999999</v>
      </c>
      <c r="AA24" s="17">
        <f t="shared" si="5"/>
        <v>-1.5</v>
      </c>
      <c r="AB24" s="17">
        <f t="shared" si="6"/>
        <v>13.5</v>
      </c>
      <c r="AC24" s="18">
        <f t="shared" si="7"/>
        <v>74.393939393939277</v>
      </c>
      <c r="AD24" s="18">
        <f t="shared" si="8"/>
        <v>1.8027756377319946</v>
      </c>
      <c r="AG24" s="2"/>
      <c r="AH24" s="2"/>
      <c r="AI24" s="2"/>
      <c r="AJ24" s="2"/>
      <c r="AK24" s="2"/>
      <c r="AL24" s="2"/>
      <c r="AM24" s="2"/>
      <c r="AN24" s="2"/>
      <c r="AO24" s="2"/>
      <c r="AP24" s="2"/>
      <c r="AQ24" s="2"/>
      <c r="AU24" s="262" t="str">
        <f t="shared" si="15"/>
        <v>#12:</v>
      </c>
      <c r="AV24" s="217">
        <f t="shared" si="16"/>
        <v>0.9144000000000001</v>
      </c>
      <c r="AW24" s="229">
        <f t="shared" si="17"/>
        <v>0.9144000000000001</v>
      </c>
      <c r="AX24" s="262" t="str">
        <f t="shared" si="18"/>
        <v/>
      </c>
      <c r="AY24" s="217" t="str">
        <f t="shared" si="19"/>
        <v/>
      </c>
      <c r="AZ24" s="229" t="str">
        <f t="shared" si="20"/>
        <v/>
      </c>
      <c r="BA24" s="262" t="str">
        <f t="shared" si="21"/>
        <v/>
      </c>
      <c r="BB24" s="217" t="str">
        <f t="shared" si="22"/>
        <v/>
      </c>
      <c r="BC24" s="229" t="str">
        <f t="shared" si="23"/>
        <v/>
      </c>
      <c r="BD24" s="262" t="str">
        <f t="shared" si="24"/>
        <v/>
      </c>
      <c r="BE24" s="217" t="str">
        <f t="shared" si="25"/>
        <v/>
      </c>
      <c r="BF24" s="229" t="str">
        <f t="shared" si="26"/>
        <v/>
      </c>
      <c r="BG24" s="262" t="str">
        <f t="shared" si="27"/>
        <v/>
      </c>
      <c r="BH24" s="217" t="str">
        <f t="shared" si="28"/>
        <v/>
      </c>
      <c r="BI24" s="229" t="str">
        <f t="shared" si="29"/>
        <v/>
      </c>
      <c r="BJ24" s="262" t="str">
        <f t="shared" si="30"/>
        <v/>
      </c>
      <c r="BK24" s="217" t="str">
        <f t="shared" si="31"/>
        <v/>
      </c>
      <c r="BL24" s="229" t="str">
        <f t="shared" si="32"/>
        <v/>
      </c>
    </row>
    <row r="25" spans="1:64" x14ac:dyDescent="0.25">
      <c r="A25" s="260" t="str">
        <f t="shared" si="9"/>
        <v>#13:</v>
      </c>
      <c r="B25" s="145">
        <v>3</v>
      </c>
      <c r="C25" s="145">
        <v>6</v>
      </c>
      <c r="D25" s="260" t="str">
        <f t="shared" si="10"/>
        <v/>
      </c>
      <c r="E25" s="145"/>
      <c r="F25" s="145"/>
      <c r="G25" s="260" t="str">
        <f t="shared" si="11"/>
        <v/>
      </c>
      <c r="H25" s="145"/>
      <c r="I25" s="145"/>
      <c r="J25" s="261" t="str">
        <f t="shared" si="12"/>
        <v/>
      </c>
      <c r="K25" s="145"/>
      <c r="L25" s="145"/>
      <c r="M25" s="260" t="str">
        <f t="shared" si="13"/>
        <v/>
      </c>
      <c r="N25" s="145"/>
      <c r="O25" s="145"/>
      <c r="P25" s="260" t="str">
        <f t="shared" si="14"/>
        <v/>
      </c>
      <c r="Q25" s="145"/>
      <c r="R25" s="145"/>
      <c r="S25" s="259"/>
      <c r="T25" s="2"/>
      <c r="U25" s="256">
        <v>21</v>
      </c>
      <c r="V25" s="16">
        <f t="shared" si="0"/>
        <v>-13.499999000000001</v>
      </c>
      <c r="W25" s="16">
        <f t="shared" si="1"/>
        <v>1.5000010000000001</v>
      </c>
      <c r="X25" s="16">
        <f t="shared" si="2"/>
        <v>182.24997300000101</v>
      </c>
      <c r="Y25" s="16">
        <f t="shared" si="3"/>
        <v>2.2500030000010005</v>
      </c>
      <c r="Z25" s="16">
        <f t="shared" si="4"/>
        <v>-20.250011999999003</v>
      </c>
      <c r="AA25" s="17">
        <f t="shared" si="5"/>
        <v>1.5</v>
      </c>
      <c r="AB25" s="17">
        <f t="shared" si="6"/>
        <v>-13.5</v>
      </c>
      <c r="AC25" s="18">
        <f t="shared" si="7"/>
        <v>75.606060606060723</v>
      </c>
      <c r="AD25" s="18">
        <f t="shared" si="8"/>
        <v>1.8027756377319946</v>
      </c>
      <c r="AG25" s="2"/>
      <c r="AH25" s="2"/>
      <c r="AI25" s="2"/>
      <c r="AJ25" s="2"/>
      <c r="AK25" s="2"/>
      <c r="AL25" s="2"/>
      <c r="AM25" s="2"/>
      <c r="AN25" s="2"/>
      <c r="AO25" s="2"/>
      <c r="AP25" s="2"/>
      <c r="AQ25" s="2"/>
      <c r="AU25" s="262" t="str">
        <f t="shared" si="15"/>
        <v>#13:</v>
      </c>
      <c r="AV25" s="217">
        <f t="shared" si="16"/>
        <v>0.9144000000000001</v>
      </c>
      <c r="AW25" s="229">
        <f t="shared" si="17"/>
        <v>1.8288000000000002</v>
      </c>
      <c r="AX25" s="262" t="str">
        <f t="shared" si="18"/>
        <v/>
      </c>
      <c r="AY25" s="217" t="str">
        <f t="shared" si="19"/>
        <v/>
      </c>
      <c r="AZ25" s="229" t="str">
        <f t="shared" si="20"/>
        <v/>
      </c>
      <c r="BA25" s="262" t="str">
        <f t="shared" si="21"/>
        <v/>
      </c>
      <c r="BB25" s="217" t="str">
        <f t="shared" si="22"/>
        <v/>
      </c>
      <c r="BC25" s="229" t="str">
        <f t="shared" si="23"/>
        <v/>
      </c>
      <c r="BD25" s="262" t="str">
        <f t="shared" si="24"/>
        <v/>
      </c>
      <c r="BE25" s="217" t="str">
        <f t="shared" si="25"/>
        <v/>
      </c>
      <c r="BF25" s="229" t="str">
        <f t="shared" si="26"/>
        <v/>
      </c>
      <c r="BG25" s="262" t="str">
        <f t="shared" si="27"/>
        <v/>
      </c>
      <c r="BH25" s="217" t="str">
        <f t="shared" si="28"/>
        <v/>
      </c>
      <c r="BI25" s="229" t="str">
        <f t="shared" si="29"/>
        <v/>
      </c>
      <c r="BJ25" s="262" t="str">
        <f t="shared" si="30"/>
        <v/>
      </c>
      <c r="BK25" s="217" t="str">
        <f t="shared" si="31"/>
        <v/>
      </c>
      <c r="BL25" s="229" t="str">
        <f t="shared" si="32"/>
        <v/>
      </c>
    </row>
    <row r="26" spans="1:64" x14ac:dyDescent="0.25">
      <c r="A26" s="260" t="str">
        <f t="shared" si="9"/>
        <v>#14:</v>
      </c>
      <c r="B26" s="145">
        <v>3</v>
      </c>
      <c r="C26" s="145">
        <v>9</v>
      </c>
      <c r="D26" s="260" t="str">
        <f t="shared" si="10"/>
        <v/>
      </c>
      <c r="E26" s="145"/>
      <c r="F26" s="145"/>
      <c r="G26" s="260" t="str">
        <f t="shared" si="11"/>
        <v/>
      </c>
      <c r="H26" s="145"/>
      <c r="I26" s="145"/>
      <c r="J26" s="261" t="str">
        <f t="shared" si="12"/>
        <v/>
      </c>
      <c r="K26" s="145"/>
      <c r="L26" s="145"/>
      <c r="M26" s="260" t="str">
        <f t="shared" si="13"/>
        <v/>
      </c>
      <c r="N26" s="145"/>
      <c r="O26" s="145"/>
      <c r="P26" s="260" t="str">
        <f t="shared" si="14"/>
        <v/>
      </c>
      <c r="Q26" s="145"/>
      <c r="R26" s="145"/>
      <c r="S26" s="259"/>
      <c r="T26" s="2"/>
      <c r="U26" s="256">
        <v>22</v>
      </c>
      <c r="V26" s="16">
        <f t="shared" si="0"/>
        <v>-10.499998999999999</v>
      </c>
      <c r="W26" s="16">
        <f t="shared" si="1"/>
        <v>1.5000010000000001</v>
      </c>
      <c r="X26" s="16">
        <f t="shared" si="2"/>
        <v>110.24997900000098</v>
      </c>
      <c r="Y26" s="16">
        <f t="shared" si="3"/>
        <v>2.2500030000010005</v>
      </c>
      <c r="Z26" s="16">
        <f t="shared" si="4"/>
        <v>-15.750008999999</v>
      </c>
      <c r="AA26" s="17">
        <f t="shared" si="5"/>
        <v>1.5</v>
      </c>
      <c r="AB26" s="17">
        <f t="shared" si="6"/>
        <v>-10.5</v>
      </c>
      <c r="AC26" s="18">
        <f t="shared" si="7"/>
        <v>75.101010101010232</v>
      </c>
      <c r="AD26" s="18">
        <f t="shared" si="8"/>
        <v>1.8027756377319946</v>
      </c>
      <c r="AG26" s="2"/>
      <c r="AH26" s="2"/>
      <c r="AI26" s="2"/>
      <c r="AJ26" s="2"/>
      <c r="AK26" s="2"/>
      <c r="AL26" s="2"/>
      <c r="AM26" s="2"/>
      <c r="AN26" s="2"/>
      <c r="AO26" s="2"/>
      <c r="AP26" s="2"/>
      <c r="AQ26" s="2"/>
      <c r="AT26" s="2"/>
      <c r="AU26" s="262" t="str">
        <f t="shared" si="15"/>
        <v>#14:</v>
      </c>
      <c r="AV26" s="217">
        <f t="shared" si="16"/>
        <v>0.9144000000000001</v>
      </c>
      <c r="AW26" s="229">
        <f t="shared" si="17"/>
        <v>2.7432000000000003</v>
      </c>
      <c r="AX26" s="262" t="str">
        <f t="shared" si="18"/>
        <v/>
      </c>
      <c r="AY26" s="217" t="str">
        <f t="shared" si="19"/>
        <v/>
      </c>
      <c r="AZ26" s="229" t="str">
        <f t="shared" si="20"/>
        <v/>
      </c>
      <c r="BA26" s="262" t="str">
        <f t="shared" si="21"/>
        <v/>
      </c>
      <c r="BB26" s="217" t="str">
        <f t="shared" si="22"/>
        <v/>
      </c>
      <c r="BC26" s="229" t="str">
        <f t="shared" si="23"/>
        <v/>
      </c>
      <c r="BD26" s="262" t="str">
        <f t="shared" si="24"/>
        <v/>
      </c>
      <c r="BE26" s="217" t="str">
        <f t="shared" si="25"/>
        <v/>
      </c>
      <c r="BF26" s="229" t="str">
        <f t="shared" si="26"/>
        <v/>
      </c>
      <c r="BG26" s="262" t="str">
        <f t="shared" si="27"/>
        <v/>
      </c>
      <c r="BH26" s="217" t="str">
        <f t="shared" si="28"/>
        <v/>
      </c>
      <c r="BI26" s="229" t="str">
        <f t="shared" si="29"/>
        <v/>
      </c>
      <c r="BJ26" s="262" t="str">
        <f t="shared" si="30"/>
        <v/>
      </c>
      <c r="BK26" s="217" t="str">
        <f t="shared" si="31"/>
        <v/>
      </c>
      <c r="BL26" s="229" t="str">
        <f t="shared" si="32"/>
        <v/>
      </c>
    </row>
    <row r="27" spans="1:64" x14ac:dyDescent="0.25">
      <c r="A27" s="260" t="str">
        <f t="shared" si="9"/>
        <v>#15:</v>
      </c>
      <c r="B27" s="145">
        <v>3</v>
      </c>
      <c r="C27" s="145">
        <v>12</v>
      </c>
      <c r="D27" s="260" t="str">
        <f t="shared" si="10"/>
        <v/>
      </c>
      <c r="E27" s="145"/>
      <c r="F27" s="145"/>
      <c r="G27" s="260" t="str">
        <f t="shared" si="11"/>
        <v/>
      </c>
      <c r="H27" s="145"/>
      <c r="I27" s="145"/>
      <c r="J27" s="261" t="str">
        <f t="shared" si="12"/>
        <v/>
      </c>
      <c r="K27" s="145"/>
      <c r="L27" s="145"/>
      <c r="M27" s="260" t="str">
        <f t="shared" si="13"/>
        <v/>
      </c>
      <c r="N27" s="145"/>
      <c r="O27" s="145"/>
      <c r="P27" s="260" t="str">
        <f t="shared" si="14"/>
        <v/>
      </c>
      <c r="Q27" s="145"/>
      <c r="R27" s="145"/>
      <c r="S27" s="259"/>
      <c r="T27" s="2"/>
      <c r="U27" s="256">
        <v>23</v>
      </c>
      <c r="V27" s="16">
        <f t="shared" si="0"/>
        <v>-7.4999989999999999</v>
      </c>
      <c r="W27" s="16">
        <f t="shared" si="1"/>
        <v>1.5000010000000001</v>
      </c>
      <c r="X27" s="16">
        <f t="shared" si="2"/>
        <v>56.249985000000997</v>
      </c>
      <c r="Y27" s="16">
        <f t="shared" si="3"/>
        <v>2.2500030000010005</v>
      </c>
      <c r="Z27" s="16">
        <f t="shared" si="4"/>
        <v>-11.250005999999001</v>
      </c>
      <c r="AA27" s="17">
        <f t="shared" si="5"/>
        <v>1.5</v>
      </c>
      <c r="AB27" s="17">
        <f t="shared" si="6"/>
        <v>-7.5</v>
      </c>
      <c r="AC27" s="18">
        <f t="shared" si="7"/>
        <v>74.595959595959727</v>
      </c>
      <c r="AD27" s="18">
        <f t="shared" si="8"/>
        <v>1.8027756377319946</v>
      </c>
      <c r="AG27" s="2"/>
      <c r="AH27" s="2"/>
      <c r="AI27" s="2"/>
      <c r="AJ27" s="2"/>
      <c r="AK27" s="2"/>
      <c r="AL27" s="2"/>
      <c r="AM27" s="2"/>
      <c r="AN27" s="2"/>
      <c r="AO27" s="2"/>
      <c r="AP27" s="2"/>
      <c r="AQ27" s="2"/>
      <c r="AT27" s="2"/>
      <c r="AU27" s="262" t="str">
        <f t="shared" si="15"/>
        <v>#15:</v>
      </c>
      <c r="AV27" s="217">
        <f t="shared" si="16"/>
        <v>0.9144000000000001</v>
      </c>
      <c r="AW27" s="229">
        <f t="shared" si="17"/>
        <v>3.6576000000000004</v>
      </c>
      <c r="AX27" s="262" t="str">
        <f t="shared" si="18"/>
        <v/>
      </c>
      <c r="AY27" s="217" t="str">
        <f t="shared" si="19"/>
        <v/>
      </c>
      <c r="AZ27" s="229" t="str">
        <f t="shared" si="20"/>
        <v/>
      </c>
      <c r="BA27" s="262" t="str">
        <f t="shared" si="21"/>
        <v/>
      </c>
      <c r="BB27" s="217" t="str">
        <f t="shared" si="22"/>
        <v/>
      </c>
      <c r="BC27" s="229" t="str">
        <f t="shared" si="23"/>
        <v/>
      </c>
      <c r="BD27" s="262" t="str">
        <f t="shared" si="24"/>
        <v/>
      </c>
      <c r="BE27" s="217" t="str">
        <f t="shared" si="25"/>
        <v/>
      </c>
      <c r="BF27" s="229" t="str">
        <f t="shared" si="26"/>
        <v/>
      </c>
      <c r="BG27" s="262" t="str">
        <f t="shared" si="27"/>
        <v/>
      </c>
      <c r="BH27" s="217" t="str">
        <f t="shared" si="28"/>
        <v/>
      </c>
      <c r="BI27" s="229" t="str">
        <f t="shared" si="29"/>
        <v/>
      </c>
      <c r="BJ27" s="262" t="str">
        <f t="shared" si="30"/>
        <v/>
      </c>
      <c r="BK27" s="217" t="str">
        <f t="shared" si="31"/>
        <v/>
      </c>
      <c r="BL27" s="229" t="str">
        <f t="shared" si="32"/>
        <v/>
      </c>
    </row>
    <row r="28" spans="1:64" x14ac:dyDescent="0.25">
      <c r="A28" s="260" t="str">
        <f t="shared" si="9"/>
        <v>#16:</v>
      </c>
      <c r="B28" s="145">
        <v>3</v>
      </c>
      <c r="C28" s="145">
        <v>15</v>
      </c>
      <c r="D28" s="260" t="str">
        <f t="shared" si="10"/>
        <v/>
      </c>
      <c r="E28" s="145"/>
      <c r="F28" s="145"/>
      <c r="G28" s="260" t="str">
        <f t="shared" si="11"/>
        <v/>
      </c>
      <c r="H28" s="145"/>
      <c r="I28" s="145"/>
      <c r="J28" s="261" t="str">
        <f t="shared" si="12"/>
        <v/>
      </c>
      <c r="K28" s="145"/>
      <c r="L28" s="145"/>
      <c r="M28" s="260" t="str">
        <f t="shared" si="13"/>
        <v/>
      </c>
      <c r="N28" s="145"/>
      <c r="O28" s="145"/>
      <c r="P28" s="260" t="str">
        <f t="shared" si="14"/>
        <v/>
      </c>
      <c r="Q28" s="145"/>
      <c r="R28" s="145"/>
      <c r="S28" s="259"/>
      <c r="T28" s="2"/>
      <c r="U28" s="256">
        <v>24</v>
      </c>
      <c r="V28" s="16">
        <f t="shared" si="0"/>
        <v>-4.4999990000000007</v>
      </c>
      <c r="W28" s="16">
        <f t="shared" si="1"/>
        <v>1.5000010000000001</v>
      </c>
      <c r="X28" s="16">
        <f t="shared" si="2"/>
        <v>20.249991000001007</v>
      </c>
      <c r="Y28" s="16">
        <f t="shared" si="3"/>
        <v>2.2500030000010005</v>
      </c>
      <c r="Z28" s="16">
        <f t="shared" si="4"/>
        <v>-6.7500029999990021</v>
      </c>
      <c r="AA28" s="17">
        <f t="shared" si="5"/>
        <v>1.5</v>
      </c>
      <c r="AB28" s="17">
        <f t="shared" si="6"/>
        <v>-4.5</v>
      </c>
      <c r="AC28" s="18">
        <f t="shared" si="7"/>
        <v>74.090909090909236</v>
      </c>
      <c r="AD28" s="18">
        <f t="shared" si="8"/>
        <v>1.8027756377319946</v>
      </c>
      <c r="AG28" s="2"/>
      <c r="AH28" s="2"/>
      <c r="AI28" s="2"/>
      <c r="AJ28" s="2"/>
      <c r="AK28" s="2"/>
      <c r="AL28" s="2"/>
      <c r="AM28" s="2"/>
      <c r="AN28" s="2"/>
      <c r="AO28" s="2"/>
      <c r="AP28" s="2"/>
      <c r="AQ28" s="2"/>
      <c r="AT28" s="2"/>
      <c r="AU28" s="262" t="str">
        <f t="shared" si="15"/>
        <v>#16:</v>
      </c>
      <c r="AV28" s="217">
        <f t="shared" si="16"/>
        <v>0.9144000000000001</v>
      </c>
      <c r="AW28" s="229">
        <f t="shared" si="17"/>
        <v>4.5720000000000001</v>
      </c>
      <c r="AX28" s="262" t="str">
        <f t="shared" si="18"/>
        <v/>
      </c>
      <c r="AY28" s="217" t="str">
        <f t="shared" si="19"/>
        <v/>
      </c>
      <c r="AZ28" s="229" t="str">
        <f t="shared" si="20"/>
        <v/>
      </c>
      <c r="BA28" s="262" t="str">
        <f t="shared" si="21"/>
        <v/>
      </c>
      <c r="BB28" s="217" t="str">
        <f t="shared" si="22"/>
        <v/>
      </c>
      <c r="BC28" s="229" t="str">
        <f t="shared" si="23"/>
        <v/>
      </c>
      <c r="BD28" s="262" t="str">
        <f t="shared" si="24"/>
        <v/>
      </c>
      <c r="BE28" s="217" t="str">
        <f t="shared" si="25"/>
        <v/>
      </c>
      <c r="BF28" s="229" t="str">
        <f t="shared" si="26"/>
        <v/>
      </c>
      <c r="BG28" s="262" t="str">
        <f t="shared" si="27"/>
        <v/>
      </c>
      <c r="BH28" s="217" t="str">
        <f t="shared" si="28"/>
        <v/>
      </c>
      <c r="BI28" s="229" t="str">
        <f t="shared" si="29"/>
        <v/>
      </c>
      <c r="BJ28" s="262" t="str">
        <f t="shared" si="30"/>
        <v/>
      </c>
      <c r="BK28" s="217" t="str">
        <f t="shared" si="31"/>
        <v/>
      </c>
      <c r="BL28" s="229" t="str">
        <f t="shared" si="32"/>
        <v/>
      </c>
    </row>
    <row r="29" spans="1:64" x14ac:dyDescent="0.25">
      <c r="A29" s="260" t="str">
        <f t="shared" si="9"/>
        <v>#17:</v>
      </c>
      <c r="B29" s="145">
        <v>3</v>
      </c>
      <c r="C29" s="145">
        <v>18</v>
      </c>
      <c r="D29" s="260" t="str">
        <f t="shared" si="10"/>
        <v/>
      </c>
      <c r="E29" s="145"/>
      <c r="F29" s="145"/>
      <c r="G29" s="260" t="str">
        <f t="shared" si="11"/>
        <v/>
      </c>
      <c r="H29" s="145"/>
      <c r="I29" s="145"/>
      <c r="J29" s="261" t="str">
        <f t="shared" si="12"/>
        <v/>
      </c>
      <c r="K29" s="145"/>
      <c r="L29" s="145"/>
      <c r="M29" s="260" t="str">
        <f t="shared" si="13"/>
        <v/>
      </c>
      <c r="N29" s="145"/>
      <c r="O29" s="145"/>
      <c r="P29" s="260" t="str">
        <f t="shared" si="14"/>
        <v/>
      </c>
      <c r="Q29" s="145"/>
      <c r="R29" s="145"/>
      <c r="S29" s="259"/>
      <c r="T29" s="2"/>
      <c r="U29" s="256">
        <v>25</v>
      </c>
      <c r="V29" s="16">
        <f t="shared" si="0"/>
        <v>-1.4999990000000007</v>
      </c>
      <c r="W29" s="16">
        <f t="shared" si="1"/>
        <v>1.5000010000000001</v>
      </c>
      <c r="X29" s="16">
        <f t="shared" si="2"/>
        <v>2.2499970000010023</v>
      </c>
      <c r="Y29" s="16">
        <f t="shared" si="3"/>
        <v>2.2500030000010005</v>
      </c>
      <c r="Z29" s="16">
        <f t="shared" si="4"/>
        <v>-2.2499999999990012</v>
      </c>
      <c r="AA29" s="17">
        <f t="shared" si="5"/>
        <v>1.5</v>
      </c>
      <c r="AB29" s="17">
        <f t="shared" si="6"/>
        <v>-1.5</v>
      </c>
      <c r="AC29" s="18">
        <f t="shared" si="7"/>
        <v>73.58585858585873</v>
      </c>
      <c r="AD29" s="18">
        <f t="shared" si="8"/>
        <v>1.8027756377319946</v>
      </c>
      <c r="AG29" s="2"/>
      <c r="AH29" s="2"/>
      <c r="AI29" s="2"/>
      <c r="AJ29" s="2"/>
      <c r="AK29" s="2"/>
      <c r="AL29" s="2"/>
      <c r="AM29" s="2"/>
      <c r="AN29" s="2"/>
      <c r="AO29" s="2"/>
      <c r="AP29" s="2"/>
      <c r="AQ29" s="2"/>
      <c r="AT29" s="2"/>
      <c r="AU29" s="262" t="str">
        <f t="shared" si="15"/>
        <v>#17:</v>
      </c>
      <c r="AV29" s="217">
        <f t="shared" si="16"/>
        <v>0.9144000000000001</v>
      </c>
      <c r="AW29" s="229">
        <f t="shared" si="17"/>
        <v>5.4864000000000006</v>
      </c>
      <c r="AX29" s="262" t="str">
        <f t="shared" si="18"/>
        <v/>
      </c>
      <c r="AY29" s="217" t="str">
        <f t="shared" si="19"/>
        <v/>
      </c>
      <c r="AZ29" s="229" t="str">
        <f t="shared" si="20"/>
        <v/>
      </c>
      <c r="BA29" s="262" t="str">
        <f t="shared" si="21"/>
        <v/>
      </c>
      <c r="BB29" s="217" t="str">
        <f t="shared" si="22"/>
        <v/>
      </c>
      <c r="BC29" s="229" t="str">
        <f t="shared" si="23"/>
        <v/>
      </c>
      <c r="BD29" s="262" t="str">
        <f t="shared" si="24"/>
        <v/>
      </c>
      <c r="BE29" s="217" t="str">
        <f t="shared" si="25"/>
        <v/>
      </c>
      <c r="BF29" s="229" t="str">
        <f t="shared" si="26"/>
        <v/>
      </c>
      <c r="BG29" s="262" t="str">
        <f t="shared" si="27"/>
        <v/>
      </c>
      <c r="BH29" s="217" t="str">
        <f t="shared" si="28"/>
        <v/>
      </c>
      <c r="BI29" s="229" t="str">
        <f t="shared" si="29"/>
        <v/>
      </c>
      <c r="BJ29" s="262" t="str">
        <f t="shared" si="30"/>
        <v/>
      </c>
      <c r="BK29" s="217" t="str">
        <f t="shared" si="31"/>
        <v/>
      </c>
      <c r="BL29" s="229" t="str">
        <f t="shared" si="32"/>
        <v/>
      </c>
    </row>
    <row r="30" spans="1:64" x14ac:dyDescent="0.25">
      <c r="A30" s="260" t="str">
        <f t="shared" si="9"/>
        <v>#18:</v>
      </c>
      <c r="B30" s="145">
        <v>3</v>
      </c>
      <c r="C30" s="145">
        <v>21</v>
      </c>
      <c r="D30" s="260" t="str">
        <f t="shared" si="10"/>
        <v/>
      </c>
      <c r="E30" s="145"/>
      <c r="F30" s="145"/>
      <c r="G30" s="260" t="str">
        <f t="shared" si="11"/>
        <v/>
      </c>
      <c r="H30" s="145"/>
      <c r="I30" s="145"/>
      <c r="J30" s="261" t="str">
        <f t="shared" si="12"/>
        <v/>
      </c>
      <c r="K30" s="145"/>
      <c r="L30" s="145"/>
      <c r="M30" s="260" t="str">
        <f t="shared" si="13"/>
        <v/>
      </c>
      <c r="N30" s="145"/>
      <c r="O30" s="145"/>
      <c r="P30" s="260" t="str">
        <f t="shared" si="14"/>
        <v/>
      </c>
      <c r="Q30" s="145"/>
      <c r="R30" s="145"/>
      <c r="S30" s="259"/>
      <c r="T30" s="2"/>
      <c r="U30" s="256">
        <v>26</v>
      </c>
      <c r="V30" s="16">
        <f t="shared" si="0"/>
        <v>1.5000009999999993</v>
      </c>
      <c r="W30" s="16">
        <f t="shared" si="1"/>
        <v>1.5000010000000001</v>
      </c>
      <c r="X30" s="16">
        <f t="shared" si="2"/>
        <v>2.2500030000009978</v>
      </c>
      <c r="Y30" s="16">
        <f t="shared" si="3"/>
        <v>2.2500030000010005</v>
      </c>
      <c r="Z30" s="16">
        <f t="shared" si="4"/>
        <v>2.2500030000009992</v>
      </c>
      <c r="AA30" s="17">
        <f t="shared" si="5"/>
        <v>1.5</v>
      </c>
      <c r="AB30" s="17">
        <f t="shared" si="6"/>
        <v>1.5</v>
      </c>
      <c r="AC30" s="18">
        <f t="shared" si="7"/>
        <v>73.080808080808239</v>
      </c>
      <c r="AD30" s="18">
        <f t="shared" si="8"/>
        <v>1.8027756377319946</v>
      </c>
      <c r="AG30" s="2"/>
      <c r="AH30" s="2"/>
      <c r="AI30" s="2"/>
      <c r="AJ30" s="2"/>
      <c r="AK30" s="2"/>
      <c r="AL30" s="2"/>
      <c r="AM30" s="2"/>
      <c r="AN30" s="2"/>
      <c r="AO30" s="2"/>
      <c r="AP30" s="2"/>
      <c r="AQ30" s="2"/>
      <c r="AT30" s="2"/>
      <c r="AU30" s="262" t="str">
        <f t="shared" si="15"/>
        <v>#18:</v>
      </c>
      <c r="AV30" s="217">
        <f t="shared" si="16"/>
        <v>0.9144000000000001</v>
      </c>
      <c r="AW30" s="229">
        <f t="shared" si="17"/>
        <v>6.4008000000000003</v>
      </c>
      <c r="AX30" s="262" t="str">
        <f t="shared" si="18"/>
        <v/>
      </c>
      <c r="AY30" s="217" t="str">
        <f t="shared" si="19"/>
        <v/>
      </c>
      <c r="AZ30" s="229" t="str">
        <f t="shared" si="20"/>
        <v/>
      </c>
      <c r="BA30" s="262" t="str">
        <f t="shared" si="21"/>
        <v/>
      </c>
      <c r="BB30" s="217" t="str">
        <f t="shared" si="22"/>
        <v/>
      </c>
      <c r="BC30" s="229" t="str">
        <f t="shared" si="23"/>
        <v/>
      </c>
      <c r="BD30" s="262" t="str">
        <f t="shared" si="24"/>
        <v/>
      </c>
      <c r="BE30" s="217" t="str">
        <f t="shared" si="25"/>
        <v/>
      </c>
      <c r="BF30" s="229" t="str">
        <f t="shared" si="26"/>
        <v/>
      </c>
      <c r="BG30" s="262" t="str">
        <f t="shared" si="27"/>
        <v/>
      </c>
      <c r="BH30" s="217" t="str">
        <f t="shared" si="28"/>
        <v/>
      </c>
      <c r="BI30" s="229" t="str">
        <f t="shared" si="29"/>
        <v/>
      </c>
      <c r="BJ30" s="262" t="str">
        <f t="shared" si="30"/>
        <v/>
      </c>
      <c r="BK30" s="217" t="str">
        <f t="shared" si="31"/>
        <v/>
      </c>
      <c r="BL30" s="229" t="str">
        <f t="shared" si="32"/>
        <v/>
      </c>
    </row>
    <row r="31" spans="1:64" x14ac:dyDescent="0.25">
      <c r="A31" s="260" t="str">
        <f t="shared" si="9"/>
        <v>#19:</v>
      </c>
      <c r="B31" s="145">
        <v>3</v>
      </c>
      <c r="C31" s="145">
        <v>24</v>
      </c>
      <c r="D31" s="260" t="str">
        <f t="shared" si="10"/>
        <v/>
      </c>
      <c r="E31" s="145"/>
      <c r="F31" s="145"/>
      <c r="G31" s="260" t="str">
        <f t="shared" si="11"/>
        <v/>
      </c>
      <c r="H31" s="145"/>
      <c r="I31" s="145"/>
      <c r="J31" s="261" t="str">
        <f t="shared" si="12"/>
        <v/>
      </c>
      <c r="K31" s="145"/>
      <c r="L31" s="145"/>
      <c r="M31" s="260" t="str">
        <f t="shared" si="13"/>
        <v/>
      </c>
      <c r="N31" s="145"/>
      <c r="O31" s="145"/>
      <c r="P31" s="260" t="str">
        <f t="shared" si="14"/>
        <v/>
      </c>
      <c r="Q31" s="145"/>
      <c r="R31" s="145"/>
      <c r="S31" s="259"/>
      <c r="T31" s="2"/>
      <c r="U31" s="256">
        <v>27</v>
      </c>
      <c r="V31" s="16">
        <f t="shared" si="0"/>
        <v>4.500001000000001</v>
      </c>
      <c r="W31" s="16">
        <f t="shared" si="1"/>
        <v>1.5000010000000001</v>
      </c>
      <c r="X31" s="16">
        <f t="shared" si="2"/>
        <v>20.250009000001008</v>
      </c>
      <c r="Y31" s="16">
        <f t="shared" si="3"/>
        <v>2.2500030000010005</v>
      </c>
      <c r="Z31" s="16">
        <f t="shared" si="4"/>
        <v>6.7500060000010018</v>
      </c>
      <c r="AA31" s="17">
        <f t="shared" si="5"/>
        <v>1.5</v>
      </c>
      <c r="AB31" s="17">
        <f t="shared" si="6"/>
        <v>4.5</v>
      </c>
      <c r="AC31" s="18">
        <f t="shared" si="7"/>
        <v>72.575757575757734</v>
      </c>
      <c r="AD31" s="18">
        <f t="shared" si="8"/>
        <v>1.8027756377319946</v>
      </c>
      <c r="AG31" s="2"/>
      <c r="AH31" s="2"/>
      <c r="AI31" s="2"/>
      <c r="AJ31" s="2"/>
      <c r="AK31" s="2"/>
      <c r="AL31" s="2"/>
      <c r="AM31" s="2"/>
      <c r="AN31" s="2"/>
      <c r="AO31" s="2"/>
      <c r="AP31" s="2"/>
      <c r="AQ31" s="2"/>
      <c r="AT31" s="2"/>
      <c r="AU31" s="262" t="str">
        <f t="shared" si="15"/>
        <v>#19:</v>
      </c>
      <c r="AV31" s="217">
        <f t="shared" si="16"/>
        <v>0.9144000000000001</v>
      </c>
      <c r="AW31" s="229">
        <f t="shared" si="17"/>
        <v>7.3152000000000008</v>
      </c>
      <c r="AX31" s="262" t="str">
        <f t="shared" si="18"/>
        <v/>
      </c>
      <c r="AY31" s="217" t="str">
        <f t="shared" si="19"/>
        <v/>
      </c>
      <c r="AZ31" s="229" t="str">
        <f t="shared" si="20"/>
        <v/>
      </c>
      <c r="BA31" s="262" t="str">
        <f t="shared" si="21"/>
        <v/>
      </c>
      <c r="BB31" s="217" t="str">
        <f t="shared" si="22"/>
        <v/>
      </c>
      <c r="BC31" s="229" t="str">
        <f t="shared" si="23"/>
        <v/>
      </c>
      <c r="BD31" s="262" t="str">
        <f t="shared" si="24"/>
        <v/>
      </c>
      <c r="BE31" s="217" t="str">
        <f t="shared" si="25"/>
        <v/>
      </c>
      <c r="BF31" s="229" t="str">
        <f t="shared" si="26"/>
        <v/>
      </c>
      <c r="BG31" s="262" t="str">
        <f t="shared" si="27"/>
        <v/>
      </c>
      <c r="BH31" s="217" t="str">
        <f t="shared" si="28"/>
        <v/>
      </c>
      <c r="BI31" s="229" t="str">
        <f t="shared" si="29"/>
        <v/>
      </c>
      <c r="BJ31" s="262" t="str">
        <f t="shared" si="30"/>
        <v/>
      </c>
      <c r="BK31" s="217" t="str">
        <f t="shared" si="31"/>
        <v/>
      </c>
      <c r="BL31" s="229" t="str">
        <f t="shared" si="32"/>
        <v/>
      </c>
    </row>
    <row r="32" spans="1:64" x14ac:dyDescent="0.25">
      <c r="A32" s="260" t="str">
        <f t="shared" si="9"/>
        <v>#20:</v>
      </c>
      <c r="B32" s="145">
        <v>3</v>
      </c>
      <c r="C32" s="145">
        <v>27</v>
      </c>
      <c r="D32" s="260" t="str">
        <f t="shared" si="10"/>
        <v/>
      </c>
      <c r="E32" s="145"/>
      <c r="F32" s="145"/>
      <c r="G32" s="260" t="str">
        <f t="shared" si="11"/>
        <v/>
      </c>
      <c r="H32" s="145"/>
      <c r="I32" s="145"/>
      <c r="J32" s="261" t="str">
        <f t="shared" si="12"/>
        <v/>
      </c>
      <c r="K32" s="145"/>
      <c r="L32" s="145"/>
      <c r="M32" s="260" t="str">
        <f t="shared" si="13"/>
        <v/>
      </c>
      <c r="N32" s="145"/>
      <c r="O32" s="145"/>
      <c r="P32" s="260" t="str">
        <f t="shared" si="14"/>
        <v/>
      </c>
      <c r="Q32" s="145"/>
      <c r="R32" s="145"/>
      <c r="S32" s="259"/>
      <c r="T32" s="2"/>
      <c r="U32" s="256">
        <v>28</v>
      </c>
      <c r="V32" s="16">
        <f t="shared" si="0"/>
        <v>7.500001000000001</v>
      </c>
      <c r="W32" s="16">
        <f t="shared" si="1"/>
        <v>1.5000010000000001</v>
      </c>
      <c r="X32" s="16">
        <f t="shared" si="2"/>
        <v>56.250015000001014</v>
      </c>
      <c r="Y32" s="16">
        <f t="shared" si="3"/>
        <v>2.2500030000010005</v>
      </c>
      <c r="Z32" s="16">
        <f t="shared" si="4"/>
        <v>11.250009000001002</v>
      </c>
      <c r="AA32" s="17">
        <f t="shared" si="5"/>
        <v>1.5</v>
      </c>
      <c r="AB32" s="17">
        <f t="shared" si="6"/>
        <v>7.5</v>
      </c>
      <c r="AC32" s="18">
        <f t="shared" si="7"/>
        <v>72.070707070707243</v>
      </c>
      <c r="AD32" s="18">
        <f t="shared" si="8"/>
        <v>1.8027756377319946</v>
      </c>
      <c r="AG32" s="2"/>
      <c r="AH32" s="2"/>
      <c r="AI32" s="2"/>
      <c r="AJ32" s="2"/>
      <c r="AK32" s="2"/>
      <c r="AL32" s="2"/>
      <c r="AM32" s="2"/>
      <c r="AN32" s="2"/>
      <c r="AO32" s="2"/>
      <c r="AP32" s="2"/>
      <c r="AQ32" s="2"/>
      <c r="AT32" s="2"/>
      <c r="AU32" s="262" t="str">
        <f t="shared" si="15"/>
        <v>#20:</v>
      </c>
      <c r="AV32" s="217">
        <f t="shared" si="16"/>
        <v>0.9144000000000001</v>
      </c>
      <c r="AW32" s="229">
        <f t="shared" si="17"/>
        <v>8.2295999999999996</v>
      </c>
      <c r="AX32" s="262" t="str">
        <f t="shared" si="18"/>
        <v/>
      </c>
      <c r="AY32" s="217" t="str">
        <f t="shared" si="19"/>
        <v/>
      </c>
      <c r="AZ32" s="229" t="str">
        <f t="shared" si="20"/>
        <v/>
      </c>
      <c r="BA32" s="262" t="str">
        <f t="shared" si="21"/>
        <v/>
      </c>
      <c r="BB32" s="217" t="str">
        <f t="shared" si="22"/>
        <v/>
      </c>
      <c r="BC32" s="229" t="str">
        <f t="shared" si="23"/>
        <v/>
      </c>
      <c r="BD32" s="262" t="str">
        <f t="shared" si="24"/>
        <v/>
      </c>
      <c r="BE32" s="217" t="str">
        <f t="shared" si="25"/>
        <v/>
      </c>
      <c r="BF32" s="229" t="str">
        <f t="shared" si="26"/>
        <v/>
      </c>
      <c r="BG32" s="262" t="str">
        <f t="shared" si="27"/>
        <v/>
      </c>
      <c r="BH32" s="217" t="str">
        <f t="shared" si="28"/>
        <v/>
      </c>
      <c r="BI32" s="229" t="str">
        <f t="shared" si="29"/>
        <v/>
      </c>
      <c r="BJ32" s="262" t="str">
        <f t="shared" si="30"/>
        <v/>
      </c>
      <c r="BK32" s="217" t="str">
        <f t="shared" si="31"/>
        <v/>
      </c>
      <c r="BL32" s="229" t="str">
        <f t="shared" si="32"/>
        <v/>
      </c>
    </row>
    <row r="33" spans="1:77" x14ac:dyDescent="0.25">
      <c r="A33" s="260" t="str">
        <f t="shared" si="9"/>
        <v>#21:</v>
      </c>
      <c r="B33" s="145">
        <v>6</v>
      </c>
      <c r="C33" s="145">
        <v>0</v>
      </c>
      <c r="D33" s="260" t="str">
        <f t="shared" si="10"/>
        <v/>
      </c>
      <c r="E33" s="145"/>
      <c r="F33" s="145"/>
      <c r="G33" s="260" t="str">
        <f t="shared" si="11"/>
        <v/>
      </c>
      <c r="H33" s="145"/>
      <c r="I33" s="145"/>
      <c r="J33" s="261" t="str">
        <f t="shared" si="12"/>
        <v/>
      </c>
      <c r="K33" s="145"/>
      <c r="L33" s="145"/>
      <c r="M33" s="260" t="str">
        <f t="shared" si="13"/>
        <v/>
      </c>
      <c r="N33" s="145"/>
      <c r="O33" s="145"/>
      <c r="P33" s="260" t="str">
        <f t="shared" si="14"/>
        <v/>
      </c>
      <c r="Q33" s="145"/>
      <c r="R33" s="145"/>
      <c r="S33" s="259"/>
      <c r="T33" s="2"/>
      <c r="U33" s="256">
        <v>29</v>
      </c>
      <c r="V33" s="16">
        <f t="shared" si="0"/>
        <v>10.500001000000001</v>
      </c>
      <c r="W33" s="16">
        <f t="shared" si="1"/>
        <v>1.5000010000000001</v>
      </c>
      <c r="X33" s="16">
        <f t="shared" si="2"/>
        <v>110.25002100000103</v>
      </c>
      <c r="Y33" s="16">
        <f t="shared" si="3"/>
        <v>2.2500030000010005</v>
      </c>
      <c r="Z33" s="16">
        <f t="shared" si="4"/>
        <v>15.750012000001004</v>
      </c>
      <c r="AA33" s="17">
        <f t="shared" si="5"/>
        <v>1.5</v>
      </c>
      <c r="AB33" s="17">
        <f t="shared" si="6"/>
        <v>10.5</v>
      </c>
      <c r="AC33" s="18">
        <f t="shared" si="7"/>
        <v>71.565656565656738</v>
      </c>
      <c r="AD33" s="18">
        <f t="shared" si="8"/>
        <v>1.8027756377319946</v>
      </c>
      <c r="AG33" s="2"/>
      <c r="AH33" s="2"/>
      <c r="AI33" s="2"/>
      <c r="AJ33" s="2"/>
      <c r="AK33" s="2"/>
      <c r="AL33" s="2"/>
      <c r="AM33" s="2"/>
      <c r="AN33" s="2"/>
      <c r="AO33" s="2"/>
      <c r="AP33" s="2"/>
      <c r="AQ33" s="2"/>
      <c r="AT33" s="2"/>
      <c r="AU33" s="262" t="str">
        <f t="shared" si="15"/>
        <v>#21:</v>
      </c>
      <c r="AV33" s="217">
        <f t="shared" si="16"/>
        <v>1.8288000000000002</v>
      </c>
      <c r="AW33" s="229">
        <f t="shared" si="17"/>
        <v>0</v>
      </c>
      <c r="AX33" s="262" t="str">
        <f t="shared" si="18"/>
        <v/>
      </c>
      <c r="AY33" s="217" t="str">
        <f t="shared" si="19"/>
        <v/>
      </c>
      <c r="AZ33" s="229" t="str">
        <f t="shared" si="20"/>
        <v/>
      </c>
      <c r="BA33" s="262" t="str">
        <f t="shared" si="21"/>
        <v/>
      </c>
      <c r="BB33" s="217" t="str">
        <f t="shared" si="22"/>
        <v/>
      </c>
      <c r="BC33" s="229" t="str">
        <f t="shared" si="23"/>
        <v/>
      </c>
      <c r="BD33" s="262" t="str">
        <f t="shared" si="24"/>
        <v/>
      </c>
      <c r="BE33" s="217" t="str">
        <f t="shared" si="25"/>
        <v/>
      </c>
      <c r="BF33" s="229" t="str">
        <f t="shared" si="26"/>
        <v/>
      </c>
      <c r="BG33" s="262" t="str">
        <f t="shared" si="27"/>
        <v/>
      </c>
      <c r="BH33" s="217" t="str">
        <f t="shared" si="28"/>
        <v/>
      </c>
      <c r="BI33" s="229" t="str">
        <f t="shared" si="29"/>
        <v/>
      </c>
      <c r="BJ33" s="262" t="str">
        <f t="shared" si="30"/>
        <v/>
      </c>
      <c r="BK33" s="217" t="str">
        <f t="shared" si="31"/>
        <v/>
      </c>
      <c r="BL33" s="229" t="str">
        <f t="shared" si="32"/>
        <v/>
      </c>
    </row>
    <row r="34" spans="1:77" x14ac:dyDescent="0.25">
      <c r="A34" s="260" t="str">
        <f t="shared" si="9"/>
        <v>#22:</v>
      </c>
      <c r="B34" s="145">
        <v>6</v>
      </c>
      <c r="C34" s="145">
        <v>3</v>
      </c>
      <c r="D34" s="260" t="str">
        <f t="shared" si="10"/>
        <v/>
      </c>
      <c r="E34" s="145"/>
      <c r="F34" s="145"/>
      <c r="G34" s="260" t="str">
        <f t="shared" si="11"/>
        <v/>
      </c>
      <c r="H34" s="145"/>
      <c r="I34" s="145"/>
      <c r="J34" s="261" t="str">
        <f t="shared" si="12"/>
        <v/>
      </c>
      <c r="K34" s="145"/>
      <c r="L34" s="145"/>
      <c r="M34" s="260" t="str">
        <f t="shared" si="13"/>
        <v/>
      </c>
      <c r="N34" s="145"/>
      <c r="O34" s="145"/>
      <c r="P34" s="260" t="str">
        <f t="shared" si="14"/>
        <v/>
      </c>
      <c r="Q34" s="145"/>
      <c r="R34" s="145"/>
      <c r="S34" s="259"/>
      <c r="T34" s="2"/>
      <c r="U34" s="256">
        <v>30</v>
      </c>
      <c r="V34" s="16">
        <f t="shared" si="0"/>
        <v>13.500001000000001</v>
      </c>
      <c r="W34" s="16">
        <f t="shared" si="1"/>
        <v>1.5000010000000001</v>
      </c>
      <c r="X34" s="16">
        <f t="shared" si="2"/>
        <v>182.25002700000104</v>
      </c>
      <c r="Y34" s="16">
        <f t="shared" si="3"/>
        <v>2.2500030000010005</v>
      </c>
      <c r="Z34" s="16">
        <f t="shared" si="4"/>
        <v>20.250015000001003</v>
      </c>
      <c r="AA34" s="17">
        <f t="shared" si="5"/>
        <v>1.5</v>
      </c>
      <c r="AB34" s="17">
        <f t="shared" si="6"/>
        <v>13.5</v>
      </c>
      <c r="AC34" s="18">
        <f t="shared" si="7"/>
        <v>71.060606060606247</v>
      </c>
      <c r="AD34" s="18">
        <f t="shared" si="8"/>
        <v>1.8027756377319946</v>
      </c>
      <c r="AG34" s="2"/>
      <c r="AH34" s="2"/>
      <c r="AI34" s="2"/>
      <c r="AJ34" s="2"/>
      <c r="AK34" s="2"/>
      <c r="AL34" s="2"/>
      <c r="AM34" s="2"/>
      <c r="AN34" s="2"/>
      <c r="AO34" s="2"/>
      <c r="AP34" s="2"/>
      <c r="AQ34" s="2"/>
      <c r="AT34" s="2"/>
      <c r="AU34" s="262" t="str">
        <f t="shared" si="15"/>
        <v>#22:</v>
      </c>
      <c r="AV34" s="217">
        <f t="shared" si="16"/>
        <v>1.8288000000000002</v>
      </c>
      <c r="AW34" s="229">
        <f t="shared" si="17"/>
        <v>0.9144000000000001</v>
      </c>
      <c r="AX34" s="262" t="str">
        <f t="shared" si="18"/>
        <v/>
      </c>
      <c r="AY34" s="217" t="str">
        <f t="shared" si="19"/>
        <v/>
      </c>
      <c r="AZ34" s="229" t="str">
        <f t="shared" si="20"/>
        <v/>
      </c>
      <c r="BA34" s="262" t="str">
        <f t="shared" si="21"/>
        <v/>
      </c>
      <c r="BB34" s="217" t="str">
        <f t="shared" si="22"/>
        <v/>
      </c>
      <c r="BC34" s="229" t="str">
        <f t="shared" si="23"/>
        <v/>
      </c>
      <c r="BD34" s="262" t="str">
        <f t="shared" si="24"/>
        <v/>
      </c>
      <c r="BE34" s="217" t="str">
        <f t="shared" si="25"/>
        <v/>
      </c>
      <c r="BF34" s="229" t="str">
        <f t="shared" si="26"/>
        <v/>
      </c>
      <c r="BG34" s="262" t="str">
        <f t="shared" si="27"/>
        <v/>
      </c>
      <c r="BH34" s="217" t="str">
        <f t="shared" si="28"/>
        <v/>
      </c>
      <c r="BI34" s="229" t="str">
        <f t="shared" si="29"/>
        <v/>
      </c>
      <c r="BJ34" s="262" t="str">
        <f t="shared" si="30"/>
        <v/>
      </c>
      <c r="BK34" s="217" t="str">
        <f t="shared" si="31"/>
        <v/>
      </c>
      <c r="BL34" s="229" t="str">
        <f t="shared" si="32"/>
        <v/>
      </c>
      <c r="BU34" s="92"/>
      <c r="BV34" s="92"/>
      <c r="BW34" s="92"/>
      <c r="BX34" s="92"/>
      <c r="BY34" s="92"/>
    </row>
    <row r="35" spans="1:77" x14ac:dyDescent="0.25">
      <c r="A35" s="260" t="str">
        <f t="shared" si="9"/>
        <v>#23:</v>
      </c>
      <c r="B35" s="145">
        <v>6</v>
      </c>
      <c r="C35" s="145">
        <v>6</v>
      </c>
      <c r="D35" s="260" t="str">
        <f t="shared" si="10"/>
        <v/>
      </c>
      <c r="E35" s="145"/>
      <c r="F35" s="145"/>
      <c r="G35" s="260" t="str">
        <f t="shared" si="11"/>
        <v/>
      </c>
      <c r="H35" s="145"/>
      <c r="I35" s="145"/>
      <c r="J35" s="261" t="str">
        <f t="shared" si="12"/>
        <v/>
      </c>
      <c r="K35" s="145"/>
      <c r="L35" s="145"/>
      <c r="M35" s="260" t="str">
        <f t="shared" si="13"/>
        <v/>
      </c>
      <c r="N35" s="145"/>
      <c r="O35" s="145"/>
      <c r="P35" s="260" t="str">
        <f t="shared" si="14"/>
        <v/>
      </c>
      <c r="Q35" s="145"/>
      <c r="R35" s="145"/>
      <c r="S35" s="259"/>
      <c r="T35" s="2"/>
      <c r="U35" s="256">
        <v>31</v>
      </c>
      <c r="V35" s="16">
        <f t="shared" si="0"/>
        <v>-13.499999000000001</v>
      </c>
      <c r="W35" s="16">
        <f t="shared" si="1"/>
        <v>4.5000009999999993</v>
      </c>
      <c r="X35" s="16">
        <f t="shared" si="2"/>
        <v>182.24997300000101</v>
      </c>
      <c r="Y35" s="16">
        <f t="shared" si="3"/>
        <v>20.250009000000993</v>
      </c>
      <c r="Z35" s="16">
        <f t="shared" si="4"/>
        <v>-60.750008999998997</v>
      </c>
      <c r="AA35" s="17">
        <f t="shared" si="5"/>
        <v>4.5</v>
      </c>
      <c r="AB35" s="17">
        <f t="shared" si="6"/>
        <v>-13.5</v>
      </c>
      <c r="AC35" s="18">
        <f t="shared" si="7"/>
        <v>72.272727272727678</v>
      </c>
      <c r="AD35" s="18">
        <f t="shared" si="8"/>
        <v>1.8027756377319946</v>
      </c>
      <c r="AG35" s="2"/>
      <c r="AH35" s="2"/>
      <c r="AI35" s="2"/>
      <c r="AJ35" s="2"/>
      <c r="AK35" s="2"/>
      <c r="AL35" s="2"/>
      <c r="AM35" s="2"/>
      <c r="AN35" s="2"/>
      <c r="AO35" s="2"/>
      <c r="AP35" s="2"/>
      <c r="AQ35" s="2"/>
      <c r="AT35" s="2"/>
      <c r="AU35" s="262" t="str">
        <f t="shared" si="15"/>
        <v>#23:</v>
      </c>
      <c r="AV35" s="217">
        <f t="shared" si="16"/>
        <v>1.8288000000000002</v>
      </c>
      <c r="AW35" s="229">
        <f t="shared" si="17"/>
        <v>1.8288000000000002</v>
      </c>
      <c r="AX35" s="262" t="str">
        <f t="shared" si="18"/>
        <v/>
      </c>
      <c r="AY35" s="217" t="str">
        <f t="shared" si="19"/>
        <v/>
      </c>
      <c r="AZ35" s="229" t="str">
        <f t="shared" si="20"/>
        <v/>
      </c>
      <c r="BA35" s="262" t="str">
        <f t="shared" si="21"/>
        <v/>
      </c>
      <c r="BB35" s="217" t="str">
        <f t="shared" si="22"/>
        <v/>
      </c>
      <c r="BC35" s="229" t="str">
        <f t="shared" si="23"/>
        <v/>
      </c>
      <c r="BD35" s="262" t="str">
        <f t="shared" si="24"/>
        <v/>
      </c>
      <c r="BE35" s="217" t="str">
        <f t="shared" si="25"/>
        <v/>
      </c>
      <c r="BF35" s="229" t="str">
        <f t="shared" si="26"/>
        <v/>
      </c>
      <c r="BG35" s="262" t="str">
        <f t="shared" si="27"/>
        <v/>
      </c>
      <c r="BH35" s="217" t="str">
        <f t="shared" si="28"/>
        <v/>
      </c>
      <c r="BI35" s="229" t="str">
        <f t="shared" si="29"/>
        <v/>
      </c>
      <c r="BJ35" s="262" t="str">
        <f t="shared" si="30"/>
        <v/>
      </c>
      <c r="BK35" s="217" t="str">
        <f t="shared" si="31"/>
        <v/>
      </c>
      <c r="BL35" s="229" t="str">
        <f t="shared" si="32"/>
        <v/>
      </c>
      <c r="BU35" s="92"/>
      <c r="BV35" s="92"/>
      <c r="BW35" s="92"/>
      <c r="BX35" s="92"/>
      <c r="BY35" s="92"/>
    </row>
    <row r="36" spans="1:77" x14ac:dyDescent="0.25">
      <c r="A36" s="260" t="str">
        <f t="shared" si="9"/>
        <v>#24:</v>
      </c>
      <c r="B36" s="145">
        <v>6</v>
      </c>
      <c r="C36" s="145">
        <v>9</v>
      </c>
      <c r="D36" s="260" t="str">
        <f t="shared" si="10"/>
        <v/>
      </c>
      <c r="E36" s="145"/>
      <c r="F36" s="145"/>
      <c r="G36" s="260" t="str">
        <f t="shared" si="11"/>
        <v/>
      </c>
      <c r="H36" s="145"/>
      <c r="I36" s="145"/>
      <c r="J36" s="261" t="str">
        <f t="shared" si="12"/>
        <v/>
      </c>
      <c r="K36" s="145"/>
      <c r="L36" s="145"/>
      <c r="M36" s="260" t="str">
        <f t="shared" si="13"/>
        <v/>
      </c>
      <c r="N36" s="145"/>
      <c r="O36" s="145"/>
      <c r="P36" s="260" t="str">
        <f t="shared" si="14"/>
        <v/>
      </c>
      <c r="Q36" s="145"/>
      <c r="R36" s="145"/>
      <c r="S36" s="259"/>
      <c r="T36" s="2"/>
      <c r="U36" s="256">
        <v>32</v>
      </c>
      <c r="V36" s="16">
        <f t="shared" si="0"/>
        <v>-10.499998999999999</v>
      </c>
      <c r="W36" s="16">
        <f t="shared" si="1"/>
        <v>4.5000009999999993</v>
      </c>
      <c r="X36" s="16">
        <f t="shared" si="2"/>
        <v>110.24997900000098</v>
      </c>
      <c r="Y36" s="16">
        <f t="shared" si="3"/>
        <v>20.250009000000993</v>
      </c>
      <c r="Z36" s="16">
        <f t="shared" si="4"/>
        <v>-47.25000599999899</v>
      </c>
      <c r="AA36" s="17">
        <f t="shared" si="5"/>
        <v>4.5</v>
      </c>
      <c r="AB36" s="17">
        <f t="shared" si="6"/>
        <v>-10.5</v>
      </c>
      <c r="AC36" s="18">
        <f t="shared" si="7"/>
        <v>71.767676767677187</v>
      </c>
      <c r="AD36" s="18">
        <f t="shared" si="8"/>
        <v>1.8027756377319946</v>
      </c>
      <c r="AG36" s="2"/>
      <c r="AH36" s="2"/>
      <c r="AI36" s="2"/>
      <c r="AJ36" s="2"/>
      <c r="AK36" s="2"/>
      <c r="AL36" s="2"/>
      <c r="AM36" s="2"/>
      <c r="AN36" s="2"/>
      <c r="AO36" s="2"/>
      <c r="AP36" s="2"/>
      <c r="AQ36" s="2"/>
      <c r="AT36" s="2"/>
      <c r="AU36" s="262" t="str">
        <f t="shared" si="15"/>
        <v>#24:</v>
      </c>
      <c r="AV36" s="217">
        <f t="shared" si="16"/>
        <v>1.8288000000000002</v>
      </c>
      <c r="AW36" s="229">
        <f t="shared" si="17"/>
        <v>2.7432000000000003</v>
      </c>
      <c r="AX36" s="262" t="str">
        <f t="shared" si="18"/>
        <v/>
      </c>
      <c r="AY36" s="217" t="str">
        <f t="shared" si="19"/>
        <v/>
      </c>
      <c r="AZ36" s="229" t="str">
        <f t="shared" si="20"/>
        <v/>
      </c>
      <c r="BA36" s="262" t="str">
        <f t="shared" si="21"/>
        <v/>
      </c>
      <c r="BB36" s="217" t="str">
        <f t="shared" si="22"/>
        <v/>
      </c>
      <c r="BC36" s="229" t="str">
        <f t="shared" si="23"/>
        <v/>
      </c>
      <c r="BD36" s="262" t="str">
        <f t="shared" si="24"/>
        <v/>
      </c>
      <c r="BE36" s="217" t="str">
        <f t="shared" si="25"/>
        <v/>
      </c>
      <c r="BF36" s="229" t="str">
        <f t="shared" si="26"/>
        <v/>
      </c>
      <c r="BG36" s="262" t="str">
        <f t="shared" si="27"/>
        <v/>
      </c>
      <c r="BH36" s="217" t="str">
        <f t="shared" si="28"/>
        <v/>
      </c>
      <c r="BI36" s="229" t="str">
        <f t="shared" si="29"/>
        <v/>
      </c>
      <c r="BJ36" s="262" t="str">
        <f t="shared" si="30"/>
        <v/>
      </c>
      <c r="BK36" s="217" t="str">
        <f t="shared" si="31"/>
        <v/>
      </c>
      <c r="BL36" s="229" t="str">
        <f t="shared" si="32"/>
        <v/>
      </c>
      <c r="BU36" s="92"/>
      <c r="BV36" s="92"/>
      <c r="BW36" s="92"/>
      <c r="BX36" s="92"/>
      <c r="BY36" s="92"/>
    </row>
    <row r="37" spans="1:77" x14ac:dyDescent="0.25">
      <c r="A37" s="260" t="str">
        <f t="shared" si="9"/>
        <v>#25:</v>
      </c>
      <c r="B37" s="145">
        <v>6</v>
      </c>
      <c r="C37" s="145">
        <v>12</v>
      </c>
      <c r="D37" s="260" t="str">
        <f t="shared" si="10"/>
        <v/>
      </c>
      <c r="E37" s="145"/>
      <c r="F37" s="145"/>
      <c r="G37" s="260" t="str">
        <f t="shared" si="11"/>
        <v/>
      </c>
      <c r="H37" s="145"/>
      <c r="I37" s="145"/>
      <c r="J37" s="261" t="str">
        <f t="shared" si="12"/>
        <v/>
      </c>
      <c r="K37" s="145"/>
      <c r="L37" s="145"/>
      <c r="M37" s="260" t="str">
        <f t="shared" si="13"/>
        <v/>
      </c>
      <c r="N37" s="145"/>
      <c r="O37" s="145"/>
      <c r="P37" s="260" t="str">
        <f t="shared" si="14"/>
        <v/>
      </c>
      <c r="Q37" s="145"/>
      <c r="R37" s="145"/>
      <c r="S37" s="259"/>
      <c r="T37" s="2"/>
      <c r="U37" s="256">
        <v>33</v>
      </c>
      <c r="V37" s="16">
        <f t="shared" ref="V37:V54" si="33">IF($C$9&gt;=$U37,$C45+0.000001-$V$310,"")</f>
        <v>-7.4999989999999999</v>
      </c>
      <c r="W37" s="16">
        <f t="shared" ref="W37:W54" si="34">IF($C$9&gt;=$U37,$B45+0.000001-$V$309,"")</f>
        <v>4.5000009999999993</v>
      </c>
      <c r="X37" s="16">
        <f t="shared" si="2"/>
        <v>56.249985000000997</v>
      </c>
      <c r="Y37" s="16">
        <f t="shared" si="3"/>
        <v>20.250009000000993</v>
      </c>
      <c r="Z37" s="16">
        <f t="shared" si="4"/>
        <v>-33.750002999998991</v>
      </c>
      <c r="AA37" s="17">
        <f t="shared" ref="AA37:AA54" si="35">IF($C$9&gt;=$U37,$B45-$V$309,"")</f>
        <v>4.5</v>
      </c>
      <c r="AB37" s="17">
        <f t="shared" ref="AB37:AB54" si="36">IF($C$9&gt;=$U37,$C45-$V$310,"")</f>
        <v>-7.5</v>
      </c>
      <c r="AC37" s="18">
        <f t="shared" si="7"/>
        <v>71.262626262626682</v>
      </c>
      <c r="AD37" s="18">
        <f t="shared" si="8"/>
        <v>1.8027756377319946</v>
      </c>
      <c r="AG37" s="2"/>
      <c r="AH37" s="2"/>
      <c r="AI37" s="2"/>
      <c r="AJ37" s="2"/>
      <c r="AK37" s="2"/>
      <c r="AL37" s="2"/>
      <c r="AM37" s="2"/>
      <c r="AN37" s="2"/>
      <c r="AO37" s="2"/>
      <c r="AP37" s="2"/>
      <c r="AQ37" s="2"/>
      <c r="AT37" s="2"/>
      <c r="AU37" s="262" t="str">
        <f t="shared" si="15"/>
        <v>#25:</v>
      </c>
      <c r="AV37" s="217">
        <f t="shared" si="16"/>
        <v>1.8288000000000002</v>
      </c>
      <c r="AW37" s="229">
        <f t="shared" si="17"/>
        <v>3.6576000000000004</v>
      </c>
      <c r="AX37" s="262" t="str">
        <f t="shared" si="18"/>
        <v/>
      </c>
      <c r="AY37" s="217" t="str">
        <f t="shared" si="19"/>
        <v/>
      </c>
      <c r="AZ37" s="229" t="str">
        <f t="shared" si="20"/>
        <v/>
      </c>
      <c r="BA37" s="262" t="str">
        <f t="shared" si="21"/>
        <v/>
      </c>
      <c r="BB37" s="217" t="str">
        <f t="shared" si="22"/>
        <v/>
      </c>
      <c r="BC37" s="229" t="str">
        <f t="shared" si="23"/>
        <v/>
      </c>
      <c r="BD37" s="262" t="str">
        <f t="shared" si="24"/>
        <v/>
      </c>
      <c r="BE37" s="217" t="str">
        <f t="shared" si="25"/>
        <v/>
      </c>
      <c r="BF37" s="229" t="str">
        <f t="shared" si="26"/>
        <v/>
      </c>
      <c r="BG37" s="262" t="str">
        <f t="shared" si="27"/>
        <v/>
      </c>
      <c r="BH37" s="217" t="str">
        <f t="shared" si="28"/>
        <v/>
      </c>
      <c r="BI37" s="229" t="str">
        <f t="shared" si="29"/>
        <v/>
      </c>
      <c r="BJ37" s="262" t="str">
        <f t="shared" si="30"/>
        <v/>
      </c>
      <c r="BK37" s="217" t="str">
        <f t="shared" si="31"/>
        <v/>
      </c>
      <c r="BL37" s="229" t="str">
        <f t="shared" si="32"/>
        <v/>
      </c>
      <c r="BU37" s="92"/>
      <c r="BV37" s="92"/>
      <c r="BW37" s="92"/>
      <c r="BX37" s="92"/>
      <c r="BY37" s="92"/>
    </row>
    <row r="38" spans="1:77" x14ac:dyDescent="0.25">
      <c r="A38" s="260" t="str">
        <f t="shared" si="9"/>
        <v>#26:</v>
      </c>
      <c r="B38" s="145">
        <v>6</v>
      </c>
      <c r="C38" s="145">
        <v>15</v>
      </c>
      <c r="D38" s="260" t="str">
        <f t="shared" si="10"/>
        <v/>
      </c>
      <c r="E38" s="145"/>
      <c r="F38" s="145"/>
      <c r="G38" s="260" t="str">
        <f t="shared" si="11"/>
        <v/>
      </c>
      <c r="H38" s="145"/>
      <c r="I38" s="145"/>
      <c r="J38" s="261" t="str">
        <f t="shared" si="12"/>
        <v/>
      </c>
      <c r="K38" s="145"/>
      <c r="L38" s="145"/>
      <c r="M38" s="260" t="str">
        <f t="shared" si="13"/>
        <v/>
      </c>
      <c r="N38" s="145"/>
      <c r="O38" s="145"/>
      <c r="P38" s="260" t="str">
        <f t="shared" si="14"/>
        <v/>
      </c>
      <c r="Q38" s="145"/>
      <c r="R38" s="145"/>
      <c r="S38" s="259"/>
      <c r="T38" s="2"/>
      <c r="U38" s="256">
        <v>34</v>
      </c>
      <c r="V38" s="16">
        <f t="shared" si="33"/>
        <v>-4.4999990000000007</v>
      </c>
      <c r="W38" s="16">
        <f t="shared" si="34"/>
        <v>4.5000009999999993</v>
      </c>
      <c r="X38" s="16">
        <f t="shared" si="2"/>
        <v>20.249991000001007</v>
      </c>
      <c r="Y38" s="16">
        <f t="shared" si="3"/>
        <v>20.250009000000993</v>
      </c>
      <c r="Z38" s="16">
        <f t="shared" si="4"/>
        <v>-20.249999999999002</v>
      </c>
      <c r="AA38" s="17">
        <f t="shared" si="35"/>
        <v>4.5</v>
      </c>
      <c r="AB38" s="17">
        <f t="shared" si="36"/>
        <v>-4.5</v>
      </c>
      <c r="AC38" s="18">
        <f t="shared" si="7"/>
        <v>70.757575757576191</v>
      </c>
      <c r="AD38" s="18">
        <f t="shared" si="8"/>
        <v>1.8027756377319946</v>
      </c>
      <c r="AG38" s="2"/>
      <c r="AH38" s="2"/>
      <c r="AI38" s="2"/>
      <c r="AJ38" s="2"/>
      <c r="AK38" s="2"/>
      <c r="AL38" s="2"/>
      <c r="AM38" s="2"/>
      <c r="AN38" s="2"/>
      <c r="AO38" s="2"/>
      <c r="AP38" s="2"/>
      <c r="AQ38" s="2"/>
      <c r="AT38" s="2"/>
      <c r="AU38" s="262" t="str">
        <f t="shared" si="15"/>
        <v>#26:</v>
      </c>
      <c r="AV38" s="217">
        <f t="shared" si="16"/>
        <v>1.8288000000000002</v>
      </c>
      <c r="AW38" s="229">
        <f t="shared" si="17"/>
        <v>4.5720000000000001</v>
      </c>
      <c r="AX38" s="262" t="str">
        <f t="shared" si="18"/>
        <v/>
      </c>
      <c r="AY38" s="217" t="str">
        <f t="shared" si="19"/>
        <v/>
      </c>
      <c r="AZ38" s="229" t="str">
        <f t="shared" si="20"/>
        <v/>
      </c>
      <c r="BA38" s="262" t="str">
        <f t="shared" si="21"/>
        <v/>
      </c>
      <c r="BB38" s="217" t="str">
        <f t="shared" si="22"/>
        <v/>
      </c>
      <c r="BC38" s="229" t="str">
        <f t="shared" si="23"/>
        <v/>
      </c>
      <c r="BD38" s="262" t="str">
        <f t="shared" si="24"/>
        <v/>
      </c>
      <c r="BE38" s="217" t="str">
        <f t="shared" si="25"/>
        <v/>
      </c>
      <c r="BF38" s="229" t="str">
        <f t="shared" si="26"/>
        <v/>
      </c>
      <c r="BG38" s="262" t="str">
        <f t="shared" si="27"/>
        <v/>
      </c>
      <c r="BH38" s="217" t="str">
        <f t="shared" si="28"/>
        <v/>
      </c>
      <c r="BI38" s="229" t="str">
        <f t="shared" si="29"/>
        <v/>
      </c>
      <c r="BJ38" s="262" t="str">
        <f t="shared" si="30"/>
        <v/>
      </c>
      <c r="BK38" s="217" t="str">
        <f t="shared" si="31"/>
        <v/>
      </c>
      <c r="BL38" s="229" t="str">
        <f t="shared" si="32"/>
        <v/>
      </c>
      <c r="BU38" s="92"/>
      <c r="BV38" s="92"/>
      <c r="BW38" s="92"/>
      <c r="BX38" s="92"/>
      <c r="BY38" s="92"/>
    </row>
    <row r="39" spans="1:77" x14ac:dyDescent="0.25">
      <c r="A39" s="260" t="str">
        <f t="shared" si="9"/>
        <v>#27:</v>
      </c>
      <c r="B39" s="145">
        <v>6</v>
      </c>
      <c r="C39" s="145">
        <v>18</v>
      </c>
      <c r="D39" s="260" t="str">
        <f t="shared" si="10"/>
        <v/>
      </c>
      <c r="E39" s="145"/>
      <c r="F39" s="145"/>
      <c r="G39" s="260" t="str">
        <f t="shared" si="11"/>
        <v/>
      </c>
      <c r="H39" s="145"/>
      <c r="I39" s="145"/>
      <c r="J39" s="261" t="str">
        <f t="shared" si="12"/>
        <v/>
      </c>
      <c r="K39" s="145"/>
      <c r="L39" s="145"/>
      <c r="M39" s="260" t="str">
        <f t="shared" si="13"/>
        <v/>
      </c>
      <c r="N39" s="145"/>
      <c r="O39" s="145"/>
      <c r="P39" s="260" t="str">
        <f t="shared" si="14"/>
        <v/>
      </c>
      <c r="Q39" s="145"/>
      <c r="R39" s="145"/>
      <c r="S39" s="259"/>
      <c r="T39" s="2"/>
      <c r="U39" s="256">
        <v>35</v>
      </c>
      <c r="V39" s="16">
        <f t="shared" si="33"/>
        <v>-1.4999990000000007</v>
      </c>
      <c r="W39" s="16">
        <f t="shared" si="34"/>
        <v>4.5000009999999993</v>
      </c>
      <c r="X39" s="16">
        <f t="shared" si="2"/>
        <v>2.2499970000010023</v>
      </c>
      <c r="Y39" s="16">
        <f t="shared" si="3"/>
        <v>20.250009000000993</v>
      </c>
      <c r="Z39" s="16">
        <f t="shared" si="4"/>
        <v>-6.7499969999990022</v>
      </c>
      <c r="AA39" s="17">
        <f t="shared" si="35"/>
        <v>4.5</v>
      </c>
      <c r="AB39" s="17">
        <f t="shared" si="36"/>
        <v>-1.5</v>
      </c>
      <c r="AC39" s="18">
        <f t="shared" si="7"/>
        <v>70.252525252525686</v>
      </c>
      <c r="AD39" s="18">
        <f t="shared" si="8"/>
        <v>1.8027756377319946</v>
      </c>
      <c r="AG39" s="2"/>
      <c r="AH39" s="2"/>
      <c r="AI39" s="2"/>
      <c r="AJ39" s="2"/>
      <c r="AK39" s="2"/>
      <c r="AL39" s="2"/>
      <c r="AM39" s="2"/>
      <c r="AN39" s="2"/>
      <c r="AO39" s="2"/>
      <c r="AP39" s="2"/>
      <c r="AQ39" s="2"/>
      <c r="AT39" s="2"/>
      <c r="AU39" s="262" t="str">
        <f t="shared" si="15"/>
        <v>#27:</v>
      </c>
      <c r="AV39" s="217">
        <f t="shared" si="16"/>
        <v>1.8288000000000002</v>
      </c>
      <c r="AW39" s="229">
        <f t="shared" si="17"/>
        <v>5.4864000000000006</v>
      </c>
      <c r="AX39" s="262" t="str">
        <f t="shared" si="18"/>
        <v/>
      </c>
      <c r="AY39" s="217" t="str">
        <f t="shared" si="19"/>
        <v/>
      </c>
      <c r="AZ39" s="229" t="str">
        <f t="shared" si="20"/>
        <v/>
      </c>
      <c r="BA39" s="262" t="str">
        <f t="shared" si="21"/>
        <v/>
      </c>
      <c r="BB39" s="217" t="str">
        <f t="shared" si="22"/>
        <v/>
      </c>
      <c r="BC39" s="229" t="str">
        <f t="shared" si="23"/>
        <v/>
      </c>
      <c r="BD39" s="262" t="str">
        <f t="shared" si="24"/>
        <v/>
      </c>
      <c r="BE39" s="217" t="str">
        <f t="shared" si="25"/>
        <v/>
      </c>
      <c r="BF39" s="229" t="str">
        <f t="shared" si="26"/>
        <v/>
      </c>
      <c r="BG39" s="262" t="str">
        <f t="shared" si="27"/>
        <v/>
      </c>
      <c r="BH39" s="217" t="str">
        <f t="shared" si="28"/>
        <v/>
      </c>
      <c r="BI39" s="229" t="str">
        <f t="shared" si="29"/>
        <v/>
      </c>
      <c r="BJ39" s="262" t="str">
        <f t="shared" si="30"/>
        <v/>
      </c>
      <c r="BK39" s="217" t="str">
        <f t="shared" si="31"/>
        <v/>
      </c>
      <c r="BL39" s="229" t="str">
        <f t="shared" si="32"/>
        <v/>
      </c>
    </row>
    <row r="40" spans="1:77" x14ac:dyDescent="0.25">
      <c r="A40" s="260" t="str">
        <f t="shared" si="9"/>
        <v>#28:</v>
      </c>
      <c r="B40" s="145">
        <v>6</v>
      </c>
      <c r="C40" s="145">
        <v>21</v>
      </c>
      <c r="D40" s="260" t="str">
        <f t="shared" si="10"/>
        <v/>
      </c>
      <c r="E40" s="145"/>
      <c r="F40" s="145"/>
      <c r="G40" s="260" t="str">
        <f t="shared" si="11"/>
        <v/>
      </c>
      <c r="H40" s="145"/>
      <c r="I40" s="145"/>
      <c r="J40" s="261" t="str">
        <f t="shared" si="12"/>
        <v/>
      </c>
      <c r="K40" s="145"/>
      <c r="L40" s="145"/>
      <c r="M40" s="260" t="str">
        <f t="shared" si="13"/>
        <v/>
      </c>
      <c r="N40" s="145"/>
      <c r="O40" s="145"/>
      <c r="P40" s="260" t="str">
        <f t="shared" si="14"/>
        <v/>
      </c>
      <c r="Q40" s="145"/>
      <c r="R40" s="145"/>
      <c r="S40" s="259"/>
      <c r="T40" s="2"/>
      <c r="U40" s="256">
        <v>36</v>
      </c>
      <c r="V40" s="16">
        <f t="shared" si="33"/>
        <v>1.5000009999999993</v>
      </c>
      <c r="W40" s="16">
        <f t="shared" si="34"/>
        <v>4.5000009999999993</v>
      </c>
      <c r="X40" s="16">
        <f t="shared" si="2"/>
        <v>2.2500030000009978</v>
      </c>
      <c r="Y40" s="16">
        <f t="shared" si="3"/>
        <v>20.250009000000993</v>
      </c>
      <c r="Z40" s="16">
        <f t="shared" si="4"/>
        <v>6.7500060000009956</v>
      </c>
      <c r="AA40" s="17">
        <f t="shared" si="35"/>
        <v>4.5</v>
      </c>
      <c r="AB40" s="17">
        <f t="shared" si="36"/>
        <v>1.5</v>
      </c>
      <c r="AC40" s="18">
        <f t="shared" si="7"/>
        <v>69.747474747475195</v>
      </c>
      <c r="AD40" s="18">
        <f t="shared" si="8"/>
        <v>1.8027756377319946</v>
      </c>
      <c r="AG40" s="2"/>
      <c r="AH40" s="2"/>
      <c r="AI40" s="2"/>
      <c r="AJ40" s="2"/>
      <c r="AK40" s="2"/>
      <c r="AL40" s="2"/>
      <c r="AM40" s="2"/>
      <c r="AN40" s="2"/>
      <c r="AO40" s="2"/>
      <c r="AP40" s="2"/>
      <c r="AQ40" s="2"/>
      <c r="AT40" s="2"/>
      <c r="AU40" s="262" t="str">
        <f t="shared" si="15"/>
        <v>#28:</v>
      </c>
      <c r="AV40" s="217">
        <f t="shared" si="16"/>
        <v>1.8288000000000002</v>
      </c>
      <c r="AW40" s="229">
        <f t="shared" si="17"/>
        <v>6.4008000000000003</v>
      </c>
      <c r="AX40" s="262" t="str">
        <f t="shared" si="18"/>
        <v/>
      </c>
      <c r="AY40" s="217" t="str">
        <f t="shared" si="19"/>
        <v/>
      </c>
      <c r="AZ40" s="229" t="str">
        <f t="shared" si="20"/>
        <v/>
      </c>
      <c r="BA40" s="262" t="str">
        <f t="shared" si="21"/>
        <v/>
      </c>
      <c r="BB40" s="217" t="str">
        <f t="shared" si="22"/>
        <v/>
      </c>
      <c r="BC40" s="229" t="str">
        <f t="shared" si="23"/>
        <v/>
      </c>
      <c r="BD40" s="262" t="str">
        <f t="shared" si="24"/>
        <v/>
      </c>
      <c r="BE40" s="217" t="str">
        <f t="shared" si="25"/>
        <v/>
      </c>
      <c r="BF40" s="229" t="str">
        <f t="shared" si="26"/>
        <v/>
      </c>
      <c r="BG40" s="262" t="str">
        <f t="shared" si="27"/>
        <v/>
      </c>
      <c r="BH40" s="217" t="str">
        <f t="shared" si="28"/>
        <v/>
      </c>
      <c r="BI40" s="229" t="str">
        <f t="shared" si="29"/>
        <v/>
      </c>
      <c r="BJ40" s="262" t="str">
        <f t="shared" si="30"/>
        <v/>
      </c>
      <c r="BK40" s="217" t="str">
        <f t="shared" si="31"/>
        <v/>
      </c>
      <c r="BL40" s="229" t="str">
        <f t="shared" si="32"/>
        <v/>
      </c>
    </row>
    <row r="41" spans="1:77" x14ac:dyDescent="0.25">
      <c r="A41" s="260" t="str">
        <f t="shared" si="9"/>
        <v>#29:</v>
      </c>
      <c r="B41" s="145">
        <v>6</v>
      </c>
      <c r="C41" s="145">
        <v>24</v>
      </c>
      <c r="D41" s="260" t="str">
        <f t="shared" si="10"/>
        <v/>
      </c>
      <c r="E41" s="145"/>
      <c r="F41" s="145"/>
      <c r="G41" s="260" t="str">
        <f t="shared" si="11"/>
        <v/>
      </c>
      <c r="H41" s="145"/>
      <c r="I41" s="145"/>
      <c r="J41" s="261" t="str">
        <f t="shared" si="12"/>
        <v/>
      </c>
      <c r="K41" s="145"/>
      <c r="L41" s="145"/>
      <c r="M41" s="260" t="str">
        <f t="shared" si="13"/>
        <v/>
      </c>
      <c r="N41" s="145"/>
      <c r="O41" s="145"/>
      <c r="P41" s="260" t="str">
        <f t="shared" si="14"/>
        <v/>
      </c>
      <c r="Q41" s="145"/>
      <c r="R41" s="145"/>
      <c r="S41" s="259"/>
      <c r="T41" s="2"/>
      <c r="U41" s="256">
        <v>37</v>
      </c>
      <c r="V41" s="16">
        <f t="shared" si="33"/>
        <v>4.500001000000001</v>
      </c>
      <c r="W41" s="16">
        <f t="shared" si="34"/>
        <v>4.5000009999999993</v>
      </c>
      <c r="X41" s="16">
        <f t="shared" si="2"/>
        <v>20.250009000001008</v>
      </c>
      <c r="Y41" s="16">
        <f t="shared" si="3"/>
        <v>20.250009000000993</v>
      </c>
      <c r="Z41" s="16">
        <f t="shared" si="4"/>
        <v>20.250009000001</v>
      </c>
      <c r="AA41" s="17">
        <f t="shared" si="35"/>
        <v>4.5</v>
      </c>
      <c r="AB41" s="17">
        <f t="shared" si="36"/>
        <v>4.5</v>
      </c>
      <c r="AC41" s="18">
        <f t="shared" si="7"/>
        <v>69.24242424242469</v>
      </c>
      <c r="AD41" s="18">
        <f t="shared" si="8"/>
        <v>1.8027756377319946</v>
      </c>
      <c r="AG41" s="2"/>
      <c r="AH41" s="2"/>
      <c r="AI41" s="2"/>
      <c r="AJ41" s="2"/>
      <c r="AK41" s="2"/>
      <c r="AL41" s="2"/>
      <c r="AM41" s="2"/>
      <c r="AN41" s="2"/>
      <c r="AO41" s="2"/>
      <c r="AP41" s="2"/>
      <c r="AQ41" s="2"/>
      <c r="AT41" s="2"/>
      <c r="AU41" s="262" t="str">
        <f t="shared" si="15"/>
        <v>#29:</v>
      </c>
      <c r="AV41" s="217">
        <f t="shared" si="16"/>
        <v>1.8288000000000002</v>
      </c>
      <c r="AW41" s="229">
        <f t="shared" si="17"/>
        <v>7.3152000000000008</v>
      </c>
      <c r="AX41" s="262" t="str">
        <f t="shared" si="18"/>
        <v/>
      </c>
      <c r="AY41" s="217" t="str">
        <f t="shared" si="19"/>
        <v/>
      </c>
      <c r="AZ41" s="229" t="str">
        <f t="shared" si="20"/>
        <v/>
      </c>
      <c r="BA41" s="262" t="str">
        <f t="shared" si="21"/>
        <v/>
      </c>
      <c r="BB41" s="217" t="str">
        <f t="shared" si="22"/>
        <v/>
      </c>
      <c r="BC41" s="229" t="str">
        <f t="shared" si="23"/>
        <v/>
      </c>
      <c r="BD41" s="262" t="str">
        <f t="shared" si="24"/>
        <v/>
      </c>
      <c r="BE41" s="217" t="str">
        <f t="shared" si="25"/>
        <v/>
      </c>
      <c r="BF41" s="229" t="str">
        <f t="shared" si="26"/>
        <v/>
      </c>
      <c r="BG41" s="262" t="str">
        <f t="shared" si="27"/>
        <v/>
      </c>
      <c r="BH41" s="217" t="str">
        <f t="shared" si="28"/>
        <v/>
      </c>
      <c r="BI41" s="229" t="str">
        <f t="shared" si="29"/>
        <v/>
      </c>
      <c r="BJ41" s="262" t="str">
        <f t="shared" si="30"/>
        <v/>
      </c>
      <c r="BK41" s="217" t="str">
        <f t="shared" si="31"/>
        <v/>
      </c>
      <c r="BL41" s="229" t="str">
        <f t="shared" si="32"/>
        <v/>
      </c>
    </row>
    <row r="42" spans="1:77" x14ac:dyDescent="0.25">
      <c r="A42" s="260" t="str">
        <f t="shared" si="9"/>
        <v>#30:</v>
      </c>
      <c r="B42" s="145">
        <v>6</v>
      </c>
      <c r="C42" s="145">
        <v>27</v>
      </c>
      <c r="D42" s="260" t="str">
        <f t="shared" si="10"/>
        <v/>
      </c>
      <c r="E42" s="145"/>
      <c r="F42" s="145"/>
      <c r="G42" s="260" t="str">
        <f t="shared" si="11"/>
        <v/>
      </c>
      <c r="H42" s="145"/>
      <c r="I42" s="145"/>
      <c r="J42" s="261" t="str">
        <f t="shared" si="12"/>
        <v/>
      </c>
      <c r="K42" s="145"/>
      <c r="L42" s="145"/>
      <c r="M42" s="260" t="str">
        <f t="shared" si="13"/>
        <v/>
      </c>
      <c r="N42" s="145"/>
      <c r="O42" s="145"/>
      <c r="P42" s="260" t="str">
        <f t="shared" si="14"/>
        <v/>
      </c>
      <c r="Q42" s="145"/>
      <c r="R42" s="145"/>
      <c r="S42" s="259"/>
      <c r="T42" s="2"/>
      <c r="U42" s="256">
        <v>38</v>
      </c>
      <c r="V42" s="16">
        <f t="shared" si="33"/>
        <v>7.500001000000001</v>
      </c>
      <c r="W42" s="16">
        <f t="shared" si="34"/>
        <v>4.5000009999999993</v>
      </c>
      <c r="X42" s="16">
        <f t="shared" si="2"/>
        <v>56.250015000001014</v>
      </c>
      <c r="Y42" s="16">
        <f t="shared" si="3"/>
        <v>20.250009000000993</v>
      </c>
      <c r="Z42" s="16">
        <f t="shared" si="4"/>
        <v>33.750012000001</v>
      </c>
      <c r="AA42" s="17">
        <f t="shared" si="35"/>
        <v>4.5</v>
      </c>
      <c r="AB42" s="17">
        <f t="shared" si="36"/>
        <v>7.5</v>
      </c>
      <c r="AC42" s="18">
        <f t="shared" si="7"/>
        <v>68.737373737374199</v>
      </c>
      <c r="AD42" s="18">
        <f t="shared" si="8"/>
        <v>1.8027756377319946</v>
      </c>
      <c r="AG42" s="2"/>
      <c r="AH42" s="2"/>
      <c r="AI42" s="2"/>
      <c r="AJ42" s="2"/>
      <c r="AK42" s="2"/>
      <c r="AL42" s="2"/>
      <c r="AM42" s="2"/>
      <c r="AN42" s="2"/>
      <c r="AO42" s="2"/>
      <c r="AP42" s="2"/>
      <c r="AQ42" s="2"/>
      <c r="AT42" s="2"/>
      <c r="AU42" s="262" t="str">
        <f t="shared" si="15"/>
        <v>#30:</v>
      </c>
      <c r="AV42" s="217">
        <f t="shared" si="16"/>
        <v>1.8288000000000002</v>
      </c>
      <c r="AW42" s="229">
        <f t="shared" si="17"/>
        <v>8.2295999999999996</v>
      </c>
      <c r="AX42" s="262" t="str">
        <f t="shared" si="18"/>
        <v/>
      </c>
      <c r="AY42" s="217" t="str">
        <f t="shared" si="19"/>
        <v/>
      </c>
      <c r="AZ42" s="229" t="str">
        <f t="shared" si="20"/>
        <v/>
      </c>
      <c r="BA42" s="262" t="str">
        <f t="shared" si="21"/>
        <v/>
      </c>
      <c r="BB42" s="217" t="str">
        <f t="shared" si="22"/>
        <v/>
      </c>
      <c r="BC42" s="229" t="str">
        <f t="shared" si="23"/>
        <v/>
      </c>
      <c r="BD42" s="262" t="str">
        <f t="shared" si="24"/>
        <v/>
      </c>
      <c r="BE42" s="217" t="str">
        <f t="shared" si="25"/>
        <v/>
      </c>
      <c r="BF42" s="229" t="str">
        <f t="shared" si="26"/>
        <v/>
      </c>
      <c r="BG42" s="262" t="str">
        <f t="shared" si="27"/>
        <v/>
      </c>
      <c r="BH42" s="217" t="str">
        <f t="shared" si="28"/>
        <v/>
      </c>
      <c r="BI42" s="229" t="str">
        <f t="shared" si="29"/>
        <v/>
      </c>
      <c r="BJ42" s="262" t="str">
        <f t="shared" si="30"/>
        <v/>
      </c>
      <c r="BK42" s="217" t="str">
        <f t="shared" si="31"/>
        <v/>
      </c>
      <c r="BL42" s="229" t="str">
        <f t="shared" si="32"/>
        <v/>
      </c>
    </row>
    <row r="43" spans="1:77" x14ac:dyDescent="0.25">
      <c r="A43" s="260" t="str">
        <f t="shared" si="9"/>
        <v>#31:</v>
      </c>
      <c r="B43" s="145">
        <v>9</v>
      </c>
      <c r="C43" s="145">
        <v>0</v>
      </c>
      <c r="D43" s="260" t="str">
        <f t="shared" si="10"/>
        <v/>
      </c>
      <c r="E43" s="145"/>
      <c r="F43" s="145"/>
      <c r="G43" s="260" t="str">
        <f t="shared" si="11"/>
        <v/>
      </c>
      <c r="H43" s="145"/>
      <c r="I43" s="145"/>
      <c r="J43" s="261" t="str">
        <f t="shared" si="12"/>
        <v/>
      </c>
      <c r="K43" s="145"/>
      <c r="L43" s="145"/>
      <c r="M43" s="260" t="str">
        <f t="shared" si="13"/>
        <v/>
      </c>
      <c r="N43" s="145"/>
      <c r="O43" s="145"/>
      <c r="P43" s="260" t="str">
        <f t="shared" si="14"/>
        <v/>
      </c>
      <c r="Q43" s="145"/>
      <c r="R43" s="145"/>
      <c r="S43" s="263"/>
      <c r="T43" s="10"/>
      <c r="U43" s="256">
        <v>39</v>
      </c>
      <c r="V43" s="16">
        <f t="shared" si="33"/>
        <v>10.500001000000001</v>
      </c>
      <c r="W43" s="16">
        <f t="shared" si="34"/>
        <v>4.5000009999999993</v>
      </c>
      <c r="X43" s="16">
        <f t="shared" si="2"/>
        <v>110.25002100000103</v>
      </c>
      <c r="Y43" s="16">
        <f t="shared" si="3"/>
        <v>20.250009000000993</v>
      </c>
      <c r="Z43" s="16">
        <f t="shared" si="4"/>
        <v>47.250015000001</v>
      </c>
      <c r="AA43" s="17">
        <f t="shared" si="35"/>
        <v>4.5</v>
      </c>
      <c r="AB43" s="17">
        <f t="shared" si="36"/>
        <v>10.5</v>
      </c>
      <c r="AC43" s="18">
        <f t="shared" si="7"/>
        <v>68.232323232323694</v>
      </c>
      <c r="AD43" s="18">
        <f t="shared" si="8"/>
        <v>1.8027756377319946</v>
      </c>
      <c r="AG43" s="2"/>
      <c r="AH43" s="2"/>
      <c r="AI43" s="2"/>
      <c r="AJ43" s="2"/>
      <c r="AK43" s="2"/>
      <c r="AL43" s="2"/>
      <c r="AM43" s="2"/>
      <c r="AN43" s="2"/>
      <c r="AO43" s="2"/>
      <c r="AP43" s="2"/>
      <c r="AQ43" s="2"/>
      <c r="AT43" s="2"/>
      <c r="AU43" s="262" t="str">
        <f t="shared" si="15"/>
        <v>#31:</v>
      </c>
      <c r="AV43" s="217">
        <f t="shared" si="16"/>
        <v>2.7432000000000003</v>
      </c>
      <c r="AW43" s="229">
        <f t="shared" si="17"/>
        <v>0</v>
      </c>
      <c r="AX43" s="262" t="str">
        <f t="shared" si="18"/>
        <v/>
      </c>
      <c r="AY43" s="217" t="str">
        <f t="shared" si="19"/>
        <v/>
      </c>
      <c r="AZ43" s="229" t="str">
        <f t="shared" si="20"/>
        <v/>
      </c>
      <c r="BA43" s="262" t="str">
        <f t="shared" si="21"/>
        <v/>
      </c>
      <c r="BB43" s="217" t="str">
        <f t="shared" si="22"/>
        <v/>
      </c>
      <c r="BC43" s="229" t="str">
        <f t="shared" si="23"/>
        <v/>
      </c>
      <c r="BD43" s="262" t="str">
        <f t="shared" si="24"/>
        <v/>
      </c>
      <c r="BE43" s="217" t="str">
        <f t="shared" si="25"/>
        <v/>
      </c>
      <c r="BF43" s="229" t="str">
        <f t="shared" si="26"/>
        <v/>
      </c>
      <c r="BG43" s="262" t="str">
        <f t="shared" si="27"/>
        <v/>
      </c>
      <c r="BH43" s="217" t="str">
        <f t="shared" si="28"/>
        <v/>
      </c>
      <c r="BI43" s="229" t="str">
        <f t="shared" si="29"/>
        <v/>
      </c>
      <c r="BJ43" s="262" t="str">
        <f t="shared" si="30"/>
        <v/>
      </c>
      <c r="BK43" s="217" t="str">
        <f t="shared" si="31"/>
        <v/>
      </c>
      <c r="BL43" s="229" t="str">
        <f t="shared" si="32"/>
        <v/>
      </c>
    </row>
    <row r="44" spans="1:77" x14ac:dyDescent="0.25">
      <c r="A44" s="260" t="str">
        <f t="shared" si="9"/>
        <v>#32:</v>
      </c>
      <c r="B44" s="145">
        <v>9</v>
      </c>
      <c r="C44" s="145">
        <v>3</v>
      </c>
      <c r="D44" s="260" t="str">
        <f t="shared" si="10"/>
        <v/>
      </c>
      <c r="E44" s="145"/>
      <c r="F44" s="145"/>
      <c r="G44" s="260" t="str">
        <f t="shared" si="11"/>
        <v/>
      </c>
      <c r="H44" s="145"/>
      <c r="I44" s="145"/>
      <c r="J44" s="261" t="str">
        <f t="shared" si="12"/>
        <v/>
      </c>
      <c r="K44" s="145"/>
      <c r="L44" s="145"/>
      <c r="M44" s="260" t="str">
        <f t="shared" si="13"/>
        <v/>
      </c>
      <c r="N44" s="145"/>
      <c r="O44" s="145"/>
      <c r="P44" s="260" t="str">
        <f t="shared" si="14"/>
        <v/>
      </c>
      <c r="Q44" s="145"/>
      <c r="R44" s="145"/>
      <c r="S44" s="259"/>
      <c r="T44" s="2"/>
      <c r="U44" s="256">
        <v>40</v>
      </c>
      <c r="V44" s="16">
        <f t="shared" si="33"/>
        <v>13.500001000000001</v>
      </c>
      <c r="W44" s="16">
        <f t="shared" si="34"/>
        <v>4.5000009999999993</v>
      </c>
      <c r="X44" s="16">
        <f t="shared" si="2"/>
        <v>182.25002700000104</v>
      </c>
      <c r="Y44" s="16">
        <f t="shared" si="3"/>
        <v>20.250009000000993</v>
      </c>
      <c r="Z44" s="16">
        <f t="shared" si="4"/>
        <v>60.750018000000992</v>
      </c>
      <c r="AA44" s="17">
        <f t="shared" si="35"/>
        <v>4.5</v>
      </c>
      <c r="AB44" s="17">
        <f t="shared" si="36"/>
        <v>13.5</v>
      </c>
      <c r="AC44" s="18">
        <f t="shared" si="7"/>
        <v>67.727272727273203</v>
      </c>
      <c r="AD44" s="18">
        <f t="shared" si="8"/>
        <v>1.8027756377319946</v>
      </c>
      <c r="AG44" s="2"/>
      <c r="AH44" s="2"/>
      <c r="AI44" s="2"/>
      <c r="AJ44" s="2"/>
      <c r="AK44" s="2"/>
      <c r="AL44" s="2"/>
      <c r="AM44" s="2"/>
      <c r="AN44" s="2"/>
      <c r="AO44" s="2"/>
      <c r="AP44" s="2"/>
      <c r="AQ44" s="2"/>
      <c r="AT44" s="2"/>
      <c r="AU44" s="262" t="str">
        <f t="shared" si="15"/>
        <v>#32:</v>
      </c>
      <c r="AV44" s="217">
        <f t="shared" si="16"/>
        <v>2.7432000000000003</v>
      </c>
      <c r="AW44" s="229">
        <f t="shared" si="17"/>
        <v>0.9144000000000001</v>
      </c>
      <c r="AX44" s="262" t="str">
        <f t="shared" si="18"/>
        <v/>
      </c>
      <c r="AY44" s="217" t="str">
        <f t="shared" si="19"/>
        <v/>
      </c>
      <c r="AZ44" s="229" t="str">
        <f t="shared" si="20"/>
        <v/>
      </c>
      <c r="BA44" s="262" t="str">
        <f t="shared" si="21"/>
        <v/>
      </c>
      <c r="BB44" s="217" t="str">
        <f t="shared" si="22"/>
        <v/>
      </c>
      <c r="BC44" s="229" t="str">
        <f t="shared" si="23"/>
        <v/>
      </c>
      <c r="BD44" s="262" t="str">
        <f t="shared" si="24"/>
        <v/>
      </c>
      <c r="BE44" s="217" t="str">
        <f t="shared" si="25"/>
        <v/>
      </c>
      <c r="BF44" s="229" t="str">
        <f t="shared" si="26"/>
        <v/>
      </c>
      <c r="BG44" s="262" t="str">
        <f t="shared" si="27"/>
        <v/>
      </c>
      <c r="BH44" s="217" t="str">
        <f t="shared" si="28"/>
        <v/>
      </c>
      <c r="BI44" s="229" t="str">
        <f t="shared" si="29"/>
        <v/>
      </c>
      <c r="BJ44" s="262" t="str">
        <f t="shared" si="30"/>
        <v/>
      </c>
      <c r="BK44" s="217" t="str">
        <f t="shared" si="31"/>
        <v/>
      </c>
      <c r="BL44" s="229" t="str">
        <f t="shared" si="32"/>
        <v/>
      </c>
    </row>
    <row r="45" spans="1:77" x14ac:dyDescent="0.25">
      <c r="A45" s="260" t="str">
        <f t="shared" ref="A45:A62" si="37">IF($C$9&gt;=$U37,"#"&amp;$U37&amp;":","")</f>
        <v>#33:</v>
      </c>
      <c r="B45" s="145">
        <v>9</v>
      </c>
      <c r="C45" s="145">
        <v>6</v>
      </c>
      <c r="D45" s="260" t="str">
        <f t="shared" ref="D45:D62" si="38">IF($C$9&gt;=$U87,"#"&amp;$U87&amp;":","")</f>
        <v/>
      </c>
      <c r="E45" s="145"/>
      <c r="F45" s="145"/>
      <c r="G45" s="260" t="str">
        <f t="shared" ref="G45:G62" si="39">IF($C$9&gt;=$U137,"#"&amp;$U137&amp;":","")</f>
        <v/>
      </c>
      <c r="H45" s="145"/>
      <c r="I45" s="145"/>
      <c r="J45" s="261" t="str">
        <f t="shared" ref="J45:J62" si="40">IF($C$9&gt;=$U187,"#"&amp;$U187&amp;":","")</f>
        <v/>
      </c>
      <c r="K45" s="145"/>
      <c r="L45" s="145"/>
      <c r="M45" s="260" t="str">
        <f t="shared" ref="M45:M62" si="41">IF($C$9&gt;=$U237,"#"&amp;$U237&amp;":","")</f>
        <v/>
      </c>
      <c r="N45" s="145"/>
      <c r="O45" s="145"/>
      <c r="P45" s="260" t="str">
        <f t="shared" ref="P45:P62" si="42">IF($C$9&gt;=$U287,"#"&amp;$U287&amp;":","")</f>
        <v/>
      </c>
      <c r="Q45" s="145"/>
      <c r="R45" s="145"/>
      <c r="S45" s="259"/>
      <c r="T45" s="2"/>
      <c r="U45" s="256">
        <v>41</v>
      </c>
      <c r="V45" s="16" t="str">
        <f t="shared" si="33"/>
        <v/>
      </c>
      <c r="W45" s="16" t="str">
        <f t="shared" si="34"/>
        <v/>
      </c>
      <c r="X45" s="16" t="str">
        <f t="shared" si="2"/>
        <v/>
      </c>
      <c r="Y45" s="16" t="str">
        <f t="shared" si="3"/>
        <v/>
      </c>
      <c r="Z45" s="16" t="str">
        <f t="shared" si="4"/>
        <v/>
      </c>
      <c r="AA45" s="17" t="str">
        <f t="shared" si="35"/>
        <v/>
      </c>
      <c r="AB45" s="17" t="str">
        <f t="shared" si="36"/>
        <v/>
      </c>
      <c r="AC45" s="18" t="str">
        <f t="shared" si="7"/>
        <v/>
      </c>
      <c r="AD45" s="18" t="str">
        <f t="shared" si="8"/>
        <v/>
      </c>
      <c r="AG45" s="2"/>
      <c r="AH45" s="2"/>
      <c r="AI45" s="2"/>
      <c r="AJ45" s="2"/>
      <c r="AK45" s="2"/>
      <c r="AL45" s="2"/>
      <c r="AM45" s="2"/>
      <c r="AN45" s="2"/>
      <c r="AO45" s="2"/>
      <c r="AP45" s="2"/>
      <c r="AQ45" s="2"/>
      <c r="AT45" s="2"/>
      <c r="AU45" s="262" t="str">
        <f t="shared" ref="AU45:AU62" si="43">IF($C$9&gt;=$U37,"#"&amp;$U37&amp;":","")</f>
        <v>#33:</v>
      </c>
      <c r="AV45" s="217">
        <f t="shared" ref="AV45:AV62" si="44">IF($C$9&gt;=$U37,$B45*0.3048,"")</f>
        <v>2.7432000000000003</v>
      </c>
      <c r="AW45" s="229">
        <f t="shared" ref="AW45:AW62" si="45">IF($C$9&gt;=$U37,$C45*0.3048,"")</f>
        <v>1.8288000000000002</v>
      </c>
      <c r="AX45" s="262" t="str">
        <f t="shared" ref="AX45:AX62" si="46">IF($C$9&gt;=$U87,"#"&amp;$U87&amp;":","")</f>
        <v/>
      </c>
      <c r="AY45" s="217" t="str">
        <f t="shared" ref="AY45:AY62" si="47">IF($C$9&gt;=$U87,$E45*0.3048,"")</f>
        <v/>
      </c>
      <c r="AZ45" s="229" t="str">
        <f t="shared" ref="AZ45:AZ62" si="48">IF($C$9&gt;=$U87,$F45*0.3048,"")</f>
        <v/>
      </c>
      <c r="BA45" s="262" t="str">
        <f t="shared" ref="BA45:BA62" si="49">IF($C$9&gt;=$U137,"#"&amp;$U137&amp;":","")</f>
        <v/>
      </c>
      <c r="BB45" s="217" t="str">
        <f t="shared" ref="BB45:BB62" si="50">IF($C$9&gt;=$U137,$H45*0.3048,"")</f>
        <v/>
      </c>
      <c r="BC45" s="229" t="str">
        <f t="shared" ref="BC45:BC62" si="51">IF($C$9&gt;=$U137,$I45*0.3048,"")</f>
        <v/>
      </c>
      <c r="BD45" s="262" t="str">
        <f t="shared" ref="BD45:BD62" si="52">IF($C$9&gt;=$U187,"#"&amp;$U187&amp;":","")</f>
        <v/>
      </c>
      <c r="BE45" s="217" t="str">
        <f t="shared" ref="BE45:BE62" si="53">IF($C$9&gt;=$U187,$K45*0.3048,"")</f>
        <v/>
      </c>
      <c r="BF45" s="229" t="str">
        <f t="shared" ref="BF45:BF62" si="54">IF($C$9&gt;=$U187,$L45*0.3048,"")</f>
        <v/>
      </c>
      <c r="BG45" s="262" t="str">
        <f t="shared" ref="BG45:BG62" si="55">IF($C$9&gt;=$U237,"#"&amp;$U237&amp;":","")</f>
        <v/>
      </c>
      <c r="BH45" s="217" t="str">
        <f t="shared" ref="BH45:BH62" si="56">IF($C$9&gt;=$U237,$N45*0.3048,"")</f>
        <v/>
      </c>
      <c r="BI45" s="229" t="str">
        <f t="shared" ref="BI45:BI62" si="57">IF($C$9&gt;=$U237,$O45*0.3048,"")</f>
        <v/>
      </c>
      <c r="BJ45" s="262" t="str">
        <f t="shared" ref="BJ45:BJ62" si="58">IF($C$9&gt;=$U287,"#"&amp;$U287&amp;":","")</f>
        <v/>
      </c>
      <c r="BK45" s="217" t="str">
        <f t="shared" ref="BK45:BK62" si="59">IF($C$9&gt;=$U287,$Q45*0.3048,"")</f>
        <v/>
      </c>
      <c r="BL45" s="229" t="str">
        <f t="shared" ref="BL45:BL62" si="60">IF($C$9&gt;=$U287,$R45*0.3048,"")</f>
        <v/>
      </c>
    </row>
    <row r="46" spans="1:77" x14ac:dyDescent="0.25">
      <c r="A46" s="260" t="str">
        <f t="shared" si="37"/>
        <v>#34:</v>
      </c>
      <c r="B46" s="145">
        <v>9</v>
      </c>
      <c r="C46" s="145">
        <v>9</v>
      </c>
      <c r="D46" s="260" t="str">
        <f t="shared" si="38"/>
        <v/>
      </c>
      <c r="E46" s="145"/>
      <c r="F46" s="145"/>
      <c r="G46" s="260" t="str">
        <f t="shared" si="39"/>
        <v/>
      </c>
      <c r="H46" s="145"/>
      <c r="I46" s="145"/>
      <c r="J46" s="261" t="str">
        <f t="shared" si="40"/>
        <v/>
      </c>
      <c r="K46" s="145"/>
      <c r="L46" s="145"/>
      <c r="M46" s="260" t="str">
        <f t="shared" si="41"/>
        <v/>
      </c>
      <c r="N46" s="145"/>
      <c r="O46" s="145"/>
      <c r="P46" s="260" t="str">
        <f t="shared" si="42"/>
        <v/>
      </c>
      <c r="Q46" s="145"/>
      <c r="R46" s="145"/>
      <c r="S46" s="259"/>
      <c r="T46" s="2"/>
      <c r="U46" s="256">
        <v>42</v>
      </c>
      <c r="V46" s="16" t="str">
        <f t="shared" si="33"/>
        <v/>
      </c>
      <c r="W46" s="16" t="str">
        <f t="shared" si="34"/>
        <v/>
      </c>
      <c r="X46" s="16" t="str">
        <f t="shared" si="2"/>
        <v/>
      </c>
      <c r="Y46" s="16" t="str">
        <f t="shared" si="3"/>
        <v/>
      </c>
      <c r="Z46" s="16" t="str">
        <f t="shared" si="4"/>
        <v/>
      </c>
      <c r="AA46" s="17" t="str">
        <f t="shared" si="35"/>
        <v/>
      </c>
      <c r="AB46" s="17" t="str">
        <f t="shared" si="36"/>
        <v/>
      </c>
      <c r="AC46" s="18" t="str">
        <f t="shared" si="7"/>
        <v/>
      </c>
      <c r="AD46" s="18" t="str">
        <f t="shared" si="8"/>
        <v/>
      </c>
      <c r="AG46" s="2"/>
      <c r="AH46" s="2"/>
      <c r="AI46" s="2"/>
      <c r="AJ46" s="2"/>
      <c r="AK46" s="2"/>
      <c r="AL46" s="2"/>
      <c r="AM46" s="2"/>
      <c r="AN46" s="2"/>
      <c r="AO46" s="2"/>
      <c r="AP46" s="2"/>
      <c r="AQ46" s="2"/>
      <c r="AT46" s="2"/>
      <c r="AU46" s="262" t="str">
        <f t="shared" si="43"/>
        <v>#34:</v>
      </c>
      <c r="AV46" s="217">
        <f t="shared" si="44"/>
        <v>2.7432000000000003</v>
      </c>
      <c r="AW46" s="229">
        <f t="shared" si="45"/>
        <v>2.7432000000000003</v>
      </c>
      <c r="AX46" s="262" t="str">
        <f t="shared" si="46"/>
        <v/>
      </c>
      <c r="AY46" s="217" t="str">
        <f t="shared" si="47"/>
        <v/>
      </c>
      <c r="AZ46" s="229" t="str">
        <f t="shared" si="48"/>
        <v/>
      </c>
      <c r="BA46" s="262" t="str">
        <f t="shared" si="49"/>
        <v/>
      </c>
      <c r="BB46" s="217" t="str">
        <f t="shared" si="50"/>
        <v/>
      </c>
      <c r="BC46" s="229" t="str">
        <f t="shared" si="51"/>
        <v/>
      </c>
      <c r="BD46" s="262" t="str">
        <f t="shared" si="52"/>
        <v/>
      </c>
      <c r="BE46" s="217" t="str">
        <f t="shared" si="53"/>
        <v/>
      </c>
      <c r="BF46" s="229" t="str">
        <f t="shared" si="54"/>
        <v/>
      </c>
      <c r="BG46" s="262" t="str">
        <f t="shared" si="55"/>
        <v/>
      </c>
      <c r="BH46" s="217" t="str">
        <f t="shared" si="56"/>
        <v/>
      </c>
      <c r="BI46" s="229" t="str">
        <f t="shared" si="57"/>
        <v/>
      </c>
      <c r="BJ46" s="262" t="str">
        <f t="shared" si="58"/>
        <v/>
      </c>
      <c r="BK46" s="217" t="str">
        <f t="shared" si="59"/>
        <v/>
      </c>
      <c r="BL46" s="229" t="str">
        <f t="shared" si="60"/>
        <v/>
      </c>
    </row>
    <row r="47" spans="1:77" x14ac:dyDescent="0.25">
      <c r="A47" s="260" t="str">
        <f t="shared" si="37"/>
        <v>#35:</v>
      </c>
      <c r="B47" s="145">
        <v>9</v>
      </c>
      <c r="C47" s="145">
        <v>12</v>
      </c>
      <c r="D47" s="260" t="str">
        <f t="shared" si="38"/>
        <v/>
      </c>
      <c r="E47" s="145"/>
      <c r="F47" s="145"/>
      <c r="G47" s="260" t="str">
        <f t="shared" si="39"/>
        <v/>
      </c>
      <c r="H47" s="145"/>
      <c r="I47" s="145"/>
      <c r="J47" s="261" t="str">
        <f t="shared" si="40"/>
        <v/>
      </c>
      <c r="K47" s="145"/>
      <c r="L47" s="145"/>
      <c r="M47" s="260" t="str">
        <f t="shared" si="41"/>
        <v/>
      </c>
      <c r="N47" s="145"/>
      <c r="O47" s="145"/>
      <c r="P47" s="260" t="str">
        <f t="shared" si="42"/>
        <v/>
      </c>
      <c r="Q47" s="145"/>
      <c r="R47" s="145"/>
      <c r="S47" s="259"/>
      <c r="T47" s="2"/>
      <c r="U47" s="256">
        <v>43</v>
      </c>
      <c r="V47" s="16" t="str">
        <f t="shared" si="33"/>
        <v/>
      </c>
      <c r="W47" s="16" t="str">
        <f t="shared" si="34"/>
        <v/>
      </c>
      <c r="X47" s="16" t="str">
        <f t="shared" si="2"/>
        <v/>
      </c>
      <c r="Y47" s="16" t="str">
        <f t="shared" si="3"/>
        <v/>
      </c>
      <c r="Z47" s="16" t="str">
        <f t="shared" si="4"/>
        <v/>
      </c>
      <c r="AA47" s="17" t="str">
        <f t="shared" si="35"/>
        <v/>
      </c>
      <c r="AB47" s="17" t="str">
        <f t="shared" si="36"/>
        <v/>
      </c>
      <c r="AC47" s="18" t="str">
        <f t="shared" si="7"/>
        <v/>
      </c>
      <c r="AD47" s="18" t="str">
        <f t="shared" si="8"/>
        <v/>
      </c>
      <c r="AG47" s="2"/>
      <c r="AH47" s="2"/>
      <c r="AI47" s="2"/>
      <c r="AJ47" s="2"/>
      <c r="AK47" s="2"/>
      <c r="AL47" s="2"/>
      <c r="AM47" s="2"/>
      <c r="AN47" s="2"/>
      <c r="AO47" s="2"/>
      <c r="AP47" s="2"/>
      <c r="AQ47" s="2"/>
      <c r="AT47" s="2"/>
      <c r="AU47" s="262" t="str">
        <f t="shared" si="43"/>
        <v>#35:</v>
      </c>
      <c r="AV47" s="217">
        <f t="shared" si="44"/>
        <v>2.7432000000000003</v>
      </c>
      <c r="AW47" s="229">
        <f t="shared" si="45"/>
        <v>3.6576000000000004</v>
      </c>
      <c r="AX47" s="262" t="str">
        <f t="shared" si="46"/>
        <v/>
      </c>
      <c r="AY47" s="217" t="str">
        <f t="shared" si="47"/>
        <v/>
      </c>
      <c r="AZ47" s="229" t="str">
        <f t="shared" si="48"/>
        <v/>
      </c>
      <c r="BA47" s="262" t="str">
        <f t="shared" si="49"/>
        <v/>
      </c>
      <c r="BB47" s="217" t="str">
        <f t="shared" si="50"/>
        <v/>
      </c>
      <c r="BC47" s="229" t="str">
        <f t="shared" si="51"/>
        <v/>
      </c>
      <c r="BD47" s="262" t="str">
        <f t="shared" si="52"/>
        <v/>
      </c>
      <c r="BE47" s="217" t="str">
        <f t="shared" si="53"/>
        <v/>
      </c>
      <c r="BF47" s="229" t="str">
        <f t="shared" si="54"/>
        <v/>
      </c>
      <c r="BG47" s="262" t="str">
        <f t="shared" si="55"/>
        <v/>
      </c>
      <c r="BH47" s="217" t="str">
        <f t="shared" si="56"/>
        <v/>
      </c>
      <c r="BI47" s="229" t="str">
        <f t="shared" si="57"/>
        <v/>
      </c>
      <c r="BJ47" s="262" t="str">
        <f t="shared" si="58"/>
        <v/>
      </c>
      <c r="BK47" s="217" t="str">
        <f t="shared" si="59"/>
        <v/>
      </c>
      <c r="BL47" s="229" t="str">
        <f t="shared" si="60"/>
        <v/>
      </c>
    </row>
    <row r="48" spans="1:77" x14ac:dyDescent="0.25">
      <c r="A48" s="260" t="str">
        <f t="shared" si="37"/>
        <v>#36:</v>
      </c>
      <c r="B48" s="145">
        <v>9</v>
      </c>
      <c r="C48" s="145">
        <v>15</v>
      </c>
      <c r="D48" s="260" t="str">
        <f t="shared" si="38"/>
        <v/>
      </c>
      <c r="E48" s="145"/>
      <c r="F48" s="145"/>
      <c r="G48" s="260" t="str">
        <f t="shared" si="39"/>
        <v/>
      </c>
      <c r="H48" s="145"/>
      <c r="I48" s="145"/>
      <c r="J48" s="261" t="str">
        <f t="shared" si="40"/>
        <v/>
      </c>
      <c r="K48" s="145"/>
      <c r="L48" s="145"/>
      <c r="M48" s="260" t="str">
        <f t="shared" si="41"/>
        <v/>
      </c>
      <c r="N48" s="145"/>
      <c r="O48" s="145"/>
      <c r="P48" s="260" t="str">
        <f t="shared" si="42"/>
        <v/>
      </c>
      <c r="Q48" s="145"/>
      <c r="R48" s="145"/>
      <c r="S48" s="259"/>
      <c r="T48" s="2"/>
      <c r="U48" s="256">
        <v>44</v>
      </c>
      <c r="V48" s="16" t="str">
        <f t="shared" si="33"/>
        <v/>
      </c>
      <c r="W48" s="16" t="str">
        <f t="shared" si="34"/>
        <v/>
      </c>
      <c r="X48" s="16" t="str">
        <f t="shared" si="2"/>
        <v/>
      </c>
      <c r="Y48" s="16" t="str">
        <f t="shared" si="3"/>
        <v/>
      </c>
      <c r="Z48" s="16" t="str">
        <f t="shared" si="4"/>
        <v/>
      </c>
      <c r="AA48" s="17" t="str">
        <f t="shared" si="35"/>
        <v/>
      </c>
      <c r="AB48" s="17" t="str">
        <f t="shared" si="36"/>
        <v/>
      </c>
      <c r="AC48" s="18" t="str">
        <f t="shared" si="7"/>
        <v/>
      </c>
      <c r="AD48" s="18" t="str">
        <f t="shared" si="8"/>
        <v/>
      </c>
      <c r="AG48" s="2"/>
      <c r="AH48" s="2"/>
      <c r="AI48" s="2"/>
      <c r="AJ48" s="2"/>
      <c r="AK48" s="2"/>
      <c r="AL48" s="2"/>
      <c r="AM48" s="2"/>
      <c r="AN48" s="2"/>
      <c r="AO48" s="2"/>
      <c r="AP48" s="2"/>
      <c r="AQ48" s="2"/>
      <c r="AT48" s="2"/>
      <c r="AU48" s="262" t="str">
        <f t="shared" si="43"/>
        <v>#36:</v>
      </c>
      <c r="AV48" s="217">
        <f t="shared" si="44"/>
        <v>2.7432000000000003</v>
      </c>
      <c r="AW48" s="229">
        <f t="shared" si="45"/>
        <v>4.5720000000000001</v>
      </c>
      <c r="AX48" s="262" t="str">
        <f t="shared" si="46"/>
        <v/>
      </c>
      <c r="AY48" s="217" t="str">
        <f t="shared" si="47"/>
        <v/>
      </c>
      <c r="AZ48" s="229" t="str">
        <f t="shared" si="48"/>
        <v/>
      </c>
      <c r="BA48" s="262" t="str">
        <f t="shared" si="49"/>
        <v/>
      </c>
      <c r="BB48" s="217" t="str">
        <f t="shared" si="50"/>
        <v/>
      </c>
      <c r="BC48" s="229" t="str">
        <f t="shared" si="51"/>
        <v/>
      </c>
      <c r="BD48" s="262" t="str">
        <f t="shared" si="52"/>
        <v/>
      </c>
      <c r="BE48" s="217" t="str">
        <f t="shared" si="53"/>
        <v/>
      </c>
      <c r="BF48" s="229" t="str">
        <f t="shared" si="54"/>
        <v/>
      </c>
      <c r="BG48" s="262" t="str">
        <f t="shared" si="55"/>
        <v/>
      </c>
      <c r="BH48" s="217" t="str">
        <f t="shared" si="56"/>
        <v/>
      </c>
      <c r="BI48" s="229" t="str">
        <f t="shared" si="57"/>
        <v/>
      </c>
      <c r="BJ48" s="262" t="str">
        <f t="shared" si="58"/>
        <v/>
      </c>
      <c r="BK48" s="217" t="str">
        <f t="shared" si="59"/>
        <v/>
      </c>
      <c r="BL48" s="229" t="str">
        <f t="shared" si="60"/>
        <v/>
      </c>
    </row>
    <row r="49" spans="1:64" x14ac:dyDescent="0.25">
      <c r="A49" s="260" t="str">
        <f t="shared" si="37"/>
        <v>#37:</v>
      </c>
      <c r="B49" s="145">
        <v>9</v>
      </c>
      <c r="C49" s="145">
        <v>18</v>
      </c>
      <c r="D49" s="260" t="str">
        <f t="shared" si="38"/>
        <v/>
      </c>
      <c r="E49" s="145"/>
      <c r="F49" s="145"/>
      <c r="G49" s="260" t="str">
        <f t="shared" si="39"/>
        <v/>
      </c>
      <c r="H49" s="145"/>
      <c r="I49" s="145"/>
      <c r="J49" s="261" t="str">
        <f t="shared" si="40"/>
        <v/>
      </c>
      <c r="K49" s="145"/>
      <c r="L49" s="145"/>
      <c r="M49" s="260" t="str">
        <f t="shared" si="41"/>
        <v/>
      </c>
      <c r="N49" s="145"/>
      <c r="O49" s="145"/>
      <c r="P49" s="260" t="str">
        <f t="shared" si="42"/>
        <v/>
      </c>
      <c r="Q49" s="145"/>
      <c r="R49" s="145"/>
      <c r="S49" s="259"/>
      <c r="T49" s="2"/>
      <c r="U49" s="256">
        <v>45</v>
      </c>
      <c r="V49" s="16" t="str">
        <f t="shared" si="33"/>
        <v/>
      </c>
      <c r="W49" s="16" t="str">
        <f t="shared" si="34"/>
        <v/>
      </c>
      <c r="X49" s="16" t="str">
        <f t="shared" si="2"/>
        <v/>
      </c>
      <c r="Y49" s="16" t="str">
        <f t="shared" si="3"/>
        <v/>
      </c>
      <c r="Z49" s="16" t="str">
        <f t="shared" si="4"/>
        <v/>
      </c>
      <c r="AA49" s="17" t="str">
        <f t="shared" si="35"/>
        <v/>
      </c>
      <c r="AB49" s="17" t="str">
        <f t="shared" si="36"/>
        <v/>
      </c>
      <c r="AC49" s="18" t="str">
        <f t="shared" si="7"/>
        <v/>
      </c>
      <c r="AD49" s="18" t="str">
        <f t="shared" si="8"/>
        <v/>
      </c>
      <c r="AG49" s="2"/>
      <c r="AH49" s="2"/>
      <c r="AI49" s="2"/>
      <c r="AJ49" s="2"/>
      <c r="AK49" s="2"/>
      <c r="AL49" s="2"/>
      <c r="AM49" s="2"/>
      <c r="AN49" s="2"/>
      <c r="AO49" s="2"/>
      <c r="AP49" s="2"/>
      <c r="AQ49" s="2"/>
      <c r="AT49" s="2"/>
      <c r="AU49" s="262" t="str">
        <f t="shared" si="43"/>
        <v>#37:</v>
      </c>
      <c r="AV49" s="217">
        <f t="shared" si="44"/>
        <v>2.7432000000000003</v>
      </c>
      <c r="AW49" s="229">
        <f t="shared" si="45"/>
        <v>5.4864000000000006</v>
      </c>
      <c r="AX49" s="262" t="str">
        <f t="shared" si="46"/>
        <v/>
      </c>
      <c r="AY49" s="217" t="str">
        <f t="shared" si="47"/>
        <v/>
      </c>
      <c r="AZ49" s="229" t="str">
        <f t="shared" si="48"/>
        <v/>
      </c>
      <c r="BA49" s="262" t="str">
        <f t="shared" si="49"/>
        <v/>
      </c>
      <c r="BB49" s="217" t="str">
        <f t="shared" si="50"/>
        <v/>
      </c>
      <c r="BC49" s="229" t="str">
        <f t="shared" si="51"/>
        <v/>
      </c>
      <c r="BD49" s="262" t="str">
        <f t="shared" si="52"/>
        <v/>
      </c>
      <c r="BE49" s="217" t="str">
        <f t="shared" si="53"/>
        <v/>
      </c>
      <c r="BF49" s="229" t="str">
        <f t="shared" si="54"/>
        <v/>
      </c>
      <c r="BG49" s="262" t="str">
        <f t="shared" si="55"/>
        <v/>
      </c>
      <c r="BH49" s="217" t="str">
        <f t="shared" si="56"/>
        <v/>
      </c>
      <c r="BI49" s="229" t="str">
        <f t="shared" si="57"/>
        <v/>
      </c>
      <c r="BJ49" s="262" t="str">
        <f t="shared" si="58"/>
        <v/>
      </c>
      <c r="BK49" s="217" t="str">
        <f t="shared" si="59"/>
        <v/>
      </c>
      <c r="BL49" s="229" t="str">
        <f t="shared" si="60"/>
        <v/>
      </c>
    </row>
    <row r="50" spans="1:64" x14ac:dyDescent="0.25">
      <c r="A50" s="260" t="str">
        <f t="shared" si="37"/>
        <v>#38:</v>
      </c>
      <c r="B50" s="145">
        <v>9</v>
      </c>
      <c r="C50" s="145">
        <v>21</v>
      </c>
      <c r="D50" s="260" t="str">
        <f t="shared" si="38"/>
        <v/>
      </c>
      <c r="E50" s="145"/>
      <c r="F50" s="145"/>
      <c r="G50" s="260" t="str">
        <f t="shared" si="39"/>
        <v/>
      </c>
      <c r="H50" s="145"/>
      <c r="I50" s="145"/>
      <c r="J50" s="261" t="str">
        <f t="shared" si="40"/>
        <v/>
      </c>
      <c r="K50" s="145"/>
      <c r="L50" s="145"/>
      <c r="M50" s="260" t="str">
        <f t="shared" si="41"/>
        <v/>
      </c>
      <c r="N50" s="145"/>
      <c r="O50" s="145"/>
      <c r="P50" s="260" t="str">
        <f t="shared" si="42"/>
        <v/>
      </c>
      <c r="Q50" s="145"/>
      <c r="R50" s="145"/>
      <c r="S50" s="259"/>
      <c r="T50" s="2"/>
      <c r="U50" s="256">
        <v>46</v>
      </c>
      <c r="V50" s="16" t="str">
        <f t="shared" si="33"/>
        <v/>
      </c>
      <c r="W50" s="16" t="str">
        <f t="shared" si="34"/>
        <v/>
      </c>
      <c r="X50" s="16" t="str">
        <f t="shared" si="2"/>
        <v/>
      </c>
      <c r="Y50" s="16" t="str">
        <f t="shared" si="3"/>
        <v/>
      </c>
      <c r="Z50" s="16" t="str">
        <f t="shared" si="4"/>
        <v/>
      </c>
      <c r="AA50" s="17" t="str">
        <f t="shared" si="35"/>
        <v/>
      </c>
      <c r="AB50" s="17" t="str">
        <f t="shared" si="36"/>
        <v/>
      </c>
      <c r="AC50" s="18" t="str">
        <f t="shared" si="7"/>
        <v/>
      </c>
      <c r="AD50" s="18" t="str">
        <f t="shared" si="8"/>
        <v/>
      </c>
      <c r="AG50" s="2"/>
      <c r="AH50" s="2"/>
      <c r="AI50" s="2"/>
      <c r="AJ50" s="2"/>
      <c r="AK50" s="2"/>
      <c r="AL50" s="2"/>
      <c r="AM50" s="2"/>
      <c r="AN50" s="2"/>
      <c r="AO50" s="2"/>
      <c r="AP50" s="2"/>
      <c r="AQ50" s="2"/>
      <c r="AT50" s="2"/>
      <c r="AU50" s="262" t="str">
        <f t="shared" si="43"/>
        <v>#38:</v>
      </c>
      <c r="AV50" s="217">
        <f t="shared" si="44"/>
        <v>2.7432000000000003</v>
      </c>
      <c r="AW50" s="229">
        <f t="shared" si="45"/>
        <v>6.4008000000000003</v>
      </c>
      <c r="AX50" s="262" t="str">
        <f t="shared" si="46"/>
        <v/>
      </c>
      <c r="AY50" s="217" t="str">
        <f t="shared" si="47"/>
        <v/>
      </c>
      <c r="AZ50" s="229" t="str">
        <f t="shared" si="48"/>
        <v/>
      </c>
      <c r="BA50" s="262" t="str">
        <f t="shared" si="49"/>
        <v/>
      </c>
      <c r="BB50" s="217" t="str">
        <f t="shared" si="50"/>
        <v/>
      </c>
      <c r="BC50" s="229" t="str">
        <f t="shared" si="51"/>
        <v/>
      </c>
      <c r="BD50" s="262" t="str">
        <f t="shared" si="52"/>
        <v/>
      </c>
      <c r="BE50" s="217" t="str">
        <f t="shared" si="53"/>
        <v/>
      </c>
      <c r="BF50" s="229" t="str">
        <f t="shared" si="54"/>
        <v/>
      </c>
      <c r="BG50" s="262" t="str">
        <f t="shared" si="55"/>
        <v/>
      </c>
      <c r="BH50" s="217" t="str">
        <f t="shared" si="56"/>
        <v/>
      </c>
      <c r="BI50" s="229" t="str">
        <f t="shared" si="57"/>
        <v/>
      </c>
      <c r="BJ50" s="262" t="str">
        <f t="shared" si="58"/>
        <v/>
      </c>
      <c r="BK50" s="217" t="str">
        <f t="shared" si="59"/>
        <v/>
      </c>
      <c r="BL50" s="229" t="str">
        <f t="shared" si="60"/>
        <v/>
      </c>
    </row>
    <row r="51" spans="1:64" x14ac:dyDescent="0.25">
      <c r="A51" s="260" t="str">
        <f t="shared" si="37"/>
        <v>#39:</v>
      </c>
      <c r="B51" s="145">
        <v>9</v>
      </c>
      <c r="C51" s="145">
        <v>24</v>
      </c>
      <c r="D51" s="260" t="str">
        <f t="shared" si="38"/>
        <v/>
      </c>
      <c r="E51" s="145"/>
      <c r="F51" s="145"/>
      <c r="G51" s="260" t="str">
        <f t="shared" si="39"/>
        <v/>
      </c>
      <c r="H51" s="145"/>
      <c r="I51" s="145"/>
      <c r="J51" s="261" t="str">
        <f t="shared" si="40"/>
        <v/>
      </c>
      <c r="K51" s="145"/>
      <c r="L51" s="145"/>
      <c r="M51" s="260" t="str">
        <f t="shared" si="41"/>
        <v/>
      </c>
      <c r="N51" s="145"/>
      <c r="O51" s="145"/>
      <c r="P51" s="260" t="str">
        <f t="shared" si="42"/>
        <v/>
      </c>
      <c r="Q51" s="145"/>
      <c r="R51" s="145"/>
      <c r="S51" s="259"/>
      <c r="T51" s="2"/>
      <c r="U51" s="256">
        <v>47</v>
      </c>
      <c r="V51" s="16" t="str">
        <f t="shared" si="33"/>
        <v/>
      </c>
      <c r="W51" s="16" t="str">
        <f t="shared" si="34"/>
        <v/>
      </c>
      <c r="X51" s="16" t="str">
        <f t="shared" si="2"/>
        <v/>
      </c>
      <c r="Y51" s="16" t="str">
        <f t="shared" si="3"/>
        <v/>
      </c>
      <c r="Z51" s="16" t="str">
        <f t="shared" si="4"/>
        <v/>
      </c>
      <c r="AA51" s="17" t="str">
        <f t="shared" si="35"/>
        <v/>
      </c>
      <c r="AB51" s="17" t="str">
        <f t="shared" si="36"/>
        <v/>
      </c>
      <c r="AC51" s="18" t="str">
        <f t="shared" si="7"/>
        <v/>
      </c>
      <c r="AD51" s="18" t="str">
        <f t="shared" si="8"/>
        <v/>
      </c>
      <c r="AG51" s="2"/>
      <c r="AH51" s="2"/>
      <c r="AI51" s="2"/>
      <c r="AJ51" s="2"/>
      <c r="AK51" s="2"/>
      <c r="AL51" s="2"/>
      <c r="AM51" s="2"/>
      <c r="AN51" s="2"/>
      <c r="AO51" s="2"/>
      <c r="AP51" s="2"/>
      <c r="AQ51" s="2"/>
      <c r="AT51" s="2"/>
      <c r="AU51" s="262" t="str">
        <f t="shared" si="43"/>
        <v>#39:</v>
      </c>
      <c r="AV51" s="217">
        <f t="shared" si="44"/>
        <v>2.7432000000000003</v>
      </c>
      <c r="AW51" s="229">
        <f t="shared" si="45"/>
        <v>7.3152000000000008</v>
      </c>
      <c r="AX51" s="262" t="str">
        <f t="shared" si="46"/>
        <v/>
      </c>
      <c r="AY51" s="217" t="str">
        <f t="shared" si="47"/>
        <v/>
      </c>
      <c r="AZ51" s="229" t="str">
        <f t="shared" si="48"/>
        <v/>
      </c>
      <c r="BA51" s="262" t="str">
        <f t="shared" si="49"/>
        <v/>
      </c>
      <c r="BB51" s="217" t="str">
        <f t="shared" si="50"/>
        <v/>
      </c>
      <c r="BC51" s="229" t="str">
        <f t="shared" si="51"/>
        <v/>
      </c>
      <c r="BD51" s="262" t="str">
        <f t="shared" si="52"/>
        <v/>
      </c>
      <c r="BE51" s="217" t="str">
        <f t="shared" si="53"/>
        <v/>
      </c>
      <c r="BF51" s="229" t="str">
        <f t="shared" si="54"/>
        <v/>
      </c>
      <c r="BG51" s="262" t="str">
        <f t="shared" si="55"/>
        <v/>
      </c>
      <c r="BH51" s="217" t="str">
        <f t="shared" si="56"/>
        <v/>
      </c>
      <c r="BI51" s="229" t="str">
        <f t="shared" si="57"/>
        <v/>
      </c>
      <c r="BJ51" s="262" t="str">
        <f t="shared" si="58"/>
        <v/>
      </c>
      <c r="BK51" s="217" t="str">
        <f t="shared" si="59"/>
        <v/>
      </c>
      <c r="BL51" s="229" t="str">
        <f t="shared" si="60"/>
        <v/>
      </c>
    </row>
    <row r="52" spans="1:64" x14ac:dyDescent="0.25">
      <c r="A52" s="260" t="str">
        <f t="shared" si="37"/>
        <v>#40:</v>
      </c>
      <c r="B52" s="145">
        <v>9</v>
      </c>
      <c r="C52" s="145">
        <v>27</v>
      </c>
      <c r="D52" s="260" t="str">
        <f t="shared" si="38"/>
        <v/>
      </c>
      <c r="E52" s="145"/>
      <c r="F52" s="145"/>
      <c r="G52" s="260" t="str">
        <f t="shared" si="39"/>
        <v/>
      </c>
      <c r="H52" s="145"/>
      <c r="I52" s="145"/>
      <c r="J52" s="261" t="str">
        <f t="shared" si="40"/>
        <v/>
      </c>
      <c r="K52" s="145"/>
      <c r="L52" s="145"/>
      <c r="M52" s="260" t="str">
        <f t="shared" si="41"/>
        <v/>
      </c>
      <c r="N52" s="145"/>
      <c r="O52" s="145"/>
      <c r="P52" s="260" t="str">
        <f t="shared" si="42"/>
        <v/>
      </c>
      <c r="Q52" s="145"/>
      <c r="R52" s="145"/>
      <c r="S52" s="259"/>
      <c r="T52" s="2"/>
      <c r="U52" s="256">
        <v>48</v>
      </c>
      <c r="V52" s="16" t="str">
        <f t="shared" si="33"/>
        <v/>
      </c>
      <c r="W52" s="16" t="str">
        <f t="shared" si="34"/>
        <v/>
      </c>
      <c r="X52" s="16" t="str">
        <f t="shared" si="2"/>
        <v/>
      </c>
      <c r="Y52" s="16" t="str">
        <f t="shared" si="3"/>
        <v/>
      </c>
      <c r="Z52" s="16" t="str">
        <f t="shared" si="4"/>
        <v/>
      </c>
      <c r="AA52" s="17" t="str">
        <f t="shared" si="35"/>
        <v/>
      </c>
      <c r="AB52" s="17" t="str">
        <f t="shared" si="36"/>
        <v/>
      </c>
      <c r="AC52" s="18" t="str">
        <f t="shared" si="7"/>
        <v/>
      </c>
      <c r="AD52" s="18" t="str">
        <f t="shared" si="8"/>
        <v/>
      </c>
      <c r="AG52" s="2"/>
      <c r="AH52" s="2"/>
      <c r="AI52" s="2"/>
      <c r="AJ52" s="2"/>
      <c r="AK52" s="2"/>
      <c r="AL52" s="2"/>
      <c r="AM52" s="2"/>
      <c r="AN52" s="2"/>
      <c r="AO52" s="2"/>
      <c r="AP52" s="2"/>
      <c r="AQ52" s="2"/>
      <c r="AT52" s="2"/>
      <c r="AU52" s="262" t="str">
        <f t="shared" si="43"/>
        <v>#40:</v>
      </c>
      <c r="AV52" s="217">
        <f t="shared" si="44"/>
        <v>2.7432000000000003</v>
      </c>
      <c r="AW52" s="229">
        <f t="shared" si="45"/>
        <v>8.2295999999999996</v>
      </c>
      <c r="AX52" s="262" t="str">
        <f t="shared" si="46"/>
        <v/>
      </c>
      <c r="AY52" s="217" t="str">
        <f t="shared" si="47"/>
        <v/>
      </c>
      <c r="AZ52" s="229" t="str">
        <f t="shared" si="48"/>
        <v/>
      </c>
      <c r="BA52" s="262" t="str">
        <f t="shared" si="49"/>
        <v/>
      </c>
      <c r="BB52" s="217" t="str">
        <f t="shared" si="50"/>
        <v/>
      </c>
      <c r="BC52" s="229" t="str">
        <f t="shared" si="51"/>
        <v/>
      </c>
      <c r="BD52" s="262" t="str">
        <f t="shared" si="52"/>
        <v/>
      </c>
      <c r="BE52" s="217" t="str">
        <f t="shared" si="53"/>
        <v/>
      </c>
      <c r="BF52" s="229" t="str">
        <f t="shared" si="54"/>
        <v/>
      </c>
      <c r="BG52" s="262" t="str">
        <f t="shared" si="55"/>
        <v/>
      </c>
      <c r="BH52" s="217" t="str">
        <f t="shared" si="56"/>
        <v/>
      </c>
      <c r="BI52" s="229" t="str">
        <f t="shared" si="57"/>
        <v/>
      </c>
      <c r="BJ52" s="262" t="str">
        <f t="shared" si="58"/>
        <v/>
      </c>
      <c r="BK52" s="217" t="str">
        <f t="shared" si="59"/>
        <v/>
      </c>
      <c r="BL52" s="229" t="str">
        <f t="shared" si="60"/>
        <v/>
      </c>
    </row>
    <row r="53" spans="1:64" x14ac:dyDescent="0.25">
      <c r="A53" s="260" t="str">
        <f t="shared" si="37"/>
        <v/>
      </c>
      <c r="B53" s="145"/>
      <c r="C53" s="145"/>
      <c r="D53" s="260" t="str">
        <f t="shared" si="38"/>
        <v/>
      </c>
      <c r="E53" s="145"/>
      <c r="F53" s="145"/>
      <c r="G53" s="260" t="str">
        <f t="shared" si="39"/>
        <v/>
      </c>
      <c r="H53" s="145"/>
      <c r="I53" s="145"/>
      <c r="J53" s="261" t="str">
        <f t="shared" si="40"/>
        <v/>
      </c>
      <c r="K53" s="145"/>
      <c r="L53" s="145"/>
      <c r="M53" s="260" t="str">
        <f t="shared" si="41"/>
        <v/>
      </c>
      <c r="N53" s="145"/>
      <c r="O53" s="145"/>
      <c r="P53" s="260" t="str">
        <f t="shared" si="42"/>
        <v/>
      </c>
      <c r="Q53" s="145"/>
      <c r="R53" s="145"/>
      <c r="S53" s="259"/>
      <c r="T53" s="2"/>
      <c r="U53" s="256">
        <v>49</v>
      </c>
      <c r="V53" s="16" t="str">
        <f t="shared" si="33"/>
        <v/>
      </c>
      <c r="W53" s="16" t="str">
        <f t="shared" si="34"/>
        <v/>
      </c>
      <c r="X53" s="16" t="str">
        <f t="shared" si="2"/>
        <v/>
      </c>
      <c r="Y53" s="16" t="str">
        <f t="shared" si="3"/>
        <v/>
      </c>
      <c r="Z53" s="16" t="str">
        <f t="shared" si="4"/>
        <v/>
      </c>
      <c r="AA53" s="17" t="str">
        <f t="shared" si="35"/>
        <v/>
      </c>
      <c r="AB53" s="17" t="str">
        <f t="shared" si="36"/>
        <v/>
      </c>
      <c r="AC53" s="18" t="str">
        <f t="shared" si="7"/>
        <v/>
      </c>
      <c r="AD53" s="18" t="str">
        <f t="shared" si="8"/>
        <v/>
      </c>
      <c r="AG53" s="2"/>
      <c r="AH53" s="2"/>
      <c r="AI53" s="2"/>
      <c r="AJ53" s="2"/>
      <c r="AK53" s="2"/>
      <c r="AL53" s="2"/>
      <c r="AM53" s="2"/>
      <c r="AN53" s="2"/>
      <c r="AO53" s="2"/>
      <c r="AP53" s="2"/>
      <c r="AQ53" s="2"/>
      <c r="AT53" s="2"/>
      <c r="AU53" s="262" t="str">
        <f t="shared" si="43"/>
        <v/>
      </c>
      <c r="AV53" s="217" t="str">
        <f t="shared" si="44"/>
        <v/>
      </c>
      <c r="AW53" s="229" t="str">
        <f t="shared" si="45"/>
        <v/>
      </c>
      <c r="AX53" s="262" t="str">
        <f t="shared" si="46"/>
        <v/>
      </c>
      <c r="AY53" s="217" t="str">
        <f t="shared" si="47"/>
        <v/>
      </c>
      <c r="AZ53" s="229" t="str">
        <f t="shared" si="48"/>
        <v/>
      </c>
      <c r="BA53" s="262" t="str">
        <f t="shared" si="49"/>
        <v/>
      </c>
      <c r="BB53" s="217" t="str">
        <f t="shared" si="50"/>
        <v/>
      </c>
      <c r="BC53" s="229" t="str">
        <f t="shared" si="51"/>
        <v/>
      </c>
      <c r="BD53" s="262" t="str">
        <f t="shared" si="52"/>
        <v/>
      </c>
      <c r="BE53" s="217" t="str">
        <f t="shared" si="53"/>
        <v/>
      </c>
      <c r="BF53" s="229" t="str">
        <f t="shared" si="54"/>
        <v/>
      </c>
      <c r="BG53" s="262" t="str">
        <f t="shared" si="55"/>
        <v/>
      </c>
      <c r="BH53" s="217" t="str">
        <f t="shared" si="56"/>
        <v/>
      </c>
      <c r="BI53" s="229" t="str">
        <f t="shared" si="57"/>
        <v/>
      </c>
      <c r="BJ53" s="262" t="str">
        <f t="shared" si="58"/>
        <v/>
      </c>
      <c r="BK53" s="217" t="str">
        <f t="shared" si="59"/>
        <v/>
      </c>
      <c r="BL53" s="229" t="str">
        <f t="shared" si="60"/>
        <v/>
      </c>
    </row>
    <row r="54" spans="1:64" x14ac:dyDescent="0.25">
      <c r="A54" s="260" t="str">
        <f t="shared" si="37"/>
        <v/>
      </c>
      <c r="B54" s="145"/>
      <c r="C54" s="145"/>
      <c r="D54" s="260" t="str">
        <f t="shared" si="38"/>
        <v/>
      </c>
      <c r="E54" s="145"/>
      <c r="F54" s="145"/>
      <c r="G54" s="260" t="str">
        <f t="shared" si="39"/>
        <v/>
      </c>
      <c r="H54" s="145"/>
      <c r="I54" s="145"/>
      <c r="J54" s="261" t="str">
        <f t="shared" si="40"/>
        <v/>
      </c>
      <c r="K54" s="145"/>
      <c r="L54" s="145"/>
      <c r="M54" s="260" t="str">
        <f t="shared" si="41"/>
        <v/>
      </c>
      <c r="N54" s="145"/>
      <c r="O54" s="145"/>
      <c r="P54" s="260" t="str">
        <f t="shared" si="42"/>
        <v/>
      </c>
      <c r="Q54" s="145"/>
      <c r="R54" s="145"/>
      <c r="S54" s="259"/>
      <c r="T54" s="2"/>
      <c r="U54" s="256">
        <v>50</v>
      </c>
      <c r="V54" s="16" t="str">
        <f t="shared" si="33"/>
        <v/>
      </c>
      <c r="W54" s="16" t="str">
        <f t="shared" si="34"/>
        <v/>
      </c>
      <c r="X54" s="16" t="str">
        <f t="shared" si="2"/>
        <v/>
      </c>
      <c r="Y54" s="16" t="str">
        <f t="shared" si="3"/>
        <v/>
      </c>
      <c r="Z54" s="16" t="str">
        <f t="shared" si="4"/>
        <v/>
      </c>
      <c r="AA54" s="17" t="str">
        <f t="shared" si="35"/>
        <v/>
      </c>
      <c r="AB54" s="17" t="str">
        <f t="shared" si="36"/>
        <v/>
      </c>
      <c r="AC54" s="18" t="str">
        <f t="shared" si="7"/>
        <v/>
      </c>
      <c r="AD54" s="18" t="str">
        <f t="shared" si="8"/>
        <v/>
      </c>
      <c r="AG54" s="2"/>
      <c r="AH54" s="2"/>
      <c r="AI54" s="2"/>
      <c r="AJ54" s="2"/>
      <c r="AK54" s="2"/>
      <c r="AL54" s="2"/>
      <c r="AM54" s="2"/>
      <c r="AN54" s="2"/>
      <c r="AO54" s="2"/>
      <c r="AP54" s="2"/>
      <c r="AQ54" s="2"/>
      <c r="AT54" s="2"/>
      <c r="AU54" s="262" t="str">
        <f t="shared" si="43"/>
        <v/>
      </c>
      <c r="AV54" s="217" t="str">
        <f t="shared" si="44"/>
        <v/>
      </c>
      <c r="AW54" s="229" t="str">
        <f t="shared" si="45"/>
        <v/>
      </c>
      <c r="AX54" s="262" t="str">
        <f t="shared" si="46"/>
        <v/>
      </c>
      <c r="AY54" s="217" t="str">
        <f t="shared" si="47"/>
        <v/>
      </c>
      <c r="AZ54" s="229" t="str">
        <f t="shared" si="48"/>
        <v/>
      </c>
      <c r="BA54" s="262" t="str">
        <f t="shared" si="49"/>
        <v/>
      </c>
      <c r="BB54" s="217" t="str">
        <f t="shared" si="50"/>
        <v/>
      </c>
      <c r="BC54" s="229" t="str">
        <f t="shared" si="51"/>
        <v/>
      </c>
      <c r="BD54" s="262" t="str">
        <f t="shared" si="52"/>
        <v/>
      </c>
      <c r="BE54" s="217" t="str">
        <f t="shared" si="53"/>
        <v/>
      </c>
      <c r="BF54" s="229" t="str">
        <f t="shared" si="54"/>
        <v/>
      </c>
      <c r="BG54" s="262" t="str">
        <f t="shared" si="55"/>
        <v/>
      </c>
      <c r="BH54" s="217" t="str">
        <f t="shared" si="56"/>
        <v/>
      </c>
      <c r="BI54" s="229" t="str">
        <f t="shared" si="57"/>
        <v/>
      </c>
      <c r="BJ54" s="262" t="str">
        <f t="shared" si="58"/>
        <v/>
      </c>
      <c r="BK54" s="217" t="str">
        <f t="shared" si="59"/>
        <v/>
      </c>
      <c r="BL54" s="229" t="str">
        <f t="shared" si="60"/>
        <v/>
      </c>
    </row>
    <row r="55" spans="1:64" x14ac:dyDescent="0.25">
      <c r="A55" s="260" t="str">
        <f t="shared" si="37"/>
        <v/>
      </c>
      <c r="B55" s="145"/>
      <c r="C55" s="145"/>
      <c r="D55" s="260" t="str">
        <f t="shared" si="38"/>
        <v/>
      </c>
      <c r="E55" s="145"/>
      <c r="F55" s="145"/>
      <c r="G55" s="260" t="str">
        <f t="shared" si="39"/>
        <v/>
      </c>
      <c r="H55" s="145"/>
      <c r="I55" s="145"/>
      <c r="J55" s="261" t="str">
        <f t="shared" si="40"/>
        <v/>
      </c>
      <c r="K55" s="145"/>
      <c r="L55" s="145"/>
      <c r="M55" s="260" t="str">
        <f t="shared" si="41"/>
        <v/>
      </c>
      <c r="N55" s="145"/>
      <c r="O55" s="145"/>
      <c r="P55" s="260" t="str">
        <f t="shared" si="42"/>
        <v/>
      </c>
      <c r="Q55" s="145"/>
      <c r="R55" s="145"/>
      <c r="S55" s="259"/>
      <c r="T55" s="2"/>
      <c r="U55" s="256">
        <v>51</v>
      </c>
      <c r="V55" s="16" t="str">
        <f t="shared" ref="V55:V86" si="61">IF($C$9&gt;=$U55,$F13+0.000001-$V$310,"")</f>
        <v/>
      </c>
      <c r="W55" s="16" t="str">
        <f t="shared" ref="W55:W86" si="62">IF($C$9&gt;=$U55,$E13+0.000001-$V$309,"")</f>
        <v/>
      </c>
      <c r="X55" s="16" t="str">
        <f t="shared" si="2"/>
        <v/>
      </c>
      <c r="Y55" s="16" t="str">
        <f t="shared" si="3"/>
        <v/>
      </c>
      <c r="Z55" s="16" t="str">
        <f t="shared" si="4"/>
        <v/>
      </c>
      <c r="AA55" s="17" t="str">
        <f t="shared" ref="AA55:AA86" si="63">IF($C$9&gt;=$U55,$E13-$V$309,"")</f>
        <v/>
      </c>
      <c r="AB55" s="17" t="str">
        <f t="shared" ref="AB55:AB86" si="64">IF($C$9&gt;=$U55,$F13-$V$310,"")</f>
        <v/>
      </c>
      <c r="AC55" s="18" t="str">
        <f t="shared" si="7"/>
        <v/>
      </c>
      <c r="AD55" s="18" t="str">
        <f t="shared" si="8"/>
        <v/>
      </c>
      <c r="AG55" s="2"/>
      <c r="AH55" s="2"/>
      <c r="AI55" s="2"/>
      <c r="AJ55" s="2"/>
      <c r="AK55" s="2"/>
      <c r="AL55" s="2"/>
      <c r="AM55" s="2"/>
      <c r="AN55" s="2"/>
      <c r="AO55" s="2"/>
      <c r="AP55" s="2"/>
      <c r="AQ55" s="2"/>
      <c r="AT55" s="2"/>
      <c r="AU55" s="262" t="str">
        <f t="shared" si="43"/>
        <v/>
      </c>
      <c r="AV55" s="217" t="str">
        <f t="shared" si="44"/>
        <v/>
      </c>
      <c r="AW55" s="229" t="str">
        <f t="shared" si="45"/>
        <v/>
      </c>
      <c r="AX55" s="262" t="str">
        <f t="shared" si="46"/>
        <v/>
      </c>
      <c r="AY55" s="217" t="str">
        <f t="shared" si="47"/>
        <v/>
      </c>
      <c r="AZ55" s="229" t="str">
        <f t="shared" si="48"/>
        <v/>
      </c>
      <c r="BA55" s="262" t="str">
        <f t="shared" si="49"/>
        <v/>
      </c>
      <c r="BB55" s="217" t="str">
        <f t="shared" si="50"/>
        <v/>
      </c>
      <c r="BC55" s="229" t="str">
        <f t="shared" si="51"/>
        <v/>
      </c>
      <c r="BD55" s="262" t="str">
        <f t="shared" si="52"/>
        <v/>
      </c>
      <c r="BE55" s="217" t="str">
        <f t="shared" si="53"/>
        <v/>
      </c>
      <c r="BF55" s="229" t="str">
        <f t="shared" si="54"/>
        <v/>
      </c>
      <c r="BG55" s="262" t="str">
        <f t="shared" si="55"/>
        <v/>
      </c>
      <c r="BH55" s="217" t="str">
        <f t="shared" si="56"/>
        <v/>
      </c>
      <c r="BI55" s="229" t="str">
        <f t="shared" si="57"/>
        <v/>
      </c>
      <c r="BJ55" s="262" t="str">
        <f t="shared" si="58"/>
        <v/>
      </c>
      <c r="BK55" s="217" t="str">
        <f t="shared" si="59"/>
        <v/>
      </c>
      <c r="BL55" s="229" t="str">
        <f t="shared" si="60"/>
        <v/>
      </c>
    </row>
    <row r="56" spans="1:64" x14ac:dyDescent="0.25">
      <c r="A56" s="260" t="str">
        <f t="shared" si="37"/>
        <v/>
      </c>
      <c r="B56" s="145"/>
      <c r="C56" s="145"/>
      <c r="D56" s="260" t="str">
        <f t="shared" si="38"/>
        <v/>
      </c>
      <c r="E56" s="145"/>
      <c r="F56" s="145"/>
      <c r="G56" s="260" t="str">
        <f t="shared" si="39"/>
        <v/>
      </c>
      <c r="H56" s="145"/>
      <c r="I56" s="145"/>
      <c r="J56" s="261" t="str">
        <f t="shared" si="40"/>
        <v/>
      </c>
      <c r="K56" s="145"/>
      <c r="L56" s="145"/>
      <c r="M56" s="260" t="str">
        <f t="shared" si="41"/>
        <v/>
      </c>
      <c r="N56" s="145"/>
      <c r="O56" s="145"/>
      <c r="P56" s="260" t="str">
        <f t="shared" si="42"/>
        <v/>
      </c>
      <c r="Q56" s="145"/>
      <c r="R56" s="145"/>
      <c r="S56" s="259"/>
      <c r="T56" s="2"/>
      <c r="U56" s="256">
        <v>52</v>
      </c>
      <c r="V56" s="16" t="str">
        <f t="shared" si="61"/>
        <v/>
      </c>
      <c r="W56" s="16" t="str">
        <f t="shared" si="62"/>
        <v/>
      </c>
      <c r="X56" s="16" t="str">
        <f t="shared" si="2"/>
        <v/>
      </c>
      <c r="Y56" s="16" t="str">
        <f t="shared" si="3"/>
        <v/>
      </c>
      <c r="Z56" s="16" t="str">
        <f t="shared" si="4"/>
        <v/>
      </c>
      <c r="AA56" s="17" t="str">
        <f t="shared" si="63"/>
        <v/>
      </c>
      <c r="AB56" s="17" t="str">
        <f t="shared" si="64"/>
        <v/>
      </c>
      <c r="AC56" s="18" t="str">
        <f t="shared" si="7"/>
        <v/>
      </c>
      <c r="AD56" s="18" t="str">
        <f t="shared" si="8"/>
        <v/>
      </c>
      <c r="AG56" s="2"/>
      <c r="AH56" s="2"/>
      <c r="AI56" s="2"/>
      <c r="AJ56" s="2"/>
      <c r="AK56" s="2"/>
      <c r="AL56" s="2"/>
      <c r="AM56" s="2"/>
      <c r="AN56" s="2"/>
      <c r="AO56" s="2"/>
      <c r="AP56" s="2"/>
      <c r="AQ56" s="2"/>
      <c r="AT56" s="2"/>
      <c r="AU56" s="262" t="str">
        <f t="shared" si="43"/>
        <v/>
      </c>
      <c r="AV56" s="217" t="str">
        <f t="shared" si="44"/>
        <v/>
      </c>
      <c r="AW56" s="229" t="str">
        <f t="shared" si="45"/>
        <v/>
      </c>
      <c r="AX56" s="262" t="str">
        <f t="shared" si="46"/>
        <v/>
      </c>
      <c r="AY56" s="217" t="str">
        <f t="shared" si="47"/>
        <v/>
      </c>
      <c r="AZ56" s="229" t="str">
        <f t="shared" si="48"/>
        <v/>
      </c>
      <c r="BA56" s="262" t="str">
        <f t="shared" si="49"/>
        <v/>
      </c>
      <c r="BB56" s="217" t="str">
        <f t="shared" si="50"/>
        <v/>
      </c>
      <c r="BC56" s="229" t="str">
        <f t="shared" si="51"/>
        <v/>
      </c>
      <c r="BD56" s="262" t="str">
        <f t="shared" si="52"/>
        <v/>
      </c>
      <c r="BE56" s="217" t="str">
        <f t="shared" si="53"/>
        <v/>
      </c>
      <c r="BF56" s="229" t="str">
        <f t="shared" si="54"/>
        <v/>
      </c>
      <c r="BG56" s="262" t="str">
        <f t="shared" si="55"/>
        <v/>
      </c>
      <c r="BH56" s="217" t="str">
        <f t="shared" si="56"/>
        <v/>
      </c>
      <c r="BI56" s="229" t="str">
        <f t="shared" si="57"/>
        <v/>
      </c>
      <c r="BJ56" s="262" t="str">
        <f t="shared" si="58"/>
        <v/>
      </c>
      <c r="BK56" s="217" t="str">
        <f t="shared" si="59"/>
        <v/>
      </c>
      <c r="BL56" s="229" t="str">
        <f t="shared" si="60"/>
        <v/>
      </c>
    </row>
    <row r="57" spans="1:64" x14ac:dyDescent="0.25">
      <c r="A57" s="260" t="str">
        <f t="shared" si="37"/>
        <v/>
      </c>
      <c r="B57" s="145"/>
      <c r="C57" s="145"/>
      <c r="D57" s="260" t="str">
        <f t="shared" si="38"/>
        <v/>
      </c>
      <c r="E57" s="145"/>
      <c r="F57" s="145"/>
      <c r="G57" s="260" t="str">
        <f t="shared" si="39"/>
        <v/>
      </c>
      <c r="H57" s="145"/>
      <c r="I57" s="145"/>
      <c r="J57" s="261" t="str">
        <f t="shared" si="40"/>
        <v/>
      </c>
      <c r="K57" s="145"/>
      <c r="L57" s="145"/>
      <c r="M57" s="260" t="str">
        <f t="shared" si="41"/>
        <v/>
      </c>
      <c r="N57" s="145"/>
      <c r="O57" s="145"/>
      <c r="P57" s="260" t="str">
        <f t="shared" si="42"/>
        <v/>
      </c>
      <c r="Q57" s="145"/>
      <c r="R57" s="145"/>
      <c r="S57" s="259"/>
      <c r="T57" s="2"/>
      <c r="U57" s="256">
        <v>53</v>
      </c>
      <c r="V57" s="16" t="str">
        <f t="shared" si="61"/>
        <v/>
      </c>
      <c r="W57" s="16" t="str">
        <f t="shared" si="62"/>
        <v/>
      </c>
      <c r="X57" s="16" t="str">
        <f t="shared" si="2"/>
        <v/>
      </c>
      <c r="Y57" s="16" t="str">
        <f t="shared" si="3"/>
        <v/>
      </c>
      <c r="Z57" s="16" t="str">
        <f t="shared" si="4"/>
        <v/>
      </c>
      <c r="AA57" s="17" t="str">
        <f t="shared" si="63"/>
        <v/>
      </c>
      <c r="AB57" s="17" t="str">
        <f t="shared" si="64"/>
        <v/>
      </c>
      <c r="AC57" s="18" t="str">
        <f t="shared" si="7"/>
        <v/>
      </c>
      <c r="AD57" s="18" t="str">
        <f t="shared" si="8"/>
        <v/>
      </c>
      <c r="AG57" s="2"/>
      <c r="AH57" s="2"/>
      <c r="AI57" s="2"/>
      <c r="AJ57" s="2"/>
      <c r="AK57" s="2"/>
      <c r="AL57" s="2"/>
      <c r="AM57" s="2"/>
      <c r="AN57" s="2"/>
      <c r="AO57" s="2"/>
      <c r="AP57" s="2"/>
      <c r="AQ57" s="2"/>
      <c r="AT57" s="2"/>
      <c r="AU57" s="262" t="str">
        <f t="shared" si="43"/>
        <v/>
      </c>
      <c r="AV57" s="217" t="str">
        <f t="shared" si="44"/>
        <v/>
      </c>
      <c r="AW57" s="229" t="str">
        <f t="shared" si="45"/>
        <v/>
      </c>
      <c r="AX57" s="262" t="str">
        <f t="shared" si="46"/>
        <v/>
      </c>
      <c r="AY57" s="217" t="str">
        <f t="shared" si="47"/>
        <v/>
      </c>
      <c r="AZ57" s="229" t="str">
        <f t="shared" si="48"/>
        <v/>
      </c>
      <c r="BA57" s="262" t="str">
        <f t="shared" si="49"/>
        <v/>
      </c>
      <c r="BB57" s="217" t="str">
        <f t="shared" si="50"/>
        <v/>
      </c>
      <c r="BC57" s="229" t="str">
        <f t="shared" si="51"/>
        <v/>
      </c>
      <c r="BD57" s="262" t="str">
        <f t="shared" si="52"/>
        <v/>
      </c>
      <c r="BE57" s="217" t="str">
        <f t="shared" si="53"/>
        <v/>
      </c>
      <c r="BF57" s="229" t="str">
        <f t="shared" si="54"/>
        <v/>
      </c>
      <c r="BG57" s="262" t="str">
        <f t="shared" si="55"/>
        <v/>
      </c>
      <c r="BH57" s="217" t="str">
        <f t="shared" si="56"/>
        <v/>
      </c>
      <c r="BI57" s="229" t="str">
        <f t="shared" si="57"/>
        <v/>
      </c>
      <c r="BJ57" s="262" t="str">
        <f t="shared" si="58"/>
        <v/>
      </c>
      <c r="BK57" s="217" t="str">
        <f t="shared" si="59"/>
        <v/>
      </c>
      <c r="BL57" s="229" t="str">
        <f t="shared" si="60"/>
        <v/>
      </c>
    </row>
    <row r="58" spans="1:64" x14ac:dyDescent="0.25">
      <c r="A58" s="260" t="str">
        <f t="shared" si="37"/>
        <v/>
      </c>
      <c r="B58" s="145"/>
      <c r="C58" s="145"/>
      <c r="D58" s="260" t="str">
        <f t="shared" si="38"/>
        <v/>
      </c>
      <c r="E58" s="145"/>
      <c r="F58" s="145"/>
      <c r="G58" s="260" t="str">
        <f t="shared" si="39"/>
        <v/>
      </c>
      <c r="H58" s="145"/>
      <c r="I58" s="145"/>
      <c r="J58" s="261" t="str">
        <f t="shared" si="40"/>
        <v/>
      </c>
      <c r="K58" s="145"/>
      <c r="L58" s="145"/>
      <c r="M58" s="260" t="str">
        <f t="shared" si="41"/>
        <v/>
      </c>
      <c r="N58" s="145"/>
      <c r="O58" s="145"/>
      <c r="P58" s="260" t="str">
        <f t="shared" si="42"/>
        <v/>
      </c>
      <c r="Q58" s="145"/>
      <c r="R58" s="145"/>
      <c r="S58" s="259"/>
      <c r="T58" s="2"/>
      <c r="U58" s="256">
        <v>54</v>
      </c>
      <c r="V58" s="16" t="str">
        <f t="shared" si="61"/>
        <v/>
      </c>
      <c r="W58" s="16" t="str">
        <f t="shared" si="62"/>
        <v/>
      </c>
      <c r="X58" s="16" t="str">
        <f t="shared" si="2"/>
        <v/>
      </c>
      <c r="Y58" s="16" t="str">
        <f t="shared" si="3"/>
        <v/>
      </c>
      <c r="Z58" s="16" t="str">
        <f t="shared" si="4"/>
        <v/>
      </c>
      <c r="AA58" s="17" t="str">
        <f t="shared" si="63"/>
        <v/>
      </c>
      <c r="AB58" s="17" t="str">
        <f t="shared" si="64"/>
        <v/>
      </c>
      <c r="AC58" s="18" t="str">
        <f t="shared" si="7"/>
        <v/>
      </c>
      <c r="AD58" s="18" t="str">
        <f t="shared" si="8"/>
        <v/>
      </c>
      <c r="AG58" s="2"/>
      <c r="AH58" s="2"/>
      <c r="AI58" s="2"/>
      <c r="AJ58" s="2"/>
      <c r="AK58" s="2"/>
      <c r="AL58" s="2"/>
      <c r="AM58" s="2"/>
      <c r="AN58" s="2"/>
      <c r="AO58" s="2"/>
      <c r="AP58" s="2"/>
      <c r="AQ58" s="2"/>
      <c r="AT58" s="2"/>
      <c r="AU58" s="262" t="str">
        <f t="shared" si="43"/>
        <v/>
      </c>
      <c r="AV58" s="217" t="str">
        <f t="shared" si="44"/>
        <v/>
      </c>
      <c r="AW58" s="229" t="str">
        <f t="shared" si="45"/>
        <v/>
      </c>
      <c r="AX58" s="262" t="str">
        <f t="shared" si="46"/>
        <v/>
      </c>
      <c r="AY58" s="217" t="str">
        <f t="shared" si="47"/>
        <v/>
      </c>
      <c r="AZ58" s="229" t="str">
        <f t="shared" si="48"/>
        <v/>
      </c>
      <c r="BA58" s="262" t="str">
        <f t="shared" si="49"/>
        <v/>
      </c>
      <c r="BB58" s="217" t="str">
        <f t="shared" si="50"/>
        <v/>
      </c>
      <c r="BC58" s="229" t="str">
        <f t="shared" si="51"/>
        <v/>
      </c>
      <c r="BD58" s="262" t="str">
        <f t="shared" si="52"/>
        <v/>
      </c>
      <c r="BE58" s="217" t="str">
        <f t="shared" si="53"/>
        <v/>
      </c>
      <c r="BF58" s="229" t="str">
        <f t="shared" si="54"/>
        <v/>
      </c>
      <c r="BG58" s="262" t="str">
        <f t="shared" si="55"/>
        <v/>
      </c>
      <c r="BH58" s="217" t="str">
        <f t="shared" si="56"/>
        <v/>
      </c>
      <c r="BI58" s="229" t="str">
        <f t="shared" si="57"/>
        <v/>
      </c>
      <c r="BJ58" s="262" t="str">
        <f t="shared" si="58"/>
        <v/>
      </c>
      <c r="BK58" s="217" t="str">
        <f t="shared" si="59"/>
        <v/>
      </c>
      <c r="BL58" s="229" t="str">
        <f t="shared" si="60"/>
        <v/>
      </c>
    </row>
    <row r="59" spans="1:64" x14ac:dyDescent="0.25">
      <c r="A59" s="260" t="str">
        <f t="shared" si="37"/>
        <v/>
      </c>
      <c r="B59" s="145"/>
      <c r="C59" s="145"/>
      <c r="D59" s="260" t="str">
        <f t="shared" si="38"/>
        <v/>
      </c>
      <c r="E59" s="145"/>
      <c r="F59" s="145"/>
      <c r="G59" s="260" t="str">
        <f t="shared" si="39"/>
        <v/>
      </c>
      <c r="H59" s="145"/>
      <c r="I59" s="145"/>
      <c r="J59" s="261" t="str">
        <f t="shared" si="40"/>
        <v/>
      </c>
      <c r="K59" s="145"/>
      <c r="L59" s="145"/>
      <c r="M59" s="260" t="str">
        <f t="shared" si="41"/>
        <v/>
      </c>
      <c r="N59" s="145"/>
      <c r="O59" s="145"/>
      <c r="P59" s="260" t="str">
        <f t="shared" si="42"/>
        <v/>
      </c>
      <c r="Q59" s="145"/>
      <c r="R59" s="145"/>
      <c r="S59" s="259"/>
      <c r="T59" s="2"/>
      <c r="U59" s="256">
        <v>55</v>
      </c>
      <c r="V59" s="16" t="str">
        <f t="shared" si="61"/>
        <v/>
      </c>
      <c r="W59" s="16" t="str">
        <f t="shared" si="62"/>
        <v/>
      </c>
      <c r="X59" s="16" t="str">
        <f t="shared" si="2"/>
        <v/>
      </c>
      <c r="Y59" s="16" t="str">
        <f t="shared" si="3"/>
        <v/>
      </c>
      <c r="Z59" s="16" t="str">
        <f t="shared" si="4"/>
        <v/>
      </c>
      <c r="AA59" s="17" t="str">
        <f t="shared" si="63"/>
        <v/>
      </c>
      <c r="AB59" s="17" t="str">
        <f t="shared" si="64"/>
        <v/>
      </c>
      <c r="AC59" s="18" t="str">
        <f t="shared" si="7"/>
        <v/>
      </c>
      <c r="AD59" s="18" t="str">
        <f t="shared" si="8"/>
        <v/>
      </c>
      <c r="AG59" s="2"/>
      <c r="AH59" s="2"/>
      <c r="AI59" s="2"/>
      <c r="AJ59" s="2"/>
      <c r="AK59" s="2"/>
      <c r="AL59" s="2"/>
      <c r="AM59" s="2"/>
      <c r="AN59" s="2"/>
      <c r="AO59" s="2"/>
      <c r="AP59" s="2"/>
      <c r="AQ59" s="2"/>
      <c r="AT59" s="2"/>
      <c r="AU59" s="262" t="str">
        <f t="shared" si="43"/>
        <v/>
      </c>
      <c r="AV59" s="217" t="str">
        <f t="shared" si="44"/>
        <v/>
      </c>
      <c r="AW59" s="229" t="str">
        <f t="shared" si="45"/>
        <v/>
      </c>
      <c r="AX59" s="262" t="str">
        <f t="shared" si="46"/>
        <v/>
      </c>
      <c r="AY59" s="217" t="str">
        <f t="shared" si="47"/>
        <v/>
      </c>
      <c r="AZ59" s="229" t="str">
        <f t="shared" si="48"/>
        <v/>
      </c>
      <c r="BA59" s="262" t="str">
        <f t="shared" si="49"/>
        <v/>
      </c>
      <c r="BB59" s="217" t="str">
        <f t="shared" si="50"/>
        <v/>
      </c>
      <c r="BC59" s="229" t="str">
        <f t="shared" si="51"/>
        <v/>
      </c>
      <c r="BD59" s="262" t="str">
        <f t="shared" si="52"/>
        <v/>
      </c>
      <c r="BE59" s="217" t="str">
        <f t="shared" si="53"/>
        <v/>
      </c>
      <c r="BF59" s="229" t="str">
        <f t="shared" si="54"/>
        <v/>
      </c>
      <c r="BG59" s="262" t="str">
        <f t="shared" si="55"/>
        <v/>
      </c>
      <c r="BH59" s="217" t="str">
        <f t="shared" si="56"/>
        <v/>
      </c>
      <c r="BI59" s="229" t="str">
        <f t="shared" si="57"/>
        <v/>
      </c>
      <c r="BJ59" s="262" t="str">
        <f t="shared" si="58"/>
        <v/>
      </c>
      <c r="BK59" s="217" t="str">
        <f t="shared" si="59"/>
        <v/>
      </c>
      <c r="BL59" s="229" t="str">
        <f t="shared" si="60"/>
        <v/>
      </c>
    </row>
    <row r="60" spans="1:64" x14ac:dyDescent="0.25">
      <c r="A60" s="260" t="str">
        <f t="shared" si="37"/>
        <v/>
      </c>
      <c r="B60" s="145"/>
      <c r="C60" s="145"/>
      <c r="D60" s="260" t="str">
        <f t="shared" si="38"/>
        <v/>
      </c>
      <c r="E60" s="145"/>
      <c r="F60" s="145"/>
      <c r="G60" s="260" t="str">
        <f t="shared" si="39"/>
        <v/>
      </c>
      <c r="H60" s="145"/>
      <c r="I60" s="145"/>
      <c r="J60" s="261" t="str">
        <f t="shared" si="40"/>
        <v/>
      </c>
      <c r="K60" s="145"/>
      <c r="L60" s="145"/>
      <c r="M60" s="260" t="str">
        <f t="shared" si="41"/>
        <v/>
      </c>
      <c r="N60" s="145"/>
      <c r="O60" s="145"/>
      <c r="P60" s="260" t="str">
        <f t="shared" si="42"/>
        <v/>
      </c>
      <c r="Q60" s="145"/>
      <c r="R60" s="145"/>
      <c r="S60" s="259"/>
      <c r="T60" s="2"/>
      <c r="U60" s="256">
        <v>56</v>
      </c>
      <c r="V60" s="16" t="str">
        <f t="shared" si="61"/>
        <v/>
      </c>
      <c r="W60" s="16" t="str">
        <f t="shared" si="62"/>
        <v/>
      </c>
      <c r="X60" s="16" t="str">
        <f t="shared" si="2"/>
        <v/>
      </c>
      <c r="Y60" s="16" t="str">
        <f t="shared" si="3"/>
        <v/>
      </c>
      <c r="Z60" s="16" t="str">
        <f t="shared" si="4"/>
        <v/>
      </c>
      <c r="AA60" s="17" t="str">
        <f t="shared" si="63"/>
        <v/>
      </c>
      <c r="AB60" s="17" t="str">
        <f t="shared" si="64"/>
        <v/>
      </c>
      <c r="AC60" s="18" t="str">
        <f t="shared" si="7"/>
        <v/>
      </c>
      <c r="AD60" s="18" t="str">
        <f t="shared" si="8"/>
        <v/>
      </c>
      <c r="AG60" s="2"/>
      <c r="AH60" s="2"/>
      <c r="AI60" s="2"/>
      <c r="AJ60" s="2"/>
      <c r="AK60" s="2"/>
      <c r="AL60" s="2"/>
      <c r="AM60" s="2"/>
      <c r="AN60" s="2"/>
      <c r="AO60" s="2"/>
      <c r="AP60" s="2"/>
      <c r="AQ60" s="2"/>
      <c r="AT60" s="2"/>
      <c r="AU60" s="262" t="str">
        <f t="shared" si="43"/>
        <v/>
      </c>
      <c r="AV60" s="217" t="str">
        <f t="shared" si="44"/>
        <v/>
      </c>
      <c r="AW60" s="229" t="str">
        <f t="shared" si="45"/>
        <v/>
      </c>
      <c r="AX60" s="262" t="str">
        <f t="shared" si="46"/>
        <v/>
      </c>
      <c r="AY60" s="217" t="str">
        <f t="shared" si="47"/>
        <v/>
      </c>
      <c r="AZ60" s="229" t="str">
        <f t="shared" si="48"/>
        <v/>
      </c>
      <c r="BA60" s="262" t="str">
        <f t="shared" si="49"/>
        <v/>
      </c>
      <c r="BB60" s="217" t="str">
        <f t="shared" si="50"/>
        <v/>
      </c>
      <c r="BC60" s="229" t="str">
        <f t="shared" si="51"/>
        <v/>
      </c>
      <c r="BD60" s="262" t="str">
        <f t="shared" si="52"/>
        <v/>
      </c>
      <c r="BE60" s="217" t="str">
        <f t="shared" si="53"/>
        <v/>
      </c>
      <c r="BF60" s="229" t="str">
        <f t="shared" si="54"/>
        <v/>
      </c>
      <c r="BG60" s="262" t="str">
        <f t="shared" si="55"/>
        <v/>
      </c>
      <c r="BH60" s="217" t="str">
        <f t="shared" si="56"/>
        <v/>
      </c>
      <c r="BI60" s="229" t="str">
        <f t="shared" si="57"/>
        <v/>
      </c>
      <c r="BJ60" s="262" t="str">
        <f t="shared" si="58"/>
        <v/>
      </c>
      <c r="BK60" s="217" t="str">
        <f t="shared" si="59"/>
        <v/>
      </c>
      <c r="BL60" s="229" t="str">
        <f t="shared" si="60"/>
        <v/>
      </c>
    </row>
    <row r="61" spans="1:64" x14ac:dyDescent="0.25">
      <c r="A61" s="260" t="str">
        <f t="shared" si="37"/>
        <v/>
      </c>
      <c r="B61" s="145"/>
      <c r="C61" s="145"/>
      <c r="D61" s="260" t="str">
        <f t="shared" si="38"/>
        <v/>
      </c>
      <c r="E61" s="145"/>
      <c r="F61" s="145"/>
      <c r="G61" s="260" t="str">
        <f t="shared" si="39"/>
        <v/>
      </c>
      <c r="H61" s="145"/>
      <c r="I61" s="145"/>
      <c r="J61" s="261" t="str">
        <f t="shared" si="40"/>
        <v/>
      </c>
      <c r="K61" s="145"/>
      <c r="L61" s="145"/>
      <c r="M61" s="260" t="str">
        <f t="shared" si="41"/>
        <v/>
      </c>
      <c r="N61" s="145"/>
      <c r="O61" s="145"/>
      <c r="P61" s="260" t="str">
        <f t="shared" si="42"/>
        <v/>
      </c>
      <c r="Q61" s="145"/>
      <c r="R61" s="145"/>
      <c r="S61" s="259"/>
      <c r="T61" s="2"/>
      <c r="U61" s="256">
        <v>57</v>
      </c>
      <c r="V61" s="16" t="str">
        <f t="shared" si="61"/>
        <v/>
      </c>
      <c r="W61" s="16" t="str">
        <f t="shared" si="62"/>
        <v/>
      </c>
      <c r="X61" s="16" t="str">
        <f t="shared" si="2"/>
        <v/>
      </c>
      <c r="Y61" s="16" t="str">
        <f t="shared" si="3"/>
        <v/>
      </c>
      <c r="Z61" s="16" t="str">
        <f t="shared" si="4"/>
        <v/>
      </c>
      <c r="AA61" s="17" t="str">
        <f t="shared" si="63"/>
        <v/>
      </c>
      <c r="AB61" s="17" t="str">
        <f t="shared" si="64"/>
        <v/>
      </c>
      <c r="AC61" s="18" t="str">
        <f t="shared" si="7"/>
        <v/>
      </c>
      <c r="AD61" s="18" t="str">
        <f t="shared" si="8"/>
        <v/>
      </c>
      <c r="AG61" s="2"/>
      <c r="AH61" s="2"/>
      <c r="AI61" s="2"/>
      <c r="AJ61" s="2"/>
      <c r="AK61" s="2"/>
      <c r="AL61" s="2"/>
      <c r="AM61" s="2"/>
      <c r="AN61" s="2"/>
      <c r="AO61" s="2"/>
      <c r="AP61" s="2"/>
      <c r="AQ61" s="2"/>
      <c r="AT61" s="2"/>
      <c r="AU61" s="262" t="str">
        <f t="shared" si="43"/>
        <v/>
      </c>
      <c r="AV61" s="217" t="str">
        <f t="shared" si="44"/>
        <v/>
      </c>
      <c r="AW61" s="229" t="str">
        <f t="shared" si="45"/>
        <v/>
      </c>
      <c r="AX61" s="262" t="str">
        <f t="shared" si="46"/>
        <v/>
      </c>
      <c r="AY61" s="217" t="str">
        <f t="shared" si="47"/>
        <v/>
      </c>
      <c r="AZ61" s="229" t="str">
        <f t="shared" si="48"/>
        <v/>
      </c>
      <c r="BA61" s="262" t="str">
        <f t="shared" si="49"/>
        <v/>
      </c>
      <c r="BB61" s="217" t="str">
        <f t="shared" si="50"/>
        <v/>
      </c>
      <c r="BC61" s="229" t="str">
        <f t="shared" si="51"/>
        <v/>
      </c>
      <c r="BD61" s="262" t="str">
        <f t="shared" si="52"/>
        <v/>
      </c>
      <c r="BE61" s="217" t="str">
        <f t="shared" si="53"/>
        <v/>
      </c>
      <c r="BF61" s="229" t="str">
        <f t="shared" si="54"/>
        <v/>
      </c>
      <c r="BG61" s="262" t="str">
        <f t="shared" si="55"/>
        <v/>
      </c>
      <c r="BH61" s="217" t="str">
        <f t="shared" si="56"/>
        <v/>
      </c>
      <c r="BI61" s="229" t="str">
        <f t="shared" si="57"/>
        <v/>
      </c>
      <c r="BJ61" s="262" t="str">
        <f t="shared" si="58"/>
        <v/>
      </c>
      <c r="BK61" s="217" t="str">
        <f t="shared" si="59"/>
        <v/>
      </c>
      <c r="BL61" s="229" t="str">
        <f t="shared" si="60"/>
        <v/>
      </c>
    </row>
    <row r="62" spans="1:64" x14ac:dyDescent="0.25">
      <c r="A62" s="260" t="str">
        <f t="shared" si="37"/>
        <v/>
      </c>
      <c r="B62" s="152"/>
      <c r="C62" s="152"/>
      <c r="D62" s="260" t="str">
        <f t="shared" si="38"/>
        <v/>
      </c>
      <c r="E62" s="152"/>
      <c r="F62" s="152"/>
      <c r="G62" s="260" t="str">
        <f t="shared" si="39"/>
        <v/>
      </c>
      <c r="H62" s="152"/>
      <c r="I62" s="152"/>
      <c r="J62" s="261" t="str">
        <f t="shared" si="40"/>
        <v/>
      </c>
      <c r="K62" s="152"/>
      <c r="L62" s="152"/>
      <c r="M62" s="260" t="str">
        <f t="shared" si="41"/>
        <v/>
      </c>
      <c r="N62" s="152"/>
      <c r="O62" s="152"/>
      <c r="P62" s="260" t="str">
        <f t="shared" si="42"/>
        <v/>
      </c>
      <c r="Q62" s="152"/>
      <c r="R62" s="152"/>
      <c r="S62" s="259"/>
      <c r="T62" s="2"/>
      <c r="U62" s="256">
        <v>58</v>
      </c>
      <c r="V62" s="16" t="str">
        <f t="shared" si="61"/>
        <v/>
      </c>
      <c r="W62" s="16" t="str">
        <f t="shared" si="62"/>
        <v/>
      </c>
      <c r="X62" s="16" t="str">
        <f t="shared" si="2"/>
        <v/>
      </c>
      <c r="Y62" s="16" t="str">
        <f t="shared" si="3"/>
        <v/>
      </c>
      <c r="Z62" s="16" t="str">
        <f t="shared" si="4"/>
        <v/>
      </c>
      <c r="AA62" s="17" t="str">
        <f t="shared" si="63"/>
        <v/>
      </c>
      <c r="AB62" s="17" t="str">
        <f t="shared" si="64"/>
        <v/>
      </c>
      <c r="AC62" s="18" t="str">
        <f t="shared" si="7"/>
        <v/>
      </c>
      <c r="AD62" s="18" t="str">
        <f t="shared" si="8"/>
        <v/>
      </c>
      <c r="AG62" s="2"/>
      <c r="AH62" s="2"/>
      <c r="AI62" s="2"/>
      <c r="AJ62" s="2"/>
      <c r="AK62" s="2"/>
      <c r="AL62" s="2"/>
      <c r="AM62" s="2"/>
      <c r="AN62" s="2"/>
      <c r="AO62" s="2"/>
      <c r="AP62" s="2"/>
      <c r="AQ62" s="2"/>
      <c r="AT62" s="2"/>
      <c r="AU62" s="262" t="str">
        <f t="shared" si="43"/>
        <v/>
      </c>
      <c r="AV62" s="222" t="str">
        <f t="shared" si="44"/>
        <v/>
      </c>
      <c r="AW62" s="230" t="str">
        <f t="shared" si="45"/>
        <v/>
      </c>
      <c r="AX62" s="262" t="str">
        <f t="shared" si="46"/>
        <v/>
      </c>
      <c r="AY62" s="222" t="str">
        <f t="shared" si="47"/>
        <v/>
      </c>
      <c r="AZ62" s="230" t="str">
        <f t="shared" si="48"/>
        <v/>
      </c>
      <c r="BA62" s="262" t="str">
        <f t="shared" si="49"/>
        <v/>
      </c>
      <c r="BB62" s="222" t="str">
        <f t="shared" si="50"/>
        <v/>
      </c>
      <c r="BC62" s="230" t="str">
        <f t="shared" si="51"/>
        <v/>
      </c>
      <c r="BD62" s="262" t="str">
        <f t="shared" si="52"/>
        <v/>
      </c>
      <c r="BE62" s="222" t="str">
        <f t="shared" si="53"/>
        <v/>
      </c>
      <c r="BF62" s="230" t="str">
        <f t="shared" si="54"/>
        <v/>
      </c>
      <c r="BG62" s="262" t="str">
        <f t="shared" si="55"/>
        <v/>
      </c>
      <c r="BH62" s="222" t="str">
        <f t="shared" si="56"/>
        <v/>
      </c>
      <c r="BI62" s="230" t="str">
        <f t="shared" si="57"/>
        <v/>
      </c>
      <c r="BJ62" s="262" t="str">
        <f t="shared" si="58"/>
        <v/>
      </c>
      <c r="BK62" s="222" t="str">
        <f t="shared" si="59"/>
        <v/>
      </c>
      <c r="BL62" s="230" t="str">
        <f t="shared" si="60"/>
        <v/>
      </c>
    </row>
    <row r="63" spans="1:64" x14ac:dyDescent="0.25">
      <c r="A63" s="48"/>
      <c r="B63" s="54"/>
      <c r="C63" s="54"/>
      <c r="D63" s="54"/>
      <c r="E63" s="54"/>
      <c r="F63" s="54"/>
      <c r="G63" s="54"/>
      <c r="H63" s="54"/>
      <c r="I63" s="54"/>
      <c r="J63" s="2"/>
      <c r="K63" s="2"/>
      <c r="L63" s="2"/>
      <c r="M63" s="2"/>
      <c r="N63" s="2"/>
      <c r="O63" s="2"/>
      <c r="P63" s="2"/>
      <c r="Q63" s="2"/>
      <c r="R63" s="2"/>
      <c r="S63" s="259"/>
      <c r="T63" s="2"/>
      <c r="U63" s="264">
        <v>59</v>
      </c>
      <c r="V63" s="16" t="str">
        <f t="shared" si="61"/>
        <v/>
      </c>
      <c r="W63" s="16" t="str">
        <f t="shared" si="62"/>
        <v/>
      </c>
      <c r="X63" s="16" t="str">
        <f t="shared" si="2"/>
        <v/>
      </c>
      <c r="Y63" s="16" t="str">
        <f t="shared" si="3"/>
        <v/>
      </c>
      <c r="Z63" s="16" t="str">
        <f t="shared" si="4"/>
        <v/>
      </c>
      <c r="AA63" s="16" t="str">
        <f t="shared" si="63"/>
        <v/>
      </c>
      <c r="AB63" s="16" t="str">
        <f t="shared" si="64"/>
        <v/>
      </c>
      <c r="AC63" s="29" t="str">
        <f t="shared" si="7"/>
        <v/>
      </c>
      <c r="AD63" s="29" t="str">
        <f t="shared" si="8"/>
        <v/>
      </c>
      <c r="AE63" s="2"/>
      <c r="AF63" s="2"/>
      <c r="AG63" s="2"/>
      <c r="AH63" s="2"/>
      <c r="AI63" s="2"/>
      <c r="AJ63" s="2"/>
      <c r="AK63" s="2"/>
      <c r="AL63" s="2"/>
      <c r="AM63" s="2"/>
      <c r="AN63" s="2"/>
      <c r="AO63" s="2"/>
      <c r="AP63" s="2"/>
      <c r="AQ63" s="2"/>
      <c r="AT63" s="2"/>
    </row>
    <row r="64" spans="1:64" x14ac:dyDescent="0.25">
      <c r="A64" s="99" t="s">
        <v>49</v>
      </c>
      <c r="B64" s="27">
        <v>2</v>
      </c>
      <c r="C64" s="76"/>
      <c r="D64" s="54"/>
      <c r="E64" s="54"/>
      <c r="G64" s="54"/>
      <c r="H64" s="54"/>
      <c r="I64" s="54"/>
      <c r="J64" s="2"/>
      <c r="K64" s="2"/>
      <c r="L64" s="2"/>
      <c r="M64" s="2"/>
      <c r="N64" s="2"/>
      <c r="O64" s="2"/>
      <c r="P64" s="2"/>
      <c r="Q64" s="2"/>
      <c r="R64" s="2"/>
      <c r="S64" s="259"/>
      <c r="T64" s="2"/>
      <c r="U64" s="264">
        <v>60</v>
      </c>
      <c r="V64" s="16" t="str">
        <f t="shared" si="61"/>
        <v/>
      </c>
      <c r="W64" s="16" t="str">
        <f t="shared" si="62"/>
        <v/>
      </c>
      <c r="X64" s="16" t="str">
        <f t="shared" si="2"/>
        <v/>
      </c>
      <c r="Y64" s="16" t="str">
        <f t="shared" si="3"/>
        <v/>
      </c>
      <c r="Z64" s="16" t="str">
        <f t="shared" si="4"/>
        <v/>
      </c>
      <c r="AA64" s="16" t="str">
        <f t="shared" si="63"/>
        <v/>
      </c>
      <c r="AB64" s="16" t="str">
        <f t="shared" si="64"/>
        <v/>
      </c>
      <c r="AC64" s="29" t="str">
        <f t="shared" si="7"/>
        <v/>
      </c>
      <c r="AD64" s="29" t="str">
        <f t="shared" si="8"/>
        <v/>
      </c>
      <c r="AE64" s="2"/>
      <c r="AF64" s="2"/>
      <c r="AG64" s="2"/>
      <c r="AH64" s="2"/>
      <c r="AI64" s="2"/>
      <c r="AJ64" s="2"/>
      <c r="AK64" s="2"/>
      <c r="AL64" s="2"/>
      <c r="AM64" s="2"/>
      <c r="AN64" s="2"/>
      <c r="AO64" s="2"/>
      <c r="AP64" s="2"/>
      <c r="AQ64" s="2"/>
      <c r="AT64" s="2"/>
    </row>
    <row r="65" spans="1:63" x14ac:dyDescent="0.25">
      <c r="A65" s="48"/>
      <c r="B65" s="56" t="s">
        <v>52</v>
      </c>
      <c r="C65" s="53"/>
      <c r="D65" s="53"/>
      <c r="E65" s="53"/>
      <c r="F65" s="108"/>
      <c r="G65" s="53"/>
      <c r="H65" s="53"/>
      <c r="I65" s="53"/>
      <c r="J65" s="53"/>
      <c r="K65" s="6"/>
      <c r="L65" s="265"/>
      <c r="M65" s="53"/>
      <c r="N65" s="6"/>
      <c r="O65" s="6"/>
      <c r="P65" s="6"/>
      <c r="Q65" s="6"/>
      <c r="R65" s="6"/>
      <c r="S65" s="259"/>
      <c r="T65" s="2"/>
      <c r="U65" s="264">
        <v>61</v>
      </c>
      <c r="V65" s="16" t="str">
        <f t="shared" si="61"/>
        <v/>
      </c>
      <c r="W65" s="16" t="str">
        <f t="shared" si="62"/>
        <v/>
      </c>
      <c r="X65" s="16" t="str">
        <f t="shared" si="2"/>
        <v/>
      </c>
      <c r="Y65" s="16" t="str">
        <f t="shared" si="3"/>
        <v/>
      </c>
      <c r="Z65" s="16" t="str">
        <f t="shared" si="4"/>
        <v/>
      </c>
      <c r="AA65" s="16" t="str">
        <f t="shared" si="63"/>
        <v/>
      </c>
      <c r="AB65" s="16" t="str">
        <f t="shared" si="64"/>
        <v/>
      </c>
      <c r="AC65" s="29" t="str">
        <f t="shared" si="7"/>
        <v/>
      </c>
      <c r="AD65" s="29" t="str">
        <f t="shared" si="8"/>
        <v/>
      </c>
      <c r="AE65" s="2"/>
      <c r="AF65" s="2"/>
      <c r="AG65" s="2"/>
      <c r="AH65" s="2"/>
      <c r="AI65" s="2"/>
      <c r="AJ65" s="2"/>
      <c r="AK65" s="2"/>
      <c r="AL65" s="2"/>
      <c r="AM65" s="2"/>
      <c r="AN65" s="2"/>
      <c r="AO65" s="2"/>
      <c r="AP65" s="2"/>
      <c r="AQ65" s="2"/>
      <c r="AT65" s="2"/>
      <c r="AU65" s="266" t="s">
        <v>239</v>
      </c>
    </row>
    <row r="66" spans="1:63" x14ac:dyDescent="0.25">
      <c r="A66" s="45"/>
      <c r="B66" s="77" t="str">
        <f>IF($B$64&gt;=1,"Pier #1","")</f>
        <v>Pier #1</v>
      </c>
      <c r="C66" s="77" t="str">
        <f>IF($B$64&gt;=2,"Pier #2","")</f>
        <v>Pier #2</v>
      </c>
      <c r="D66" s="77" t="str">
        <f>IF($B$64&gt;=3,"Pier #3","")</f>
        <v/>
      </c>
      <c r="E66" s="77" t="str">
        <f>IF($B$64&gt;=4,"Pier #4","")</f>
        <v/>
      </c>
      <c r="F66" s="77" t="str">
        <f>IF($B$64&gt;=5,"Pier #5","")</f>
        <v/>
      </c>
      <c r="G66" s="77" t="str">
        <f>IF($B$64&gt;=6,"Pier #6","")</f>
        <v/>
      </c>
      <c r="H66" s="77" t="str">
        <f>IF($B$64&gt;=7,"Pier #7","")</f>
        <v/>
      </c>
      <c r="I66" s="77" t="str">
        <f>IF($B$64&gt;=8,"Pier #8","")</f>
        <v/>
      </c>
      <c r="J66" s="77" t="str">
        <f>IF($B$64&gt;=9,"Pier #9","")</f>
        <v/>
      </c>
      <c r="K66" s="77" t="str">
        <f>IF($B$64&gt;=10,"Pier #10","")</f>
        <v/>
      </c>
      <c r="L66" s="77" t="str">
        <f>IF($B$64&gt;=11,"Pier #11","")</f>
        <v/>
      </c>
      <c r="M66" s="77" t="str">
        <f>IF($B$64&gt;=12,"Pier #12","")</f>
        <v/>
      </c>
      <c r="N66" s="77" t="str">
        <f>IF($B$64&gt;=13,"Pier #13","")</f>
        <v/>
      </c>
      <c r="O66" s="77" t="str">
        <f>IF($B$64&gt;=14,"Pier #14","")</f>
        <v/>
      </c>
      <c r="P66" s="77" t="str">
        <f>IF($B$64&gt;=15,"Pier #15","")</f>
        <v/>
      </c>
      <c r="Q66" s="77" t="str">
        <f>IF($B$64&gt;=16,"Pier #16","")</f>
        <v/>
      </c>
      <c r="R66" s="77" t="str">
        <f>IF($B$64=17,"Pier #17","")</f>
        <v/>
      </c>
      <c r="S66" s="259"/>
      <c r="T66" s="2"/>
      <c r="U66" s="264">
        <v>62</v>
      </c>
      <c r="V66" s="16" t="str">
        <f t="shared" si="61"/>
        <v/>
      </c>
      <c r="W66" s="16" t="str">
        <f t="shared" si="62"/>
        <v/>
      </c>
      <c r="X66" s="16" t="str">
        <f t="shared" si="2"/>
        <v/>
      </c>
      <c r="Y66" s="16" t="str">
        <f t="shared" si="3"/>
        <v/>
      </c>
      <c r="Z66" s="16" t="str">
        <f t="shared" si="4"/>
        <v/>
      </c>
      <c r="AA66" s="16" t="str">
        <f t="shared" si="63"/>
        <v/>
      </c>
      <c r="AB66" s="16" t="str">
        <f t="shared" si="64"/>
        <v/>
      </c>
      <c r="AC66" s="29" t="str">
        <f t="shared" si="7"/>
        <v/>
      </c>
      <c r="AD66" s="29" t="str">
        <f t="shared" si="8"/>
        <v/>
      </c>
      <c r="AE66" s="2"/>
      <c r="AF66" s="2"/>
      <c r="AG66" s="2"/>
      <c r="AH66" s="2"/>
      <c r="AI66" s="2"/>
      <c r="AJ66" s="2"/>
      <c r="AK66" s="2"/>
      <c r="AL66" s="2"/>
      <c r="AM66" s="2"/>
      <c r="AN66" s="2"/>
      <c r="AO66" s="2"/>
      <c r="AP66" s="2"/>
      <c r="AQ66" s="2"/>
      <c r="AT66" s="2"/>
      <c r="AU66" s="203" t="s">
        <v>52</v>
      </c>
      <c r="AV66" s="196" t="str">
        <f>IF($B$64&gt;=1,"Pier #1","")</f>
        <v>Pier #1</v>
      </c>
      <c r="AW66" s="196" t="str">
        <f>IF($B$64&gt;=2,"Pier #2","")</f>
        <v>Pier #2</v>
      </c>
      <c r="AX66" s="196" t="str">
        <f>IF($B$64&gt;=3,"Pier #3","")</f>
        <v/>
      </c>
      <c r="AY66" s="196" t="str">
        <f>IF($B$64&gt;=4,"Pier #4","")</f>
        <v/>
      </c>
      <c r="AZ66" s="196" t="str">
        <f>IF($B$64&gt;=5,"Pier #5","")</f>
        <v/>
      </c>
      <c r="BA66" s="196" t="str">
        <f>IF($B$64&gt;=6,"Pier #6","")</f>
        <v/>
      </c>
      <c r="BB66" s="196" t="str">
        <f>IF($B$64&gt;=7,"Pier #7","")</f>
        <v/>
      </c>
      <c r="BC66" s="196" t="str">
        <f>IF($B$64&gt;=8,"Pier #8","")</f>
        <v/>
      </c>
      <c r="BD66" s="196" t="str">
        <f>IF($B$64&gt;=9,"Pier #9","")</f>
        <v/>
      </c>
      <c r="BE66" s="196" t="str">
        <f>IF($B$64&gt;=10,"Pier #10","")</f>
        <v/>
      </c>
      <c r="BF66" s="196" t="str">
        <f>IF($B$64&gt;=11,"Pier #11","")</f>
        <v/>
      </c>
      <c r="BG66" s="196" t="str">
        <f>IF($B$64&gt;=12,"Pier #12","")</f>
        <v/>
      </c>
      <c r="BH66" s="196" t="str">
        <f>IF($B$64&gt;=13,"Pier #13","")</f>
        <v/>
      </c>
      <c r="BI66" s="196" t="str">
        <f>IF($B$64&gt;=14,"Pier #14","")</f>
        <v/>
      </c>
      <c r="BJ66" s="196" t="str">
        <f>IF($B$64&gt;=15,"Pier #15","")</f>
        <v/>
      </c>
      <c r="BK66" s="196" t="str">
        <f>IF($B$64=16,"Pier #16","")</f>
        <v/>
      </c>
    </row>
    <row r="67" spans="1:63" x14ac:dyDescent="0.25">
      <c r="A67" s="45" t="s">
        <v>152</v>
      </c>
      <c r="B67" s="141">
        <v>4.5</v>
      </c>
      <c r="C67" s="141">
        <v>4.5</v>
      </c>
      <c r="D67" s="157"/>
      <c r="E67" s="141"/>
      <c r="F67" s="157"/>
      <c r="G67" s="141"/>
      <c r="H67" s="157"/>
      <c r="I67" s="141"/>
      <c r="J67" s="141"/>
      <c r="K67" s="141"/>
      <c r="L67" s="157"/>
      <c r="M67" s="141"/>
      <c r="N67" s="157"/>
      <c r="O67" s="141"/>
      <c r="P67" s="157"/>
      <c r="Q67" s="141"/>
      <c r="R67" s="141"/>
      <c r="S67" s="259"/>
      <c r="T67" s="2"/>
      <c r="U67" s="264">
        <v>63</v>
      </c>
      <c r="V67" s="16" t="str">
        <f t="shared" si="61"/>
        <v/>
      </c>
      <c r="W67" s="16" t="str">
        <f t="shared" si="62"/>
        <v/>
      </c>
      <c r="X67" s="16" t="str">
        <f t="shared" si="2"/>
        <v/>
      </c>
      <c r="Y67" s="16" t="str">
        <f t="shared" si="3"/>
        <v/>
      </c>
      <c r="Z67" s="16" t="str">
        <f t="shared" si="4"/>
        <v/>
      </c>
      <c r="AA67" s="16" t="str">
        <f t="shared" si="63"/>
        <v/>
      </c>
      <c r="AB67" s="16" t="str">
        <f t="shared" si="64"/>
        <v/>
      </c>
      <c r="AC67" s="29" t="str">
        <f t="shared" si="7"/>
        <v/>
      </c>
      <c r="AD67" s="29" t="str">
        <f t="shared" si="8"/>
        <v/>
      </c>
      <c r="AE67" s="2"/>
      <c r="AF67" s="2"/>
      <c r="AG67" s="2"/>
      <c r="AH67" s="2"/>
      <c r="AI67" s="2"/>
      <c r="AJ67" s="2"/>
      <c r="AK67" s="2"/>
      <c r="AL67" s="2"/>
      <c r="AM67" s="2"/>
      <c r="AN67" s="2"/>
      <c r="AO67" s="2"/>
      <c r="AP67" s="2"/>
      <c r="AQ67" s="2"/>
      <c r="AT67" s="2"/>
      <c r="AU67" s="199" t="s">
        <v>209</v>
      </c>
      <c r="AV67" s="216">
        <f>IF($B$64&gt;=1,$B67*0.3048,"")</f>
        <v>1.3716000000000002</v>
      </c>
      <c r="AW67" s="231">
        <f>IF($B$64&gt;=2,$C67*0.3048,"")</f>
        <v>1.3716000000000002</v>
      </c>
      <c r="AX67" s="216" t="str">
        <f>IF($B$64&gt;=3,$D67*0.3048,"")</f>
        <v/>
      </c>
      <c r="AY67" s="231" t="str">
        <f>IF($B$64&gt;=4,$E67*0.3048,"")</f>
        <v/>
      </c>
      <c r="AZ67" s="216" t="str">
        <f>IF($B$64&gt;=5,$F67*0.3048,"")</f>
        <v/>
      </c>
      <c r="BA67" s="231" t="str">
        <f>IF($B$64&gt;=6,$G67*0.3048,"")</f>
        <v/>
      </c>
      <c r="BB67" s="216" t="str">
        <f>IF($B$64&gt;=7,$H67*0.3048,"")</f>
        <v/>
      </c>
      <c r="BC67" s="228" t="str">
        <f>IF($B$64&gt;=8,$I67*0.3048,"")</f>
        <v/>
      </c>
      <c r="BD67" s="216" t="str">
        <f>IF($B$64&gt;=9,$J67*0.3048,"")</f>
        <v/>
      </c>
      <c r="BE67" s="231" t="str">
        <f>IF($B$64&gt;=10,$K67*0.3048,"")</f>
        <v/>
      </c>
      <c r="BF67" s="216" t="str">
        <f>IF($B$64&gt;=11,$L67*0.3048,"")</f>
        <v/>
      </c>
      <c r="BG67" s="231" t="str">
        <f>IF($B$64&gt;=12,$M67*0.3048,"")</f>
        <v/>
      </c>
      <c r="BH67" s="216" t="str">
        <f>IF($B$64&gt;=13,$N67*0.3048,"")</f>
        <v/>
      </c>
      <c r="BI67" s="231" t="str">
        <f>IF($B$64&gt;=14,$O67*0.3048,"")</f>
        <v/>
      </c>
      <c r="BJ67" s="216" t="str">
        <f>IF($B$64&gt;=15,$P67*0.3048,"")</f>
        <v/>
      </c>
      <c r="BK67" s="228" t="str">
        <f>IF($B$64&gt;=16,$Q67*0.3048,"")</f>
        <v/>
      </c>
    </row>
    <row r="68" spans="1:63" x14ac:dyDescent="0.25">
      <c r="A68" s="45" t="s">
        <v>153</v>
      </c>
      <c r="B68" s="145">
        <v>9</v>
      </c>
      <c r="C68" s="145">
        <v>18</v>
      </c>
      <c r="D68" s="158"/>
      <c r="E68" s="145"/>
      <c r="F68" s="158"/>
      <c r="G68" s="145"/>
      <c r="H68" s="158"/>
      <c r="I68" s="145"/>
      <c r="J68" s="145"/>
      <c r="K68" s="145"/>
      <c r="L68" s="158"/>
      <c r="M68" s="145"/>
      <c r="N68" s="158"/>
      <c r="O68" s="145"/>
      <c r="P68" s="158"/>
      <c r="Q68" s="145"/>
      <c r="R68" s="145"/>
      <c r="S68" s="259"/>
      <c r="T68" s="2"/>
      <c r="U68" s="264">
        <v>64</v>
      </c>
      <c r="V68" s="16" t="str">
        <f t="shared" si="61"/>
        <v/>
      </c>
      <c r="W68" s="16" t="str">
        <f t="shared" si="62"/>
        <v/>
      </c>
      <c r="X68" s="16" t="str">
        <f t="shared" si="2"/>
        <v/>
      </c>
      <c r="Y68" s="16" t="str">
        <f t="shared" si="3"/>
        <v/>
      </c>
      <c r="Z68" s="16" t="str">
        <f t="shared" si="4"/>
        <v/>
      </c>
      <c r="AA68" s="16" t="str">
        <f t="shared" si="63"/>
        <v/>
      </c>
      <c r="AB68" s="16" t="str">
        <f t="shared" si="64"/>
        <v/>
      </c>
      <c r="AC68" s="29" t="str">
        <f t="shared" si="7"/>
        <v/>
      </c>
      <c r="AD68" s="29" t="str">
        <f t="shared" si="8"/>
        <v/>
      </c>
      <c r="AE68" s="2"/>
      <c r="AF68" s="2"/>
      <c r="AG68" s="2"/>
      <c r="AH68" s="2"/>
      <c r="AI68" s="2"/>
      <c r="AJ68" s="2"/>
      <c r="AK68" s="2"/>
      <c r="AL68" s="2"/>
      <c r="AM68" s="2"/>
      <c r="AN68" s="2"/>
      <c r="AO68" s="2"/>
      <c r="AP68" s="2"/>
      <c r="AQ68" s="2"/>
      <c r="AT68" s="2"/>
      <c r="AU68" s="199" t="s">
        <v>210</v>
      </c>
      <c r="AV68" s="217">
        <f>IF($B$64&gt;=1,$B68*0.3048,"")</f>
        <v>2.7432000000000003</v>
      </c>
      <c r="AW68" s="232">
        <f>IF($B$64&gt;=2,$C68*0.3048,"")</f>
        <v>5.4864000000000006</v>
      </c>
      <c r="AX68" s="217" t="str">
        <f>IF($B$64&gt;=3,$D68*0.3048,"")</f>
        <v/>
      </c>
      <c r="AY68" s="232" t="str">
        <f>IF($B$64&gt;=4,$E68*0.3048,"")</f>
        <v/>
      </c>
      <c r="AZ68" s="217" t="str">
        <f>IF($B$64&gt;=5,$F68*0.3048,"")</f>
        <v/>
      </c>
      <c r="BA68" s="232" t="str">
        <f>IF($B$64&gt;=6,$G68*0.3048,"")</f>
        <v/>
      </c>
      <c r="BB68" s="217" t="str">
        <f>IF($B$64&gt;=7,$H68*0.3048,"")</f>
        <v/>
      </c>
      <c r="BC68" s="229" t="str">
        <f>IF($B$64&gt;=8,$I68*0.3048,"")</f>
        <v/>
      </c>
      <c r="BD68" s="217" t="str">
        <f>IF($B$64&gt;=9,$J68*0.3048,"")</f>
        <v/>
      </c>
      <c r="BE68" s="232" t="str">
        <f>IF($B$64&gt;=10,$K68*0.3048,"")</f>
        <v/>
      </c>
      <c r="BF68" s="217" t="str">
        <f>IF($B$64&gt;=11,$L68*0.3048,"")</f>
        <v/>
      </c>
      <c r="BG68" s="232" t="str">
        <f>IF($B$64&gt;=12,$M68*0.3048,"")</f>
        <v/>
      </c>
      <c r="BH68" s="217" t="str">
        <f>IF($B$64&gt;=13,$N68*0.3048,"")</f>
        <v/>
      </c>
      <c r="BI68" s="232" t="str">
        <f>IF($B$64&gt;=14,$O68*0.3048,"")</f>
        <v/>
      </c>
      <c r="BJ68" s="217" t="str">
        <f>IF($B$64&gt;=15,$P68*0.3048,"")</f>
        <v/>
      </c>
      <c r="BK68" s="229" t="str">
        <f>IF($B$64&gt;=16,$Q68*0.3048,"")</f>
        <v/>
      </c>
    </row>
    <row r="69" spans="1:63" x14ac:dyDescent="0.25">
      <c r="A69" s="45" t="s">
        <v>154</v>
      </c>
      <c r="B69" s="145">
        <v>5</v>
      </c>
      <c r="C69" s="145">
        <v>5</v>
      </c>
      <c r="D69" s="158"/>
      <c r="E69" s="145"/>
      <c r="F69" s="158"/>
      <c r="G69" s="145"/>
      <c r="H69" s="158"/>
      <c r="I69" s="145"/>
      <c r="J69" s="145"/>
      <c r="K69" s="145"/>
      <c r="L69" s="158"/>
      <c r="M69" s="145"/>
      <c r="N69" s="158"/>
      <c r="O69" s="145"/>
      <c r="P69" s="158"/>
      <c r="Q69" s="145"/>
      <c r="R69" s="145"/>
      <c r="S69" s="259"/>
      <c r="T69" s="2"/>
      <c r="U69" s="264">
        <v>65</v>
      </c>
      <c r="V69" s="16" t="str">
        <f t="shared" si="61"/>
        <v/>
      </c>
      <c r="W69" s="16" t="str">
        <f t="shared" si="62"/>
        <v/>
      </c>
      <c r="X69" s="16" t="str">
        <f t="shared" ref="X69:X132" si="65">IF($C$9&gt;=$U69,$V69^2,"")</f>
        <v/>
      </c>
      <c r="Y69" s="16" t="str">
        <f t="shared" ref="Y69:Y132" si="66">IF($C$9&gt;=$U69,$W69^2,"")</f>
        <v/>
      </c>
      <c r="Z69" s="16" t="str">
        <f t="shared" ref="Z69:Z132" si="67">IF($C$9&gt;=$U69,$V69*$W69,"")</f>
        <v/>
      </c>
      <c r="AA69" s="16" t="str">
        <f t="shared" si="63"/>
        <v/>
      </c>
      <c r="AB69" s="16" t="str">
        <f t="shared" si="64"/>
        <v/>
      </c>
      <c r="AC69" s="29" t="str">
        <f t="shared" ref="AC69:AC132" si="68">IF($C$9&gt;=$U69,(-$Z$318/$C$9+($Z$322*$V$311--$Z$321*$V$314)/($V$311*$V$312-$V$314^2)*$AA69+(-$Z$321*$V$312-$Z$322*$V$314)/($V$311*$V$312-$V$314^2)*$AB69),"")</f>
        <v/>
      </c>
      <c r="AD69" s="29" t="str">
        <f t="shared" ref="AD69:AD132" si="69">IF($C$9&gt;=$U69,((($Z$319/$C$9+$Z$323*-$AB69/$V$313)^2+($Z$320/$C$9+$Z$323*$AA69/$V$313)^2)^(1/2)),"")</f>
        <v/>
      </c>
      <c r="AE69" s="2"/>
      <c r="AF69" s="2"/>
      <c r="AG69" s="2"/>
      <c r="AH69" s="2"/>
      <c r="AI69" s="2"/>
      <c r="AJ69" s="2"/>
      <c r="AK69" s="2"/>
      <c r="AL69" s="2"/>
      <c r="AM69" s="2"/>
      <c r="AN69" s="2"/>
      <c r="AO69" s="2"/>
      <c r="AP69" s="2"/>
      <c r="AQ69" s="2"/>
      <c r="AT69" s="2"/>
      <c r="AU69" s="199" t="s">
        <v>211</v>
      </c>
      <c r="AV69" s="217">
        <f>IF($B$64&gt;=1,$B69*0.3048,"")</f>
        <v>1.524</v>
      </c>
      <c r="AW69" s="232">
        <f>IF($B$64&gt;=2,$C69*0.3048,"")</f>
        <v>1.524</v>
      </c>
      <c r="AX69" s="217" t="str">
        <f>IF($B$64&gt;=3,$D69*0.3048,"")</f>
        <v/>
      </c>
      <c r="AY69" s="232" t="str">
        <f>IF($B$64&gt;=4,$E69*0.3048,"")</f>
        <v/>
      </c>
      <c r="AZ69" s="217" t="str">
        <f>IF($B$64&gt;=5,$F69*0.3048,"")</f>
        <v/>
      </c>
      <c r="BA69" s="232" t="str">
        <f>IF($B$64&gt;=6,$G69*0.3048,"")</f>
        <v/>
      </c>
      <c r="BB69" s="217" t="str">
        <f>IF($B$64&gt;=7,$H69*0.3048,"")</f>
        <v/>
      </c>
      <c r="BC69" s="229" t="str">
        <f>IF($B$64&gt;=8,$I69*0.3048,"")</f>
        <v/>
      </c>
      <c r="BD69" s="217" t="str">
        <f>IF($B$64&gt;=9,$J69*0.3048,"")</f>
        <v/>
      </c>
      <c r="BE69" s="232" t="str">
        <f>IF($B$64&gt;=10,$K69*0.3048,"")</f>
        <v/>
      </c>
      <c r="BF69" s="217" t="str">
        <f>IF($B$64&gt;=11,$L69*0.3048,"")</f>
        <v/>
      </c>
      <c r="BG69" s="232" t="str">
        <f>IF($B$64&gt;=12,$M69*0.3048,"")</f>
        <v/>
      </c>
      <c r="BH69" s="217" t="str">
        <f>IF($B$64&gt;=13,$N69*0.3048,"")</f>
        <v/>
      </c>
      <c r="BI69" s="232" t="str">
        <f>IF($B$64&gt;=14,$O69*0.3048,"")</f>
        <v/>
      </c>
      <c r="BJ69" s="217" t="str">
        <f>IF($B$64&gt;=15,$P69*0.3048,"")</f>
        <v/>
      </c>
      <c r="BK69" s="229" t="str">
        <f>IF($B$64&gt;=16,$Q69*0.3048,"")</f>
        <v/>
      </c>
    </row>
    <row r="70" spans="1:63" x14ac:dyDescent="0.25">
      <c r="A70" s="45" t="s">
        <v>155</v>
      </c>
      <c r="B70" s="159">
        <v>-1500</v>
      </c>
      <c r="C70" s="159">
        <v>-1500</v>
      </c>
      <c r="D70" s="160"/>
      <c r="E70" s="159"/>
      <c r="F70" s="160"/>
      <c r="G70" s="159"/>
      <c r="H70" s="160"/>
      <c r="I70" s="159"/>
      <c r="J70" s="159"/>
      <c r="K70" s="159"/>
      <c r="L70" s="160"/>
      <c r="M70" s="159"/>
      <c r="N70" s="160"/>
      <c r="O70" s="159"/>
      <c r="P70" s="160"/>
      <c r="Q70" s="159"/>
      <c r="R70" s="159"/>
      <c r="S70" s="259"/>
      <c r="T70" s="2"/>
      <c r="U70" s="264">
        <v>66</v>
      </c>
      <c r="V70" s="16" t="str">
        <f t="shared" si="61"/>
        <v/>
      </c>
      <c r="W70" s="16" t="str">
        <f t="shared" si="62"/>
        <v/>
      </c>
      <c r="X70" s="16" t="str">
        <f t="shared" si="65"/>
        <v/>
      </c>
      <c r="Y70" s="16" t="str">
        <f t="shared" si="66"/>
        <v/>
      </c>
      <c r="Z70" s="16" t="str">
        <f t="shared" si="67"/>
        <v/>
      </c>
      <c r="AA70" s="16" t="str">
        <f t="shared" si="63"/>
        <v/>
      </c>
      <c r="AB70" s="16" t="str">
        <f t="shared" si="64"/>
        <v/>
      </c>
      <c r="AC70" s="29" t="str">
        <f t="shared" si="68"/>
        <v/>
      </c>
      <c r="AD70" s="29" t="str">
        <f t="shared" si="69"/>
        <v/>
      </c>
      <c r="AE70" s="2"/>
      <c r="AF70" s="2"/>
      <c r="AG70" s="2"/>
      <c r="AH70" s="2"/>
      <c r="AI70" s="2"/>
      <c r="AJ70" s="2"/>
      <c r="AK70" s="2"/>
      <c r="AL70" s="2"/>
      <c r="AM70" s="2"/>
      <c r="AN70" s="2"/>
      <c r="AO70" s="2"/>
      <c r="AP70" s="2"/>
      <c r="AQ70" s="2"/>
      <c r="AT70" s="2"/>
      <c r="AU70" s="199" t="s">
        <v>212</v>
      </c>
      <c r="AV70" s="233">
        <f>IF($B$64&gt;=1,$B70*4.448222,"")</f>
        <v>-6672.3330000000005</v>
      </c>
      <c r="AW70" s="234">
        <f>IF($B$64&gt;=2,$C70*4.448222,"")</f>
        <v>-6672.3330000000005</v>
      </c>
      <c r="AX70" s="233" t="str">
        <f>IF($B$64&gt;=3,$D70*4.448222,"")</f>
        <v/>
      </c>
      <c r="AY70" s="234" t="str">
        <f>IF($B$64&gt;=4,$E70*4.448222,"")</f>
        <v/>
      </c>
      <c r="AZ70" s="233" t="str">
        <f>IF($B$64&gt;=5,$F70*4.448222,"")</f>
        <v/>
      </c>
      <c r="BA70" s="234" t="str">
        <f>IF($B$64&gt;=6,$G70*4.448222,"")</f>
        <v/>
      </c>
      <c r="BB70" s="233" t="str">
        <f>IF($B$64&gt;=7,$H70*4.448222,"")</f>
        <v/>
      </c>
      <c r="BC70" s="235" t="str">
        <f>IF($B$64&gt;=8,$I70*4.448222,"")</f>
        <v/>
      </c>
      <c r="BD70" s="233" t="str">
        <f>IF($B$64&gt;=9,$J70*4.448222,"")</f>
        <v/>
      </c>
      <c r="BE70" s="234" t="str">
        <f>IF($B$64&gt;=10,$K70*4.448222,"")</f>
        <v/>
      </c>
      <c r="BF70" s="233" t="str">
        <f>IF($B$64&gt;=11,$L70*4.448222,"")</f>
        <v/>
      </c>
      <c r="BG70" s="234" t="str">
        <f>IF($B$64&gt;=12,$M70*4.448222,"")</f>
        <v/>
      </c>
      <c r="BH70" s="233" t="str">
        <f>IF($B$64&gt;=13,$N70*4.448222,"")</f>
        <v/>
      </c>
      <c r="BI70" s="234" t="str">
        <f>IF($B$64&gt;=14,$O70*4.448222,"")</f>
        <v/>
      </c>
      <c r="BJ70" s="233" t="str">
        <f>IF($B$64&gt;=15,$P70*4.448222,"")</f>
        <v/>
      </c>
      <c r="BK70" s="235" t="str">
        <f>IF($B$64&gt;=16,$Q70*4.448222,"")</f>
        <v/>
      </c>
    </row>
    <row r="71" spans="1:63" x14ac:dyDescent="0.25">
      <c r="A71" s="45" t="s">
        <v>156</v>
      </c>
      <c r="B71" s="159">
        <v>-20</v>
      </c>
      <c r="C71" s="159">
        <v>-20</v>
      </c>
      <c r="D71" s="160"/>
      <c r="E71" s="159"/>
      <c r="F71" s="160"/>
      <c r="G71" s="159"/>
      <c r="H71" s="160"/>
      <c r="I71" s="159"/>
      <c r="J71" s="159"/>
      <c r="K71" s="159"/>
      <c r="L71" s="160"/>
      <c r="M71" s="159"/>
      <c r="N71" s="160"/>
      <c r="O71" s="159"/>
      <c r="P71" s="160"/>
      <c r="Q71" s="159"/>
      <c r="R71" s="159"/>
      <c r="S71" s="259"/>
      <c r="T71" s="2"/>
      <c r="U71" s="264">
        <v>67</v>
      </c>
      <c r="V71" s="16" t="str">
        <f t="shared" si="61"/>
        <v/>
      </c>
      <c r="W71" s="16" t="str">
        <f t="shared" si="62"/>
        <v/>
      </c>
      <c r="X71" s="16" t="str">
        <f t="shared" si="65"/>
        <v/>
      </c>
      <c r="Y71" s="16" t="str">
        <f t="shared" si="66"/>
        <v/>
      </c>
      <c r="Z71" s="16" t="str">
        <f t="shared" si="67"/>
        <v/>
      </c>
      <c r="AA71" s="16" t="str">
        <f t="shared" si="63"/>
        <v/>
      </c>
      <c r="AB71" s="16" t="str">
        <f t="shared" si="64"/>
        <v/>
      </c>
      <c r="AC71" s="29" t="str">
        <f t="shared" si="68"/>
        <v/>
      </c>
      <c r="AD71" s="29" t="str">
        <f t="shared" si="69"/>
        <v/>
      </c>
      <c r="AE71" s="2"/>
      <c r="AF71" s="2"/>
      <c r="AG71" s="2"/>
      <c r="AH71" s="2"/>
      <c r="AI71" s="2"/>
      <c r="AJ71" s="2"/>
      <c r="AK71" s="2"/>
      <c r="AL71" s="2"/>
      <c r="AM71" s="2"/>
      <c r="AN71" s="2"/>
      <c r="AO71" s="2"/>
      <c r="AP71" s="2"/>
      <c r="AQ71" s="2"/>
      <c r="AT71" s="2"/>
      <c r="AU71" s="199" t="s">
        <v>213</v>
      </c>
      <c r="AV71" s="233">
        <f>IF($B$64&gt;=1,$B71*4.448222,"")</f>
        <v>-88.96444000000001</v>
      </c>
      <c r="AW71" s="234">
        <f>IF($B$64&gt;=2,$C71*4.448222,"")</f>
        <v>-88.96444000000001</v>
      </c>
      <c r="AX71" s="233" t="str">
        <f>IF($B$64&gt;=3,$D71*4.448222,"")</f>
        <v/>
      </c>
      <c r="AY71" s="234" t="str">
        <f>IF($B$64&gt;=4,$E71*4.448222,"")</f>
        <v/>
      </c>
      <c r="AZ71" s="233" t="str">
        <f>IF($B$64&gt;=5,$F71*4.448222,"")</f>
        <v/>
      </c>
      <c r="BA71" s="234" t="str">
        <f>IF($B$64&gt;=6,$G71*4.448222,"")</f>
        <v/>
      </c>
      <c r="BB71" s="233" t="str">
        <f>IF($B$64&gt;=7,$H71*4.448222,"")</f>
        <v/>
      </c>
      <c r="BC71" s="235" t="str">
        <f>IF($B$64&gt;=8,$I71*4.448222,"")</f>
        <v/>
      </c>
      <c r="BD71" s="233" t="str">
        <f>IF($B$64&gt;=9,$J71*4.448222,"")</f>
        <v/>
      </c>
      <c r="BE71" s="234" t="str">
        <f>IF($B$64&gt;=10,$K71*4.448222,"")</f>
        <v/>
      </c>
      <c r="BF71" s="233" t="str">
        <f>IF($B$64&gt;=11,$L71*4.448222,"")</f>
        <v/>
      </c>
      <c r="BG71" s="234" t="str">
        <f>IF($B$64&gt;=12,$M71*4.448222,"")</f>
        <v/>
      </c>
      <c r="BH71" s="233" t="str">
        <f>IF($B$64&gt;=13,$N71*4.448222,"")</f>
        <v/>
      </c>
      <c r="BI71" s="234" t="str">
        <f>IF($B$64&gt;=14,$O71*4.448222,"")</f>
        <v/>
      </c>
      <c r="BJ71" s="233" t="str">
        <f>IF($B$64&gt;=15,$P71*4.448222,"")</f>
        <v/>
      </c>
      <c r="BK71" s="235" t="str">
        <f>IF($B$64&gt;=16,$Q71*4.448222,"")</f>
        <v/>
      </c>
    </row>
    <row r="72" spans="1:63" x14ac:dyDescent="0.25">
      <c r="A72" s="45" t="s">
        <v>157</v>
      </c>
      <c r="B72" s="159">
        <v>-30</v>
      </c>
      <c r="C72" s="159">
        <v>-30</v>
      </c>
      <c r="D72" s="160"/>
      <c r="E72" s="159"/>
      <c r="F72" s="160"/>
      <c r="G72" s="159"/>
      <c r="H72" s="160"/>
      <c r="I72" s="159"/>
      <c r="J72" s="159"/>
      <c r="K72" s="159"/>
      <c r="L72" s="160"/>
      <c r="M72" s="159"/>
      <c r="N72" s="160"/>
      <c r="O72" s="159"/>
      <c r="P72" s="160"/>
      <c r="Q72" s="159"/>
      <c r="R72" s="159"/>
      <c r="S72" s="259"/>
      <c r="T72" s="2"/>
      <c r="U72" s="264">
        <v>68</v>
      </c>
      <c r="V72" s="16" t="str">
        <f t="shared" si="61"/>
        <v/>
      </c>
      <c r="W72" s="16" t="str">
        <f t="shared" si="62"/>
        <v/>
      </c>
      <c r="X72" s="16" t="str">
        <f t="shared" si="65"/>
        <v/>
      </c>
      <c r="Y72" s="16" t="str">
        <f t="shared" si="66"/>
        <v/>
      </c>
      <c r="Z72" s="16" t="str">
        <f t="shared" si="67"/>
        <v/>
      </c>
      <c r="AA72" s="16" t="str">
        <f t="shared" si="63"/>
        <v/>
      </c>
      <c r="AB72" s="16" t="str">
        <f t="shared" si="64"/>
        <v/>
      </c>
      <c r="AC72" s="29" t="str">
        <f t="shared" si="68"/>
        <v/>
      </c>
      <c r="AD72" s="29" t="str">
        <f t="shared" si="69"/>
        <v/>
      </c>
      <c r="AE72" s="2"/>
      <c r="AF72" s="2"/>
      <c r="AG72" s="2"/>
      <c r="AH72" s="2"/>
      <c r="AI72" s="2"/>
      <c r="AJ72" s="2"/>
      <c r="AK72" s="2"/>
      <c r="AL72" s="2"/>
      <c r="AM72" s="2"/>
      <c r="AN72" s="2"/>
      <c r="AO72" s="2"/>
      <c r="AP72" s="2"/>
      <c r="AQ72" s="2"/>
      <c r="AT72" s="2"/>
      <c r="AU72" s="199" t="s">
        <v>214</v>
      </c>
      <c r="AV72" s="233">
        <f>IF($B$64&gt;=1,$B72*4.448222,"")</f>
        <v>-133.44666000000001</v>
      </c>
      <c r="AW72" s="234">
        <f>IF($B$64&gt;=2,$C72*4.448222,"")</f>
        <v>-133.44666000000001</v>
      </c>
      <c r="AX72" s="233" t="str">
        <f>IF($B$64&gt;=3,$D72*4.448222,"")</f>
        <v/>
      </c>
      <c r="AY72" s="234" t="str">
        <f>IF($B$64&gt;=4,$E72*4.448222,"")</f>
        <v/>
      </c>
      <c r="AZ72" s="233" t="str">
        <f>IF($B$64&gt;=5,$F72*4.448222,"")</f>
        <v/>
      </c>
      <c r="BA72" s="234" t="str">
        <f>IF($B$64&gt;=6,$G72*4.448222,"")</f>
        <v/>
      </c>
      <c r="BB72" s="233" t="str">
        <f>IF($B$64&gt;=7,$H72*4.448222,"")</f>
        <v/>
      </c>
      <c r="BC72" s="235" t="str">
        <f>IF($B$64&gt;=8,$I72*4.448222,"")</f>
        <v/>
      </c>
      <c r="BD72" s="233" t="str">
        <f>IF($B$64&gt;=9,$J72*4.448222,"")</f>
        <v/>
      </c>
      <c r="BE72" s="234" t="str">
        <f>IF($B$64&gt;=10,$K72*4.448222,"")</f>
        <v/>
      </c>
      <c r="BF72" s="233" t="str">
        <f>IF($B$64&gt;=11,$L72*4.448222,"")</f>
        <v/>
      </c>
      <c r="BG72" s="234" t="str">
        <f>IF($B$64&gt;=12,$M72*4.448222,"")</f>
        <v/>
      </c>
      <c r="BH72" s="233" t="str">
        <f>IF($B$64&gt;=13,$N72*4.448222,"")</f>
        <v/>
      </c>
      <c r="BI72" s="234" t="str">
        <f>IF($B$64&gt;=14,$O72*4.448222,"")</f>
        <v/>
      </c>
      <c r="BJ72" s="233" t="str">
        <f>IF($B$64&gt;=15,$P72*4.448222,"")</f>
        <v/>
      </c>
      <c r="BK72" s="235" t="str">
        <f>IF($B$64&gt;=16,$Q72*4.448222,"")</f>
        <v/>
      </c>
    </row>
    <row r="73" spans="1:63" x14ac:dyDescent="0.25">
      <c r="A73" s="45" t="s">
        <v>158</v>
      </c>
      <c r="B73" s="159">
        <v>100</v>
      </c>
      <c r="C73" s="159">
        <v>100</v>
      </c>
      <c r="D73" s="160"/>
      <c r="E73" s="159"/>
      <c r="F73" s="160"/>
      <c r="G73" s="159"/>
      <c r="H73" s="160"/>
      <c r="I73" s="159"/>
      <c r="J73" s="159"/>
      <c r="K73" s="159"/>
      <c r="L73" s="160"/>
      <c r="M73" s="159"/>
      <c r="N73" s="160"/>
      <c r="O73" s="159"/>
      <c r="P73" s="160"/>
      <c r="Q73" s="159"/>
      <c r="R73" s="159"/>
      <c r="S73" s="259"/>
      <c r="T73" s="2"/>
      <c r="U73" s="264">
        <v>69</v>
      </c>
      <c r="V73" s="16" t="str">
        <f t="shared" si="61"/>
        <v/>
      </c>
      <c r="W73" s="16" t="str">
        <f t="shared" si="62"/>
        <v/>
      </c>
      <c r="X73" s="16" t="str">
        <f t="shared" si="65"/>
        <v/>
      </c>
      <c r="Y73" s="16" t="str">
        <f t="shared" si="66"/>
        <v/>
      </c>
      <c r="Z73" s="16" t="str">
        <f t="shared" si="67"/>
        <v/>
      </c>
      <c r="AA73" s="16" t="str">
        <f t="shared" si="63"/>
        <v/>
      </c>
      <c r="AB73" s="16" t="str">
        <f t="shared" si="64"/>
        <v/>
      </c>
      <c r="AC73" s="29" t="str">
        <f t="shared" si="68"/>
        <v/>
      </c>
      <c r="AD73" s="29" t="str">
        <f t="shared" si="69"/>
        <v/>
      </c>
      <c r="AE73" s="2"/>
      <c r="AF73" s="2"/>
      <c r="AG73" s="2"/>
      <c r="AH73" s="2"/>
      <c r="AI73" s="2"/>
      <c r="AJ73" s="2"/>
      <c r="AK73" s="2"/>
      <c r="AL73" s="2"/>
      <c r="AM73" s="2"/>
      <c r="AN73" s="2"/>
      <c r="AO73" s="2"/>
      <c r="AP73" s="2"/>
      <c r="AQ73" s="2"/>
      <c r="AT73" s="2"/>
      <c r="AU73" s="199" t="s">
        <v>215</v>
      </c>
      <c r="AV73" s="233">
        <f>IF($B$64&gt;=1,$B73*1.355818,"")</f>
        <v>135.58179999999999</v>
      </c>
      <c r="AW73" s="234">
        <f>IF($B$64&gt;=2,$C73*1.355818,"")</f>
        <v>135.58179999999999</v>
      </c>
      <c r="AX73" s="233" t="str">
        <f>IF($B$64&gt;=3,$D73*1.355818,"")</f>
        <v/>
      </c>
      <c r="AY73" s="234" t="str">
        <f>IF($B$64&gt;=4,$E73*1.355818,"")</f>
        <v/>
      </c>
      <c r="AZ73" s="233" t="str">
        <f>IF($B$64&gt;=5,$F73*1.355818,"")</f>
        <v/>
      </c>
      <c r="BA73" s="234" t="str">
        <f>IF($B$64&gt;=6,$G73*1.355818,"")</f>
        <v/>
      </c>
      <c r="BB73" s="233" t="str">
        <f>IF($B$64&gt;=7,$H73*1.355818,"")</f>
        <v/>
      </c>
      <c r="BC73" s="235" t="str">
        <f>IF($B$64&gt;=8,$I73*1.355818,"")</f>
        <v/>
      </c>
      <c r="BD73" s="233" t="str">
        <f>IF($B$64&gt;=9,$J73*1.355818,"")</f>
        <v/>
      </c>
      <c r="BE73" s="234" t="str">
        <f>IF($B$64&gt;=10,$K73*1.355818,"")</f>
        <v/>
      </c>
      <c r="BF73" s="233" t="str">
        <f>IF($B$64&gt;=11,$L73*1.355818,"")</f>
        <v/>
      </c>
      <c r="BG73" s="234" t="str">
        <f>IF($B$64&gt;=12,$M73*1.355818,"")</f>
        <v/>
      </c>
      <c r="BH73" s="233" t="str">
        <f>IF($B$64&gt;=13,$N73*1.355818,"")</f>
        <v/>
      </c>
      <c r="BI73" s="234" t="str">
        <f>IF($B$64&gt;=14,$O73*1.355818,"")</f>
        <v/>
      </c>
      <c r="BJ73" s="233" t="str">
        <f>IF($B$64&gt;=15,$P73*1.355818,"")</f>
        <v/>
      </c>
      <c r="BK73" s="235" t="str">
        <f>IF($B$64&gt;=16,$Q73*1.355818,"")</f>
        <v/>
      </c>
    </row>
    <row r="74" spans="1:63" x14ac:dyDescent="0.25">
      <c r="A74" s="45" t="s">
        <v>159</v>
      </c>
      <c r="B74" s="159">
        <v>-150</v>
      </c>
      <c r="C74" s="159">
        <v>-150</v>
      </c>
      <c r="D74" s="160"/>
      <c r="E74" s="159"/>
      <c r="F74" s="160"/>
      <c r="G74" s="159"/>
      <c r="H74" s="160"/>
      <c r="I74" s="159"/>
      <c r="J74" s="159"/>
      <c r="K74" s="159"/>
      <c r="L74" s="160"/>
      <c r="M74" s="159"/>
      <c r="N74" s="160"/>
      <c r="O74" s="159"/>
      <c r="P74" s="160"/>
      <c r="Q74" s="159"/>
      <c r="R74" s="159"/>
      <c r="S74" s="259"/>
      <c r="T74" s="2"/>
      <c r="U74" s="264">
        <v>70</v>
      </c>
      <c r="V74" s="16" t="str">
        <f t="shared" si="61"/>
        <v/>
      </c>
      <c r="W74" s="16" t="str">
        <f t="shared" si="62"/>
        <v/>
      </c>
      <c r="X74" s="16" t="str">
        <f t="shared" si="65"/>
        <v/>
      </c>
      <c r="Y74" s="16" t="str">
        <f t="shared" si="66"/>
        <v/>
      </c>
      <c r="Z74" s="16" t="str">
        <f t="shared" si="67"/>
        <v/>
      </c>
      <c r="AA74" s="16" t="str">
        <f t="shared" si="63"/>
        <v/>
      </c>
      <c r="AB74" s="16" t="str">
        <f t="shared" si="64"/>
        <v/>
      </c>
      <c r="AC74" s="29" t="str">
        <f t="shared" si="68"/>
        <v/>
      </c>
      <c r="AD74" s="29" t="str">
        <f t="shared" si="69"/>
        <v/>
      </c>
      <c r="AE74" s="2"/>
      <c r="AF74" s="2"/>
      <c r="AG74" s="2"/>
      <c r="AH74" s="2"/>
      <c r="AI74" s="2"/>
      <c r="AJ74" s="2"/>
      <c r="AK74" s="2"/>
      <c r="AL74" s="2"/>
      <c r="AM74" s="2"/>
      <c r="AN74" s="2"/>
      <c r="AO74" s="2"/>
      <c r="AP74" s="2"/>
      <c r="AQ74" s="2"/>
      <c r="AT74" s="2"/>
      <c r="AU74" s="199" t="s">
        <v>216</v>
      </c>
      <c r="AV74" s="233">
        <f>IF($B$64&gt;=1,$B74*1.355818,"")</f>
        <v>-203.37270000000001</v>
      </c>
      <c r="AW74" s="234">
        <f>IF($B$64&gt;=2,$C74*1.355818,"")</f>
        <v>-203.37270000000001</v>
      </c>
      <c r="AX74" s="233" t="str">
        <f>IF($B$64&gt;=3,$D74*1.355818,"")</f>
        <v/>
      </c>
      <c r="AY74" s="234" t="str">
        <f>IF($B$64&gt;=4,$E74*1.355818,"")</f>
        <v/>
      </c>
      <c r="AZ74" s="233" t="str">
        <f>IF($B$64&gt;=5,$F74*1.355818,"")</f>
        <v/>
      </c>
      <c r="BA74" s="234" t="str">
        <f>IF($B$64&gt;=6,$G74*1.355818,"")</f>
        <v/>
      </c>
      <c r="BB74" s="233" t="str">
        <f>IF($B$64&gt;=7,$H74*1.355818,"")</f>
        <v/>
      </c>
      <c r="BC74" s="235" t="str">
        <f>IF($B$64&gt;=8,$I74*1.355818,"")</f>
        <v/>
      </c>
      <c r="BD74" s="233" t="str">
        <f>IF($B$64&gt;=9,$J74*1.355818,"")</f>
        <v/>
      </c>
      <c r="BE74" s="234" t="str">
        <f>IF($B$64&gt;=10,$K74*1.355818,"")</f>
        <v/>
      </c>
      <c r="BF74" s="233" t="str">
        <f>IF($B$64&gt;=11,$L74*1.355818,"")</f>
        <v/>
      </c>
      <c r="BG74" s="234" t="str">
        <f>IF($B$64&gt;=12,$M74*1.355818,"")</f>
        <v/>
      </c>
      <c r="BH74" s="233" t="str">
        <f>IF($B$64&gt;=13,$N74*1.355818,"")</f>
        <v/>
      </c>
      <c r="BI74" s="234" t="str">
        <f>IF($B$64&gt;=14,$O74*1.355818,"")</f>
        <v/>
      </c>
      <c r="BJ74" s="233" t="str">
        <f>IF($B$64&gt;=15,$P74*1.355818,"")</f>
        <v/>
      </c>
      <c r="BK74" s="235" t="str">
        <f>IF($B$64&gt;=16,$Q74*1.355818,"")</f>
        <v/>
      </c>
    </row>
    <row r="75" spans="1:63" x14ac:dyDescent="0.25">
      <c r="A75" s="45" t="s">
        <v>160</v>
      </c>
      <c r="B75" s="162">
        <v>0</v>
      </c>
      <c r="C75" s="162">
        <v>0</v>
      </c>
      <c r="D75" s="163"/>
      <c r="E75" s="162"/>
      <c r="F75" s="163"/>
      <c r="G75" s="162"/>
      <c r="H75" s="163"/>
      <c r="I75" s="162"/>
      <c r="J75" s="162"/>
      <c r="K75" s="162"/>
      <c r="L75" s="163"/>
      <c r="M75" s="162"/>
      <c r="N75" s="163"/>
      <c r="O75" s="162"/>
      <c r="P75" s="163"/>
      <c r="Q75" s="162"/>
      <c r="R75" s="162"/>
      <c r="S75" s="259"/>
      <c r="T75" s="2"/>
      <c r="U75" s="264">
        <v>71</v>
      </c>
      <c r="V75" s="16" t="str">
        <f t="shared" si="61"/>
        <v/>
      </c>
      <c r="W75" s="16" t="str">
        <f t="shared" si="62"/>
        <v/>
      </c>
      <c r="X75" s="16" t="str">
        <f t="shared" si="65"/>
        <v/>
      </c>
      <c r="Y75" s="16" t="str">
        <f t="shared" si="66"/>
        <v/>
      </c>
      <c r="Z75" s="16" t="str">
        <f t="shared" si="67"/>
        <v/>
      </c>
      <c r="AA75" s="16" t="str">
        <f t="shared" si="63"/>
        <v/>
      </c>
      <c r="AB75" s="16" t="str">
        <f t="shared" si="64"/>
        <v/>
      </c>
      <c r="AC75" s="29" t="str">
        <f t="shared" si="68"/>
        <v/>
      </c>
      <c r="AD75" s="29" t="str">
        <f t="shared" si="69"/>
        <v/>
      </c>
      <c r="AE75" s="2"/>
      <c r="AF75" s="2"/>
      <c r="AG75" s="2"/>
      <c r="AH75" s="2"/>
      <c r="AI75" s="2"/>
      <c r="AJ75" s="2"/>
      <c r="AK75" s="2"/>
      <c r="AL75" s="2"/>
      <c r="AM75" s="2"/>
      <c r="AN75" s="2"/>
      <c r="AO75" s="2"/>
      <c r="AP75" s="2"/>
      <c r="AQ75" s="2"/>
      <c r="AT75" s="2"/>
      <c r="AU75" s="199" t="s">
        <v>255</v>
      </c>
      <c r="AV75" s="236">
        <f>IF($B$64&gt;=1,$B75*1.355818,"")</f>
        <v>0</v>
      </c>
      <c r="AW75" s="237">
        <f>IF($B$64&gt;=2,$C75*1.355818,"")</f>
        <v>0</v>
      </c>
      <c r="AX75" s="236" t="str">
        <f>IF($B$64&gt;=3,$D75*1.355818,"")</f>
        <v/>
      </c>
      <c r="AY75" s="237" t="str">
        <f>IF($B$64&gt;=4,$E75*1.355818,"")</f>
        <v/>
      </c>
      <c r="AZ75" s="236" t="str">
        <f>IF($B$64&gt;=5,$F75*1.355818,"")</f>
        <v/>
      </c>
      <c r="BA75" s="237" t="str">
        <f>IF($B$64&gt;=6,$G75*1.355818,"")</f>
        <v/>
      </c>
      <c r="BB75" s="236" t="str">
        <f>IF($B$64&gt;=7,$H75*1.355818,"")</f>
        <v/>
      </c>
      <c r="BC75" s="238" t="str">
        <f>IF($B$64&gt;=8,$I75*1.355818,"")</f>
        <v/>
      </c>
      <c r="BD75" s="236" t="str">
        <f>IF($B$64&gt;=9,$J75*1.355818,"")</f>
        <v/>
      </c>
      <c r="BE75" s="237" t="str">
        <f>IF($B$64&gt;=10,$K75*1.355818,"")</f>
        <v/>
      </c>
      <c r="BF75" s="236" t="str">
        <f>IF($B$64&gt;=11,$L75*1.355818,"")</f>
        <v/>
      </c>
      <c r="BG75" s="237" t="str">
        <f>IF($B$64&gt;=12,$M75*1.355818,"")</f>
        <v/>
      </c>
      <c r="BH75" s="236" t="str">
        <f>IF($B$64&gt;=13,$N75*1.355818,"")</f>
        <v/>
      </c>
      <c r="BI75" s="237" t="str">
        <f>IF($B$64&gt;=14,$O75*1.355818,"")</f>
        <v/>
      </c>
      <c r="BJ75" s="236" t="str">
        <f>IF($B$64&gt;=15,$P75*1.355818,"")</f>
        <v/>
      </c>
      <c r="BK75" s="238" t="str">
        <f>IF($B$64&gt;=16,$Q75*1.355818,"")</f>
        <v/>
      </c>
    </row>
    <row r="76" spans="1:63" x14ac:dyDescent="0.25">
      <c r="A76" s="48"/>
      <c r="B76" s="54"/>
      <c r="C76" s="54"/>
      <c r="D76" s="54"/>
      <c r="E76" s="54"/>
      <c r="F76" s="54"/>
      <c r="G76" s="54"/>
      <c r="H76" s="54"/>
      <c r="I76" s="267"/>
      <c r="J76" s="2"/>
      <c r="K76" s="2"/>
      <c r="L76" s="2"/>
      <c r="M76" s="2"/>
      <c r="N76" s="2"/>
      <c r="O76" s="2"/>
      <c r="P76" s="2"/>
      <c r="Q76" s="2"/>
      <c r="R76" s="2"/>
      <c r="S76" s="259"/>
      <c r="T76" s="2"/>
      <c r="U76" s="264">
        <v>72</v>
      </c>
      <c r="V76" s="16" t="str">
        <f t="shared" si="61"/>
        <v/>
      </c>
      <c r="W76" s="16" t="str">
        <f t="shared" si="62"/>
        <v/>
      </c>
      <c r="X76" s="16" t="str">
        <f t="shared" si="65"/>
        <v/>
      </c>
      <c r="Y76" s="16" t="str">
        <f t="shared" si="66"/>
        <v/>
      </c>
      <c r="Z76" s="16" t="str">
        <f t="shared" si="67"/>
        <v/>
      </c>
      <c r="AA76" s="16" t="str">
        <f t="shared" si="63"/>
        <v/>
      </c>
      <c r="AB76" s="16" t="str">
        <f t="shared" si="64"/>
        <v/>
      </c>
      <c r="AC76" s="29" t="str">
        <f t="shared" si="68"/>
        <v/>
      </c>
      <c r="AD76" s="29" t="str">
        <f t="shared" si="69"/>
        <v/>
      </c>
      <c r="AE76" s="2"/>
      <c r="AF76" s="2"/>
      <c r="AG76" s="2"/>
      <c r="AH76" s="2"/>
      <c r="AI76" s="2"/>
      <c r="AJ76" s="2"/>
      <c r="AK76" s="2"/>
      <c r="AL76" s="2"/>
      <c r="AM76" s="2"/>
      <c r="AN76" s="2"/>
      <c r="AO76" s="2"/>
      <c r="AP76" s="2"/>
      <c r="AQ76" s="2"/>
      <c r="AT76" s="2"/>
      <c r="BA76" s="5"/>
      <c r="BB76" s="8"/>
      <c r="BC76" s="8"/>
      <c r="BD76" s="8"/>
      <c r="BE76" s="8"/>
      <c r="BF76" s="8"/>
      <c r="BG76" s="8"/>
      <c r="BH76" s="8"/>
      <c r="BI76" s="8"/>
      <c r="BJ76" s="8"/>
    </row>
    <row r="77" spans="1:63" x14ac:dyDescent="0.25">
      <c r="A77" s="48"/>
      <c r="B77" s="54"/>
      <c r="C77" s="54"/>
      <c r="D77" s="54"/>
      <c r="E77" s="54"/>
      <c r="F77" s="54"/>
      <c r="G77" s="54"/>
      <c r="H77" s="54"/>
      <c r="I77" s="54"/>
      <c r="J77" s="2"/>
      <c r="K77" s="2"/>
      <c r="L77" s="2"/>
      <c r="M77" s="2"/>
      <c r="N77" s="2"/>
      <c r="O77" s="2"/>
      <c r="P77" s="2"/>
      <c r="Q77" s="2"/>
      <c r="R77" s="2"/>
      <c r="S77" s="259"/>
      <c r="T77" s="2"/>
      <c r="U77" s="264">
        <v>73</v>
      </c>
      <c r="V77" s="16" t="str">
        <f t="shared" si="61"/>
        <v/>
      </c>
      <c r="W77" s="16" t="str">
        <f t="shared" si="62"/>
        <v/>
      </c>
      <c r="X77" s="16" t="str">
        <f t="shared" si="65"/>
        <v/>
      </c>
      <c r="Y77" s="16" t="str">
        <f t="shared" si="66"/>
        <v/>
      </c>
      <c r="Z77" s="16" t="str">
        <f t="shared" si="67"/>
        <v/>
      </c>
      <c r="AA77" s="16" t="str">
        <f t="shared" si="63"/>
        <v/>
      </c>
      <c r="AB77" s="16" t="str">
        <f t="shared" si="64"/>
        <v/>
      </c>
      <c r="AC77" s="29" t="str">
        <f t="shared" si="68"/>
        <v/>
      </c>
      <c r="AD77" s="29" t="str">
        <f t="shared" si="69"/>
        <v/>
      </c>
      <c r="AE77" s="2"/>
      <c r="AF77" s="2"/>
      <c r="AG77" s="2"/>
      <c r="AH77" s="2"/>
      <c r="AI77" s="2"/>
      <c r="AJ77" s="2"/>
      <c r="AK77" s="2"/>
      <c r="AL77" s="2"/>
      <c r="AM77" s="2"/>
      <c r="AN77" s="2"/>
      <c r="AO77" s="2"/>
      <c r="AP77" s="2"/>
      <c r="AQ77" s="2"/>
      <c r="AT77" s="2"/>
      <c r="BA77" s="8"/>
      <c r="BB77" s="8"/>
      <c r="BC77" s="8"/>
      <c r="BD77" s="8"/>
      <c r="BE77" s="8"/>
      <c r="BF77" s="8"/>
      <c r="BG77" s="8"/>
      <c r="BH77" s="8"/>
      <c r="BI77" s="8"/>
      <c r="BJ77" s="8"/>
    </row>
    <row r="78" spans="1:63" x14ac:dyDescent="0.25">
      <c r="A78" s="48"/>
      <c r="B78" s="54"/>
      <c r="C78" s="54"/>
      <c r="D78" s="54"/>
      <c r="E78" s="54"/>
      <c r="F78" s="54"/>
      <c r="G78" s="54"/>
      <c r="H78" s="54"/>
      <c r="I78" s="54"/>
      <c r="J78" s="2"/>
      <c r="K78" s="2"/>
      <c r="L78" s="2"/>
      <c r="M78" s="2"/>
      <c r="N78" s="2"/>
      <c r="O78" s="2"/>
      <c r="P78" s="2"/>
      <c r="Q78" s="2"/>
      <c r="R78" s="2"/>
      <c r="S78" s="259"/>
      <c r="T78" s="2"/>
      <c r="U78" s="264">
        <v>74</v>
      </c>
      <c r="V78" s="16" t="str">
        <f t="shared" si="61"/>
        <v/>
      </c>
      <c r="W78" s="16" t="str">
        <f t="shared" si="62"/>
        <v/>
      </c>
      <c r="X78" s="16" t="str">
        <f t="shared" si="65"/>
        <v/>
      </c>
      <c r="Y78" s="16" t="str">
        <f t="shared" si="66"/>
        <v/>
      </c>
      <c r="Z78" s="16" t="str">
        <f t="shared" si="67"/>
        <v/>
      </c>
      <c r="AA78" s="16" t="str">
        <f t="shared" si="63"/>
        <v/>
      </c>
      <c r="AB78" s="16" t="str">
        <f t="shared" si="64"/>
        <v/>
      </c>
      <c r="AC78" s="29" t="str">
        <f t="shared" si="68"/>
        <v/>
      </c>
      <c r="AD78" s="29" t="str">
        <f t="shared" si="69"/>
        <v/>
      </c>
      <c r="AE78" s="2"/>
      <c r="AF78" s="2"/>
      <c r="AG78" s="2"/>
      <c r="AH78" s="2"/>
      <c r="AI78" s="2"/>
      <c r="AJ78" s="2"/>
      <c r="AK78" s="2"/>
      <c r="AL78" s="2"/>
      <c r="AM78" s="2"/>
      <c r="AN78" s="2"/>
      <c r="AO78" s="2"/>
      <c r="AP78" s="2"/>
      <c r="AQ78" s="2"/>
      <c r="AT78" s="197" t="s">
        <v>181</v>
      </c>
      <c r="AU78" s="198"/>
      <c r="AV78" s="198"/>
      <c r="AW78" s="198"/>
      <c r="AX78" s="198"/>
      <c r="AY78" s="198"/>
      <c r="AZ78" s="92"/>
      <c r="BA78" s="92"/>
      <c r="BB78" s="92"/>
      <c r="BC78" s="92"/>
      <c r="BD78" s="92"/>
      <c r="BE78" s="92"/>
    </row>
    <row r="79" spans="1:63" x14ac:dyDescent="0.25">
      <c r="A79" s="131" t="s">
        <v>41</v>
      </c>
      <c r="B79" s="54"/>
      <c r="C79" s="54"/>
      <c r="D79" s="54"/>
      <c r="E79" s="54"/>
      <c r="F79" s="54"/>
      <c r="G79" s="54"/>
      <c r="H79" s="54"/>
      <c r="I79" s="54"/>
      <c r="J79" s="2"/>
      <c r="K79" s="2"/>
      <c r="L79" s="2"/>
      <c r="M79" s="2"/>
      <c r="N79" s="2"/>
      <c r="O79" s="2"/>
      <c r="P79" s="2"/>
      <c r="Q79" s="2"/>
      <c r="R79" s="2"/>
      <c r="S79" s="259"/>
      <c r="T79" s="2"/>
      <c r="U79" s="264">
        <v>75</v>
      </c>
      <c r="V79" s="16" t="str">
        <f t="shared" si="61"/>
        <v/>
      </c>
      <c r="W79" s="16" t="str">
        <f t="shared" si="62"/>
        <v/>
      </c>
      <c r="X79" s="16" t="str">
        <f t="shared" si="65"/>
        <v/>
      </c>
      <c r="Y79" s="16" t="str">
        <f t="shared" si="66"/>
        <v/>
      </c>
      <c r="Z79" s="16" t="str">
        <f t="shared" si="67"/>
        <v/>
      </c>
      <c r="AA79" s="16" t="str">
        <f t="shared" si="63"/>
        <v/>
      </c>
      <c r="AB79" s="16" t="str">
        <f t="shared" si="64"/>
        <v/>
      </c>
      <c r="AC79" s="29" t="str">
        <f t="shared" si="68"/>
        <v/>
      </c>
      <c r="AD79" s="29" t="str">
        <f t="shared" si="69"/>
        <v/>
      </c>
      <c r="AE79" s="2"/>
      <c r="AF79" s="2"/>
      <c r="AG79" s="2"/>
      <c r="AH79" s="2"/>
      <c r="AI79" s="2"/>
      <c r="AJ79" s="2"/>
      <c r="AK79" s="2"/>
      <c r="AL79" s="2"/>
      <c r="AM79" s="2"/>
      <c r="AN79" s="2"/>
      <c r="AO79" s="2"/>
      <c r="AP79" s="2"/>
      <c r="AQ79" s="2"/>
      <c r="AT79" s="201"/>
      <c r="AU79" s="201"/>
      <c r="AV79" s="201"/>
      <c r="AW79" s="201"/>
      <c r="AX79" s="201"/>
      <c r="AY79" s="201"/>
      <c r="AZ79" s="92"/>
      <c r="BA79" s="92"/>
      <c r="BB79" s="92"/>
      <c r="BC79" s="92"/>
      <c r="BD79" s="92"/>
      <c r="BE79" s="92"/>
    </row>
    <row r="80" spans="1:63" x14ac:dyDescent="0.25">
      <c r="A80" s="48"/>
      <c r="B80" s="54"/>
      <c r="C80" s="54"/>
      <c r="D80" s="54"/>
      <c r="E80" s="54"/>
      <c r="F80" s="54"/>
      <c r="G80" s="54"/>
      <c r="H80" s="54"/>
      <c r="I80" s="54"/>
      <c r="J80" s="2"/>
      <c r="K80" s="2"/>
      <c r="L80" s="2"/>
      <c r="M80" s="2"/>
      <c r="N80" s="2"/>
      <c r="O80" s="2"/>
      <c r="P80" s="2"/>
      <c r="Q80" s="2"/>
      <c r="R80" s="2"/>
      <c r="S80" s="259"/>
      <c r="T80" s="2"/>
      <c r="U80" s="264">
        <v>76</v>
      </c>
      <c r="V80" s="16" t="str">
        <f t="shared" si="61"/>
        <v/>
      </c>
      <c r="W80" s="16" t="str">
        <f t="shared" si="62"/>
        <v/>
      </c>
      <c r="X80" s="16" t="str">
        <f t="shared" si="65"/>
        <v/>
      </c>
      <c r="Y80" s="16" t="str">
        <f t="shared" si="66"/>
        <v/>
      </c>
      <c r="Z80" s="16" t="str">
        <f t="shared" si="67"/>
        <v/>
      </c>
      <c r="AA80" s="16" t="str">
        <f t="shared" si="63"/>
        <v/>
      </c>
      <c r="AB80" s="16" t="str">
        <f t="shared" si="64"/>
        <v/>
      </c>
      <c r="AC80" s="29" t="str">
        <f t="shared" si="68"/>
        <v/>
      </c>
      <c r="AD80" s="29" t="str">
        <f t="shared" si="69"/>
        <v/>
      </c>
      <c r="AE80" s="2"/>
      <c r="AF80" s="2"/>
      <c r="AG80" s="2"/>
      <c r="AH80" s="2"/>
      <c r="AI80" s="2"/>
      <c r="AJ80" s="2"/>
      <c r="AK80" s="2"/>
      <c r="AL80" s="2"/>
      <c r="AM80" s="2"/>
      <c r="AN80" s="2"/>
      <c r="AO80" s="2"/>
      <c r="AP80" s="2"/>
      <c r="AQ80" s="2"/>
      <c r="AT80" s="223" t="s">
        <v>236</v>
      </c>
      <c r="AU80" s="204"/>
      <c r="AV80" s="205"/>
      <c r="AW80" s="205"/>
      <c r="AX80" s="205"/>
      <c r="AY80" s="205"/>
      <c r="AZ80" s="92"/>
      <c r="BA80" s="92"/>
      <c r="BB80" s="92"/>
      <c r="BC80" s="92"/>
      <c r="BD80" s="92"/>
      <c r="BE80" s="92"/>
    </row>
    <row r="81" spans="1:64" x14ac:dyDescent="0.25">
      <c r="A81" s="102" t="s">
        <v>32</v>
      </c>
      <c r="B81" s="53"/>
      <c r="C81" s="53"/>
      <c r="D81" s="54"/>
      <c r="E81" s="69" t="s">
        <v>112</v>
      </c>
      <c r="F81" s="53"/>
      <c r="G81" s="53"/>
      <c r="H81" s="54"/>
      <c r="I81" s="54"/>
      <c r="J81" s="2"/>
      <c r="K81" s="2"/>
      <c r="L81" s="2"/>
      <c r="M81" s="2"/>
      <c r="N81" s="2"/>
      <c r="O81" s="2"/>
      <c r="P81" s="2"/>
      <c r="Q81" s="2"/>
      <c r="R81" s="2"/>
      <c r="S81" s="259"/>
      <c r="T81" s="2"/>
      <c r="U81" s="264">
        <v>77</v>
      </c>
      <c r="V81" s="16" t="str">
        <f t="shared" si="61"/>
        <v/>
      </c>
      <c r="W81" s="16" t="str">
        <f t="shared" si="62"/>
        <v/>
      </c>
      <c r="X81" s="16" t="str">
        <f t="shared" si="65"/>
        <v/>
      </c>
      <c r="Y81" s="16" t="str">
        <f t="shared" si="66"/>
        <v/>
      </c>
      <c r="Z81" s="16" t="str">
        <f t="shared" si="67"/>
        <v/>
      </c>
      <c r="AA81" s="16" t="str">
        <f t="shared" si="63"/>
        <v/>
      </c>
      <c r="AB81" s="16" t="str">
        <f t="shared" si="64"/>
        <v/>
      </c>
      <c r="AC81" s="29" t="str">
        <f t="shared" si="68"/>
        <v/>
      </c>
      <c r="AD81" s="29" t="str">
        <f t="shared" si="69"/>
        <v/>
      </c>
      <c r="AE81" s="2"/>
      <c r="AF81" s="2"/>
      <c r="AG81" s="2"/>
      <c r="AH81" s="2"/>
      <c r="AI81" s="2"/>
      <c r="AJ81" s="2"/>
      <c r="AK81" s="2"/>
      <c r="AL81" s="2"/>
      <c r="AM81" s="2"/>
      <c r="AN81" s="2"/>
      <c r="AO81" s="2"/>
      <c r="AP81" s="2"/>
      <c r="AQ81" s="2"/>
      <c r="AT81" s="241" t="s">
        <v>237</v>
      </c>
      <c r="AU81" s="204"/>
      <c r="AV81" s="202"/>
      <c r="AW81" s="202"/>
      <c r="AX81" s="202"/>
      <c r="AY81" s="202"/>
      <c r="AZ81" s="92"/>
      <c r="BA81" s="92"/>
      <c r="BB81" s="92"/>
      <c r="BC81" s="92"/>
      <c r="BD81" s="92"/>
      <c r="BE81" s="92"/>
    </row>
    <row r="82" spans="1:64" x14ac:dyDescent="0.25">
      <c r="A82" s="103" t="s">
        <v>5</v>
      </c>
      <c r="B82" s="149">
        <f t="shared" ref="B82:B88" si="70">$V309</f>
        <v>4.5</v>
      </c>
      <c r="C82" s="116" t="s">
        <v>42</v>
      </c>
      <c r="D82" s="54"/>
      <c r="E82" s="68" t="s">
        <v>35</v>
      </c>
      <c r="F82" s="143">
        <f t="shared" ref="F82:F87" si="71">$Z318</f>
        <v>-3000</v>
      </c>
      <c r="G82" s="117" t="s">
        <v>33</v>
      </c>
      <c r="H82" s="54"/>
      <c r="I82" s="54"/>
      <c r="J82" s="2"/>
      <c r="K82" s="2"/>
      <c r="L82" s="2"/>
      <c r="M82" s="2"/>
      <c r="N82" s="2"/>
      <c r="O82" s="2"/>
      <c r="P82" s="2"/>
      <c r="Q82" s="2"/>
      <c r="R82" s="2"/>
      <c r="S82" s="259"/>
      <c r="T82" s="2"/>
      <c r="U82" s="264">
        <v>78</v>
      </c>
      <c r="V82" s="16" t="str">
        <f t="shared" si="61"/>
        <v/>
      </c>
      <c r="W82" s="16" t="str">
        <f t="shared" si="62"/>
        <v/>
      </c>
      <c r="X82" s="16" t="str">
        <f t="shared" si="65"/>
        <v/>
      </c>
      <c r="Y82" s="16" t="str">
        <f t="shared" si="66"/>
        <v/>
      </c>
      <c r="Z82" s="16" t="str">
        <f t="shared" si="67"/>
        <v/>
      </c>
      <c r="AA82" s="16" t="str">
        <f t="shared" si="63"/>
        <v/>
      </c>
      <c r="AB82" s="16" t="str">
        <f t="shared" si="64"/>
        <v/>
      </c>
      <c r="AC82" s="29" t="str">
        <f t="shared" si="68"/>
        <v/>
      </c>
      <c r="AD82" s="29" t="str">
        <f t="shared" si="69"/>
        <v/>
      </c>
      <c r="AE82" s="2"/>
      <c r="AF82" s="2"/>
      <c r="AG82" s="2"/>
      <c r="AH82" s="2"/>
      <c r="AI82" s="2"/>
      <c r="AJ82" s="2"/>
      <c r="AK82" s="2"/>
      <c r="AL82" s="2"/>
      <c r="AM82" s="2"/>
      <c r="AN82" s="2"/>
      <c r="AO82" s="2"/>
      <c r="AP82" s="2"/>
      <c r="AQ82" s="2"/>
      <c r="AT82" s="200"/>
      <c r="AU82" s="200"/>
      <c r="AV82" s="200"/>
      <c r="AW82" s="200"/>
      <c r="AX82" s="200"/>
      <c r="AY82" s="200"/>
      <c r="AZ82" s="92"/>
      <c r="BA82" s="92"/>
      <c r="BB82" s="92"/>
      <c r="BC82" s="92"/>
      <c r="BD82" s="92"/>
      <c r="BE82" s="92"/>
    </row>
    <row r="83" spans="1:64" x14ac:dyDescent="0.25">
      <c r="A83" s="103" t="s">
        <v>6</v>
      </c>
      <c r="B83" s="150">
        <f t="shared" si="70"/>
        <v>13.5</v>
      </c>
      <c r="C83" s="116" t="s">
        <v>42</v>
      </c>
      <c r="D83" s="54"/>
      <c r="E83" s="68" t="s">
        <v>36</v>
      </c>
      <c r="F83" s="147">
        <f t="shared" si="71"/>
        <v>-40</v>
      </c>
      <c r="G83" s="117" t="s">
        <v>33</v>
      </c>
      <c r="H83" s="54"/>
      <c r="I83" s="54"/>
      <c r="J83" s="2"/>
      <c r="K83" s="2"/>
      <c r="L83" s="2"/>
      <c r="M83" s="2"/>
      <c r="N83" s="2"/>
      <c r="O83" s="2"/>
      <c r="P83" s="2"/>
      <c r="Q83" s="2"/>
      <c r="R83" s="2"/>
      <c r="S83" s="259"/>
      <c r="T83" s="2"/>
      <c r="U83" s="264">
        <v>79</v>
      </c>
      <c r="V83" s="16" t="str">
        <f t="shared" si="61"/>
        <v/>
      </c>
      <c r="W83" s="16" t="str">
        <f t="shared" si="62"/>
        <v/>
      </c>
      <c r="X83" s="16" t="str">
        <f t="shared" si="65"/>
        <v/>
      </c>
      <c r="Y83" s="16" t="str">
        <f t="shared" si="66"/>
        <v/>
      </c>
      <c r="Z83" s="16" t="str">
        <f t="shared" si="67"/>
        <v/>
      </c>
      <c r="AA83" s="16" t="str">
        <f t="shared" si="63"/>
        <v/>
      </c>
      <c r="AB83" s="16" t="str">
        <f t="shared" si="64"/>
        <v/>
      </c>
      <c r="AC83" s="29" t="str">
        <f t="shared" si="68"/>
        <v/>
      </c>
      <c r="AD83" s="29" t="str">
        <f t="shared" si="69"/>
        <v/>
      </c>
      <c r="AE83" s="2"/>
      <c r="AF83" s="2"/>
      <c r="AG83" s="2"/>
      <c r="AH83" s="2"/>
      <c r="AI83" s="2"/>
      <c r="AJ83" s="2"/>
      <c r="AK83" s="2"/>
      <c r="AL83" s="2"/>
      <c r="AM83" s="2"/>
      <c r="AN83" s="2"/>
      <c r="AO83" s="2"/>
      <c r="AP83" s="2"/>
      <c r="AQ83" s="2"/>
      <c r="AT83" s="223" t="s">
        <v>190</v>
      </c>
      <c r="AU83" s="200"/>
      <c r="AV83" s="200"/>
      <c r="AW83" s="200"/>
      <c r="AX83" s="200"/>
      <c r="AY83" s="200"/>
      <c r="AZ83" s="92"/>
      <c r="BA83" s="92"/>
      <c r="BB83" s="92"/>
      <c r="BC83" s="92"/>
      <c r="BD83" s="92"/>
      <c r="BE83" s="92"/>
    </row>
    <row r="84" spans="1:64" x14ac:dyDescent="0.25">
      <c r="A84" s="104" t="s">
        <v>92</v>
      </c>
      <c r="B84" s="151">
        <f t="shared" si="70"/>
        <v>2970.0000000000405</v>
      </c>
      <c r="C84" s="117" t="s">
        <v>261</v>
      </c>
      <c r="D84" s="54"/>
      <c r="E84" s="68" t="s">
        <v>37</v>
      </c>
      <c r="F84" s="147">
        <f t="shared" si="71"/>
        <v>-60</v>
      </c>
      <c r="G84" s="117" t="s">
        <v>33</v>
      </c>
      <c r="H84" s="54"/>
      <c r="I84" s="54"/>
      <c r="J84" s="2"/>
      <c r="K84" s="2"/>
      <c r="L84" s="2"/>
      <c r="M84" s="2"/>
      <c r="N84" s="2"/>
      <c r="O84" s="2"/>
      <c r="P84" s="2"/>
      <c r="Q84" s="2"/>
      <c r="R84" s="2"/>
      <c r="S84" s="259"/>
      <c r="T84" s="2"/>
      <c r="U84" s="264">
        <v>80</v>
      </c>
      <c r="V84" s="16" t="str">
        <f t="shared" si="61"/>
        <v/>
      </c>
      <c r="W84" s="16" t="str">
        <f t="shared" si="62"/>
        <v/>
      </c>
      <c r="X84" s="16" t="str">
        <f t="shared" si="65"/>
        <v/>
      </c>
      <c r="Y84" s="16" t="str">
        <f t="shared" si="66"/>
        <v/>
      </c>
      <c r="Z84" s="16" t="str">
        <f t="shared" si="67"/>
        <v/>
      </c>
      <c r="AA84" s="16" t="str">
        <f t="shared" si="63"/>
        <v/>
      </c>
      <c r="AB84" s="16" t="str">
        <f t="shared" si="64"/>
        <v/>
      </c>
      <c r="AC84" s="29" t="str">
        <f t="shared" si="68"/>
        <v/>
      </c>
      <c r="AD84" s="29" t="str">
        <f t="shared" si="69"/>
        <v/>
      </c>
      <c r="AE84" s="2"/>
      <c r="AF84" s="2"/>
      <c r="AG84" s="2"/>
      <c r="AH84" s="2"/>
      <c r="AI84" s="2"/>
      <c r="AJ84" s="2"/>
      <c r="AK84" s="2"/>
      <c r="AL84" s="2"/>
      <c r="AM84" s="2"/>
      <c r="AN84" s="2"/>
      <c r="AO84" s="2"/>
      <c r="AP84" s="2"/>
      <c r="AQ84" s="2"/>
      <c r="AT84" s="202"/>
      <c r="AU84" s="206"/>
      <c r="AV84" s="199" t="s">
        <v>182</v>
      </c>
      <c r="AW84" s="207">
        <v>8</v>
      </c>
      <c r="AX84" s="200"/>
      <c r="AY84" s="268" t="s">
        <v>252</v>
      </c>
      <c r="AZ84" s="224" t="s">
        <v>328</v>
      </c>
      <c r="BA84" s="202"/>
      <c r="BB84" s="202"/>
      <c r="BC84" s="92"/>
      <c r="BD84" s="92"/>
      <c r="BE84" s="92"/>
    </row>
    <row r="85" spans="1:64" x14ac:dyDescent="0.25">
      <c r="A85" s="104" t="s">
        <v>93</v>
      </c>
      <c r="B85" s="151">
        <f t="shared" si="70"/>
        <v>450.00000000003985</v>
      </c>
      <c r="C85" s="117" t="s">
        <v>261</v>
      </c>
      <c r="D85" s="54"/>
      <c r="E85" s="68" t="s">
        <v>38</v>
      </c>
      <c r="F85" s="147">
        <f t="shared" si="71"/>
        <v>500</v>
      </c>
      <c r="G85" s="117" t="s">
        <v>34</v>
      </c>
      <c r="H85" s="54"/>
      <c r="I85" s="54"/>
      <c r="J85" s="2"/>
      <c r="K85" s="2"/>
      <c r="L85" s="2"/>
      <c r="M85" s="2"/>
      <c r="N85" s="2"/>
      <c r="O85" s="2"/>
      <c r="P85" s="2"/>
      <c r="Q85" s="2"/>
      <c r="R85" s="2"/>
      <c r="S85" s="259"/>
      <c r="T85" s="2"/>
      <c r="U85" s="264">
        <v>81</v>
      </c>
      <c r="V85" s="16" t="str">
        <f t="shared" si="61"/>
        <v/>
      </c>
      <c r="W85" s="16" t="str">
        <f t="shared" si="62"/>
        <v/>
      </c>
      <c r="X85" s="16" t="str">
        <f t="shared" si="65"/>
        <v/>
      </c>
      <c r="Y85" s="16" t="str">
        <f t="shared" si="66"/>
        <v/>
      </c>
      <c r="Z85" s="16" t="str">
        <f t="shared" si="67"/>
        <v/>
      </c>
      <c r="AA85" s="16" t="str">
        <f t="shared" si="63"/>
        <v/>
      </c>
      <c r="AB85" s="16" t="str">
        <f t="shared" si="64"/>
        <v/>
      </c>
      <c r="AC85" s="29" t="str">
        <f t="shared" si="68"/>
        <v/>
      </c>
      <c r="AD85" s="29" t="str">
        <f t="shared" si="69"/>
        <v/>
      </c>
      <c r="AE85" s="2"/>
      <c r="AF85" s="2"/>
      <c r="AG85" s="2"/>
      <c r="AH85" s="2"/>
      <c r="AI85" s="2"/>
      <c r="AJ85" s="2"/>
      <c r="AK85" s="2"/>
      <c r="AL85" s="2"/>
      <c r="AM85" s="2"/>
      <c r="AN85" s="2"/>
      <c r="AO85" s="2"/>
      <c r="AP85" s="2"/>
      <c r="AQ85" s="2"/>
      <c r="AT85" s="202"/>
      <c r="AU85" s="200"/>
      <c r="AV85" s="208" t="s">
        <v>183</v>
      </c>
      <c r="AW85" s="209">
        <v>24</v>
      </c>
      <c r="AX85" s="210" t="s">
        <v>42</v>
      </c>
      <c r="AY85" s="269"/>
      <c r="AZ85" s="224" t="s">
        <v>327</v>
      </c>
      <c r="BA85" s="202"/>
      <c r="BB85" s="202"/>
      <c r="BC85" s="92"/>
      <c r="BD85" s="92"/>
      <c r="BE85" s="92"/>
    </row>
    <row r="86" spans="1:64" x14ac:dyDescent="0.25">
      <c r="A86" s="104" t="s">
        <v>22</v>
      </c>
      <c r="B86" s="151">
        <f t="shared" si="70"/>
        <v>3420.0000000000805</v>
      </c>
      <c r="C86" s="117" t="s">
        <v>261</v>
      </c>
      <c r="D86" s="54"/>
      <c r="E86" s="68" t="s">
        <v>39</v>
      </c>
      <c r="F86" s="147">
        <f t="shared" si="71"/>
        <v>-500</v>
      </c>
      <c r="G86" s="117" t="s">
        <v>34</v>
      </c>
      <c r="H86" s="54"/>
      <c r="I86" s="54"/>
      <c r="J86" s="2"/>
      <c r="K86" s="2"/>
      <c r="L86" s="2"/>
      <c r="M86" s="2"/>
      <c r="N86" s="2"/>
      <c r="O86" s="2"/>
      <c r="P86" s="2"/>
      <c r="Q86" s="2"/>
      <c r="R86" s="2"/>
      <c r="S86" s="259"/>
      <c r="T86" s="2"/>
      <c r="U86" s="264">
        <v>82</v>
      </c>
      <c r="V86" s="16" t="str">
        <f t="shared" si="61"/>
        <v/>
      </c>
      <c r="W86" s="16" t="str">
        <f t="shared" si="62"/>
        <v/>
      </c>
      <c r="X86" s="16" t="str">
        <f t="shared" si="65"/>
        <v/>
      </c>
      <c r="Y86" s="16" t="str">
        <f t="shared" si="66"/>
        <v/>
      </c>
      <c r="Z86" s="16" t="str">
        <f t="shared" si="67"/>
        <v/>
      </c>
      <c r="AA86" s="16" t="str">
        <f t="shared" si="63"/>
        <v/>
      </c>
      <c r="AB86" s="16" t="str">
        <f t="shared" si="64"/>
        <v/>
      </c>
      <c r="AC86" s="29" t="str">
        <f t="shared" si="68"/>
        <v/>
      </c>
      <c r="AD86" s="29" t="str">
        <f t="shared" si="69"/>
        <v/>
      </c>
      <c r="AE86" s="2"/>
      <c r="AF86" s="2"/>
      <c r="AG86" s="2"/>
      <c r="AH86" s="2"/>
      <c r="AI86" s="2"/>
      <c r="AJ86" s="2"/>
      <c r="AK86" s="2"/>
      <c r="AL86" s="2"/>
      <c r="AM86" s="2"/>
      <c r="AN86" s="2"/>
      <c r="AO86" s="2"/>
      <c r="AP86" s="2"/>
      <c r="AQ86" s="2"/>
      <c r="AT86" s="200"/>
      <c r="AU86" s="200"/>
      <c r="AV86" s="208" t="s">
        <v>175</v>
      </c>
      <c r="AW86" s="209">
        <v>12</v>
      </c>
      <c r="AX86" s="210" t="s">
        <v>42</v>
      </c>
      <c r="AY86" s="270" t="s">
        <v>240</v>
      </c>
      <c r="AZ86" s="224" t="s">
        <v>251</v>
      </c>
      <c r="BA86" s="202"/>
      <c r="BB86" s="202"/>
      <c r="BC86" s="92"/>
      <c r="BD86" s="92"/>
      <c r="BE86" s="92"/>
    </row>
    <row r="87" spans="1:64" x14ac:dyDescent="0.25">
      <c r="A87" s="104" t="s">
        <v>94</v>
      </c>
      <c r="B87" s="151">
        <f t="shared" si="70"/>
        <v>0</v>
      </c>
      <c r="C87" s="117" t="s">
        <v>261</v>
      </c>
      <c r="D87" s="54"/>
      <c r="E87" s="68" t="s">
        <v>40</v>
      </c>
      <c r="F87" s="154">
        <f t="shared" si="71"/>
        <v>0</v>
      </c>
      <c r="G87" s="117" t="s">
        <v>34</v>
      </c>
      <c r="H87" s="54"/>
      <c r="I87" s="54"/>
      <c r="J87" s="2"/>
      <c r="K87" s="2"/>
      <c r="L87" s="2"/>
      <c r="M87" s="2"/>
      <c r="N87" s="2"/>
      <c r="O87" s="2"/>
      <c r="P87" s="2"/>
      <c r="Q87" s="2"/>
      <c r="R87" s="2"/>
      <c r="S87" s="259"/>
      <c r="T87" s="2"/>
      <c r="U87" s="264">
        <v>83</v>
      </c>
      <c r="V87" s="16" t="str">
        <f t="shared" ref="V87:V104" si="72">IF($C$9&gt;=$U87,$F45+0.000001-$V$310,"")</f>
        <v/>
      </c>
      <c r="W87" s="16" t="str">
        <f t="shared" ref="W87:W104" si="73">IF($C$9&gt;=$U87,$E45+0.000001-$V$309,"")</f>
        <v/>
      </c>
      <c r="X87" s="16" t="str">
        <f t="shared" si="65"/>
        <v/>
      </c>
      <c r="Y87" s="16" t="str">
        <f t="shared" si="66"/>
        <v/>
      </c>
      <c r="Z87" s="16" t="str">
        <f t="shared" si="67"/>
        <v/>
      </c>
      <c r="AA87" s="16" t="str">
        <f t="shared" ref="AA87:AA104" si="74">IF($C$9&gt;=$U87,$E45-$V$309,"")</f>
        <v/>
      </c>
      <c r="AB87" s="16" t="str">
        <f t="shared" ref="AB87:AB104" si="75">IF($C$9&gt;=$U87,$F45-$V$310,"")</f>
        <v/>
      </c>
      <c r="AC87" s="29" t="str">
        <f t="shared" si="68"/>
        <v/>
      </c>
      <c r="AD87" s="29" t="str">
        <f t="shared" si="69"/>
        <v/>
      </c>
      <c r="AE87" s="2"/>
      <c r="AF87" s="2"/>
      <c r="AG87" s="2"/>
      <c r="AH87" s="2"/>
      <c r="AI87" s="2"/>
      <c r="AJ87" s="2"/>
      <c r="AK87" s="2"/>
      <c r="AL87" s="2"/>
      <c r="AM87" s="2"/>
      <c r="AN87" s="2"/>
      <c r="AO87" s="2"/>
      <c r="AP87" s="2"/>
      <c r="AQ87" s="2"/>
      <c r="AT87" s="200"/>
      <c r="AU87" s="200"/>
      <c r="AV87" s="208" t="s">
        <v>176</v>
      </c>
      <c r="AW87" s="209">
        <v>12</v>
      </c>
      <c r="AX87" s="210" t="s">
        <v>42</v>
      </c>
      <c r="AY87" s="270" t="s">
        <v>241</v>
      </c>
      <c r="AZ87" s="224" t="s">
        <v>242</v>
      </c>
      <c r="BA87" s="200"/>
      <c r="BB87" s="200"/>
      <c r="BC87" s="92"/>
      <c r="BD87" s="92"/>
      <c r="BE87" s="92"/>
    </row>
    <row r="88" spans="1:64" x14ac:dyDescent="0.25">
      <c r="A88" s="105" t="s">
        <v>43</v>
      </c>
      <c r="B88" s="156">
        <f t="shared" si="70"/>
        <v>0</v>
      </c>
      <c r="C88" s="117" t="s">
        <v>44</v>
      </c>
      <c r="D88" s="54"/>
      <c r="E88" s="54"/>
      <c r="F88" s="54"/>
      <c r="G88" s="54"/>
      <c r="H88" s="54"/>
      <c r="I88" s="54"/>
      <c r="J88" s="2"/>
      <c r="K88" s="2"/>
      <c r="L88" s="2"/>
      <c r="M88" s="2"/>
      <c r="N88" s="2"/>
      <c r="O88" s="2"/>
      <c r="P88" s="2"/>
      <c r="Q88" s="2"/>
      <c r="R88" s="2"/>
      <c r="S88" s="259"/>
      <c r="T88" s="2"/>
      <c r="U88" s="264">
        <v>84</v>
      </c>
      <c r="V88" s="16" t="str">
        <f t="shared" si="72"/>
        <v/>
      </c>
      <c r="W88" s="16" t="str">
        <f t="shared" si="73"/>
        <v/>
      </c>
      <c r="X88" s="16" t="str">
        <f t="shared" si="65"/>
        <v/>
      </c>
      <c r="Y88" s="16" t="str">
        <f t="shared" si="66"/>
        <v/>
      </c>
      <c r="Z88" s="16" t="str">
        <f t="shared" si="67"/>
        <v/>
      </c>
      <c r="AA88" s="16" t="str">
        <f t="shared" si="74"/>
        <v/>
      </c>
      <c r="AB88" s="16" t="str">
        <f t="shared" si="75"/>
        <v/>
      </c>
      <c r="AC88" s="29" t="str">
        <f t="shared" si="68"/>
        <v/>
      </c>
      <c r="AD88" s="29" t="str">
        <f t="shared" si="69"/>
        <v/>
      </c>
      <c r="AE88" s="2"/>
      <c r="AF88" s="2"/>
      <c r="AG88" s="2"/>
      <c r="AH88" s="2"/>
      <c r="AI88" s="2"/>
      <c r="AJ88" s="2"/>
      <c r="AK88" s="2"/>
      <c r="AL88" s="2"/>
      <c r="AM88" s="2"/>
      <c r="AN88" s="2"/>
      <c r="AO88" s="2"/>
      <c r="AP88" s="2"/>
      <c r="AQ88" s="2"/>
      <c r="AT88" s="200"/>
      <c r="AU88" s="200"/>
      <c r="AV88" s="211" t="s">
        <v>184</v>
      </c>
      <c r="AW88" s="212">
        <v>0</v>
      </c>
      <c r="AX88" s="210" t="s">
        <v>44</v>
      </c>
      <c r="AY88" s="269"/>
      <c r="AZ88" s="200"/>
      <c r="BA88" s="200"/>
      <c r="BB88" s="200"/>
      <c r="BC88" s="92"/>
      <c r="BD88" s="92"/>
      <c r="BE88" s="92"/>
    </row>
    <row r="89" spans="1:64" x14ac:dyDescent="0.25">
      <c r="A89" s="48"/>
      <c r="B89" s="54"/>
      <c r="C89" s="54"/>
      <c r="D89" s="54"/>
      <c r="E89" s="54"/>
      <c r="F89" s="54"/>
      <c r="G89" s="54"/>
      <c r="H89" s="54"/>
      <c r="I89" s="54"/>
      <c r="J89" s="2"/>
      <c r="K89" s="2"/>
      <c r="L89" s="2"/>
      <c r="M89" s="2"/>
      <c r="N89" s="2"/>
      <c r="O89" s="2"/>
      <c r="P89" s="2"/>
      <c r="Q89" s="2"/>
      <c r="R89" s="2"/>
      <c r="S89" s="259"/>
      <c r="T89" s="2"/>
      <c r="U89" s="264">
        <v>85</v>
      </c>
      <c r="V89" s="16" t="str">
        <f t="shared" si="72"/>
        <v/>
      </c>
      <c r="W89" s="16" t="str">
        <f t="shared" si="73"/>
        <v/>
      </c>
      <c r="X89" s="16" t="str">
        <f t="shared" si="65"/>
        <v/>
      </c>
      <c r="Y89" s="16" t="str">
        <f t="shared" si="66"/>
        <v/>
      </c>
      <c r="Z89" s="16" t="str">
        <f t="shared" si="67"/>
        <v/>
      </c>
      <c r="AA89" s="16" t="str">
        <f t="shared" si="74"/>
        <v/>
      </c>
      <c r="AB89" s="16" t="str">
        <f t="shared" si="75"/>
        <v/>
      </c>
      <c r="AC89" s="29" t="str">
        <f t="shared" si="68"/>
        <v/>
      </c>
      <c r="AD89" s="29" t="str">
        <f t="shared" si="69"/>
        <v/>
      </c>
      <c r="AE89" s="2"/>
      <c r="AF89" s="2"/>
      <c r="AG89" s="2"/>
      <c r="AH89" s="2"/>
      <c r="AI89" s="2"/>
      <c r="AJ89" s="2"/>
      <c r="AK89" s="2"/>
      <c r="AL89" s="2"/>
      <c r="AM89" s="2"/>
      <c r="AN89" s="2"/>
      <c r="AO89" s="2"/>
      <c r="AP89" s="2"/>
      <c r="AQ89" s="2"/>
      <c r="AT89" s="200"/>
      <c r="AU89" s="200"/>
      <c r="AV89" s="200"/>
      <c r="AW89" s="200"/>
      <c r="AX89" s="200"/>
      <c r="AY89" s="200"/>
      <c r="AZ89" s="92"/>
      <c r="BA89" s="92"/>
      <c r="BB89" s="92"/>
      <c r="BC89" s="92"/>
      <c r="BD89" s="92"/>
      <c r="BE89" s="92"/>
    </row>
    <row r="90" spans="1:64" x14ac:dyDescent="0.25">
      <c r="A90" s="271" t="s">
        <v>99</v>
      </c>
      <c r="B90" s="70"/>
      <c r="C90" s="70"/>
      <c r="D90" s="54"/>
      <c r="E90" s="54"/>
      <c r="F90" s="54"/>
      <c r="G90" s="54"/>
      <c r="H90" s="54"/>
      <c r="I90" s="54"/>
      <c r="J90" s="2"/>
      <c r="K90" s="2"/>
      <c r="L90" s="2"/>
      <c r="M90" s="2"/>
      <c r="N90" s="2"/>
      <c r="O90" s="2"/>
      <c r="P90" s="2"/>
      <c r="Q90" s="2"/>
      <c r="R90" s="2"/>
      <c r="S90" s="259"/>
      <c r="T90" s="2"/>
      <c r="U90" s="264">
        <v>86</v>
      </c>
      <c r="V90" s="16" t="str">
        <f t="shared" si="72"/>
        <v/>
      </c>
      <c r="W90" s="16" t="str">
        <f t="shared" si="73"/>
        <v/>
      </c>
      <c r="X90" s="16" t="str">
        <f t="shared" si="65"/>
        <v/>
      </c>
      <c r="Y90" s="16" t="str">
        <f t="shared" si="66"/>
        <v/>
      </c>
      <c r="Z90" s="16" t="str">
        <f t="shared" si="67"/>
        <v/>
      </c>
      <c r="AA90" s="16" t="str">
        <f t="shared" si="74"/>
        <v/>
      </c>
      <c r="AB90" s="16" t="str">
        <f t="shared" si="75"/>
        <v/>
      </c>
      <c r="AC90" s="29" t="str">
        <f t="shared" si="68"/>
        <v/>
      </c>
      <c r="AD90" s="29" t="str">
        <f t="shared" si="69"/>
        <v/>
      </c>
      <c r="AE90" s="2"/>
      <c r="AF90" s="2"/>
      <c r="AG90" s="2"/>
      <c r="AH90" s="2"/>
      <c r="AI90" s="2"/>
      <c r="AJ90" s="2"/>
      <c r="AK90" s="2"/>
      <c r="AL90" s="2"/>
      <c r="AM90" s="2"/>
      <c r="AN90" s="2"/>
      <c r="AO90" s="2"/>
      <c r="AP90" s="2"/>
      <c r="AQ90" s="2"/>
      <c r="AT90" s="196"/>
      <c r="AU90" s="201"/>
      <c r="AV90" s="213" t="s">
        <v>53</v>
      </c>
      <c r="AW90" s="214"/>
      <c r="AX90" s="226"/>
    </row>
    <row r="91" spans="1:64" x14ac:dyDescent="0.25">
      <c r="A91" s="45" t="s">
        <v>100</v>
      </c>
      <c r="B91" s="143">
        <f>MAX($AC$5:$AC$304)</f>
        <v>82.272727272726797</v>
      </c>
      <c r="C91" s="116" t="s">
        <v>33</v>
      </c>
      <c r="D91" s="54"/>
      <c r="E91" s="54"/>
      <c r="F91" s="54"/>
      <c r="G91" s="54"/>
      <c r="H91" s="54"/>
      <c r="I91" s="54"/>
      <c r="J91" s="2"/>
      <c r="K91" s="2"/>
      <c r="L91" s="2"/>
      <c r="M91" s="2"/>
      <c r="N91" s="2"/>
      <c r="O91" s="2"/>
      <c r="P91" s="2"/>
      <c r="Q91" s="2"/>
      <c r="R91" s="2"/>
      <c r="S91" s="259"/>
      <c r="T91" s="2"/>
      <c r="U91" s="264">
        <v>87</v>
      </c>
      <c r="V91" s="16" t="str">
        <f t="shared" si="72"/>
        <v/>
      </c>
      <c r="W91" s="16" t="str">
        <f t="shared" si="73"/>
        <v/>
      </c>
      <c r="X91" s="16" t="str">
        <f t="shared" si="65"/>
        <v/>
      </c>
      <c r="Y91" s="16" t="str">
        <f t="shared" si="66"/>
        <v/>
      </c>
      <c r="Z91" s="16" t="str">
        <f t="shared" si="67"/>
        <v/>
      </c>
      <c r="AA91" s="16" t="str">
        <f t="shared" si="74"/>
        <v/>
      </c>
      <c r="AB91" s="16" t="str">
        <f t="shared" si="75"/>
        <v/>
      </c>
      <c r="AC91" s="29" t="str">
        <f t="shared" si="68"/>
        <v/>
      </c>
      <c r="AD91" s="29" t="str">
        <f t="shared" si="69"/>
        <v/>
      </c>
      <c r="AE91" s="2"/>
      <c r="AF91" s="2"/>
      <c r="AG91" s="2"/>
      <c r="AH91" s="2"/>
      <c r="AI91" s="2"/>
      <c r="AJ91" s="2"/>
      <c r="AK91" s="2"/>
      <c r="AL91" s="2"/>
      <c r="AM91" s="2"/>
      <c r="AN91" s="2"/>
      <c r="AO91" s="2"/>
      <c r="AP91" s="2"/>
      <c r="AQ91" s="2"/>
      <c r="AT91" s="196"/>
      <c r="AU91" s="201"/>
      <c r="AV91" s="195" t="s">
        <v>185</v>
      </c>
      <c r="AW91" s="195" t="s">
        <v>186</v>
      </c>
      <c r="AX91" s="202"/>
      <c r="AY91" s="195" t="s">
        <v>185</v>
      </c>
      <c r="AZ91" s="195" t="s">
        <v>186</v>
      </c>
      <c r="BB91" s="195" t="s">
        <v>185</v>
      </c>
      <c r="BC91" s="195" t="s">
        <v>186</v>
      </c>
      <c r="BE91" s="195" t="s">
        <v>185</v>
      </c>
      <c r="BF91" s="195" t="s">
        <v>186</v>
      </c>
      <c r="BH91" s="195" t="s">
        <v>185</v>
      </c>
      <c r="BI91" s="195" t="s">
        <v>186</v>
      </c>
      <c r="BK91" s="195" t="s">
        <v>185</v>
      </c>
      <c r="BL91" s="195" t="s">
        <v>186</v>
      </c>
    </row>
    <row r="92" spans="1:64" x14ac:dyDescent="0.25">
      <c r="A92" s="45" t="s">
        <v>101</v>
      </c>
      <c r="B92" s="147">
        <f>MIN($AC$5:$AC$304)</f>
        <v>67.727272727273203</v>
      </c>
      <c r="C92" s="116" t="s">
        <v>33</v>
      </c>
      <c r="D92" s="54"/>
      <c r="E92" s="54"/>
      <c r="F92" s="54"/>
      <c r="G92" s="54"/>
      <c r="H92" s="54"/>
      <c r="I92" s="54"/>
      <c r="J92" s="2"/>
      <c r="K92" s="2"/>
      <c r="L92" s="2"/>
      <c r="M92" s="2"/>
      <c r="N92" s="2"/>
      <c r="O92" s="2"/>
      <c r="P92" s="2"/>
      <c r="Q92" s="2"/>
      <c r="R92" s="2"/>
      <c r="S92" s="259"/>
      <c r="T92" s="2"/>
      <c r="U92" s="264">
        <v>88</v>
      </c>
      <c r="V92" s="16" t="str">
        <f t="shared" si="72"/>
        <v/>
      </c>
      <c r="W92" s="16" t="str">
        <f t="shared" si="73"/>
        <v/>
      </c>
      <c r="X92" s="16" t="str">
        <f t="shared" si="65"/>
        <v/>
      </c>
      <c r="Y92" s="16" t="str">
        <f t="shared" si="66"/>
        <v/>
      </c>
      <c r="Z92" s="16" t="str">
        <f t="shared" si="67"/>
        <v/>
      </c>
      <c r="AA92" s="16" t="str">
        <f t="shared" si="74"/>
        <v/>
      </c>
      <c r="AB92" s="16" t="str">
        <f t="shared" si="75"/>
        <v/>
      </c>
      <c r="AC92" s="29" t="str">
        <f t="shared" si="68"/>
        <v/>
      </c>
      <c r="AD92" s="29" t="str">
        <f t="shared" si="69"/>
        <v/>
      </c>
      <c r="AE92" s="2"/>
      <c r="AF92" s="2"/>
      <c r="AG92" s="2"/>
      <c r="AH92" s="2"/>
      <c r="AI92" s="2"/>
      <c r="AJ92" s="2"/>
      <c r="AK92" s="2"/>
      <c r="AL92" s="2"/>
      <c r="AM92" s="2"/>
      <c r="AN92" s="2"/>
      <c r="AO92" s="2"/>
      <c r="AP92" s="2"/>
      <c r="AQ92" s="2"/>
      <c r="AT92" s="208"/>
      <c r="AU92" s="215">
        <f t="shared" ref="AU92:AU123" si="76">IF($AW$84&gt;=$U5,$U5,"")</f>
        <v>1</v>
      </c>
      <c r="AV92" s="216">
        <f t="shared" ref="AV92:AV123" si="77">IF($AU92&lt;&gt;"",$AW$86+($AW$85)*COS( PI()/180*($AW$88+($AU92-1)*360/$AW$84))/2,"")</f>
        <v>24</v>
      </c>
      <c r="AW92" s="216">
        <f t="shared" ref="AW92:AW123" si="78">IF($AU92&lt;&gt;"",$AW$87+($AW$85)*SIN( PI()/180*($AW$88+($AU92-1)*360/$AW$84))/2,"")</f>
        <v>12</v>
      </c>
      <c r="AX92" s="215" t="str">
        <f t="shared" ref="AX92:AX123" si="79">IF($AW$84&gt;=$U55,$U55,"")</f>
        <v/>
      </c>
      <c r="AY92" s="216" t="str">
        <f t="shared" ref="AY92:AY123" si="80">IF($AX92&lt;&gt;"",$AW$86+($AW$85)*COS( PI()/180*($AW$88+($AX92-1)*360/$AW$84))/2,"")</f>
        <v/>
      </c>
      <c r="AZ92" s="228" t="str">
        <f t="shared" ref="AZ92:AZ123" si="81">IF($AX92&lt;&gt;"",$AW$87+($AW$85)*SIN( PI()/180*($AW$88+($AX92-1)*360/$AW$84))/2,"")</f>
        <v/>
      </c>
      <c r="BA92" s="215" t="str">
        <f t="shared" ref="BA92:BA123" si="82">IF($AW$84&gt;=$U105,$U105,"")</f>
        <v/>
      </c>
      <c r="BB92" s="216" t="str">
        <f t="shared" ref="BB92:BB123" si="83">IF($BA92&lt;&gt;"",$AW$86+($AW$85)*COS( PI()/180*($AW$88+($BA92-1)*360/$AW$84))/2,"")</f>
        <v/>
      </c>
      <c r="BC92" s="228" t="str">
        <f t="shared" ref="BC92:BC123" si="84">IF($BA92&lt;&gt;"",$AW$87+($AW$85)*SIN( PI()/180*($AW$88+($BA92-1)*360/$AW$84))/2,"")</f>
        <v/>
      </c>
      <c r="BD92" s="215" t="str">
        <f t="shared" ref="BD92:BD123" si="85">IF($AW$84&gt;=$U155,$U155,"")</f>
        <v/>
      </c>
      <c r="BE92" s="216" t="str">
        <f t="shared" ref="BE92:BE123" si="86">IF($BD92&lt;&gt;"",$AW$86+($AW$85)*COS( PI()/180*($AW$88+($BD92-1)*360/$AW$84))/2,"")</f>
        <v/>
      </c>
      <c r="BF92" s="228" t="str">
        <f t="shared" ref="BF92:BF123" si="87">IF($BD92&lt;&gt;"",$AW$87+($AW$85)*SIN( PI()/180*($AW$88+($BD92-1)*360/$AW$84))/2,"")</f>
        <v/>
      </c>
      <c r="BG92" s="215" t="str">
        <f t="shared" ref="BG92:BG123" si="88">IF($AW$84&gt;=$U205,$U205,"")</f>
        <v/>
      </c>
      <c r="BH92" s="216" t="str">
        <f t="shared" ref="BH92:BH123" si="89">IF($BG92&lt;&gt;"",$AW$86+($AW$85)*COS( PI()/180*($AW$88+($BG92-1)*360/$AW$84))/2,"")</f>
        <v/>
      </c>
      <c r="BI92" s="228" t="str">
        <f t="shared" ref="BI92:BI123" si="90">IF($BG92&lt;&gt;"",$AW$87+($AW$85)*SIN( PI()/180*($AW$88+($BG92-1)*360/$AW$84))/2,"")</f>
        <v/>
      </c>
      <c r="BJ92" s="215" t="str">
        <f t="shared" ref="BJ92:BJ123" si="91">IF($AW$84&gt;=$U255,$U255,"")</f>
        <v/>
      </c>
      <c r="BK92" s="216" t="str">
        <f t="shared" ref="BK92:BK123" si="92">IF($BJ92&lt;&gt;"",$AW$86+($AW$85)*COS( PI()/180*($AW$88+($BJ92-1)*360/$AW$84))/2,"")</f>
        <v/>
      </c>
      <c r="BL92" s="228" t="str">
        <f t="shared" ref="BL92:BL123" si="93">IF($BJ92&lt;&gt;"",$AW$87+($AW$85)*SIN( PI()/180*($AW$88+($BJ92-1)*360/$AW$84))/2,"")</f>
        <v/>
      </c>
    </row>
    <row r="93" spans="1:64" x14ac:dyDescent="0.25">
      <c r="A93" s="272" t="s">
        <v>102</v>
      </c>
      <c r="B93" s="154">
        <f>MAX($AD$5:$AD$304)</f>
        <v>1.8027756377319946</v>
      </c>
      <c r="C93" s="116" t="s">
        <v>33</v>
      </c>
      <c r="D93" s="54"/>
      <c r="E93" s="54"/>
      <c r="F93" s="54"/>
      <c r="G93" s="54"/>
      <c r="H93" s="54"/>
      <c r="I93" s="54"/>
      <c r="J93" s="2"/>
      <c r="K93" s="2"/>
      <c r="L93" s="2"/>
      <c r="M93" s="2"/>
      <c r="N93" s="2"/>
      <c r="O93" s="2"/>
      <c r="P93" s="2"/>
      <c r="Q93" s="2"/>
      <c r="R93" s="2"/>
      <c r="S93" s="259"/>
      <c r="T93" s="2"/>
      <c r="U93" s="264">
        <v>89</v>
      </c>
      <c r="V93" s="16" t="str">
        <f t="shared" si="72"/>
        <v/>
      </c>
      <c r="W93" s="16" t="str">
        <f t="shared" si="73"/>
        <v/>
      </c>
      <c r="X93" s="16" t="str">
        <f t="shared" si="65"/>
        <v/>
      </c>
      <c r="Y93" s="16" t="str">
        <f t="shared" si="66"/>
        <v/>
      </c>
      <c r="Z93" s="16" t="str">
        <f t="shared" si="67"/>
        <v/>
      </c>
      <c r="AA93" s="16" t="str">
        <f t="shared" si="74"/>
        <v/>
      </c>
      <c r="AB93" s="16" t="str">
        <f t="shared" si="75"/>
        <v/>
      </c>
      <c r="AC93" s="29" t="str">
        <f t="shared" si="68"/>
        <v/>
      </c>
      <c r="AD93" s="29" t="str">
        <f t="shared" si="69"/>
        <v/>
      </c>
      <c r="AE93" s="2"/>
      <c r="AF93" s="2"/>
      <c r="AG93" s="2"/>
      <c r="AH93" s="2"/>
      <c r="AI93" s="2"/>
      <c r="AJ93" s="2"/>
      <c r="AK93" s="2"/>
      <c r="AL93" s="2"/>
      <c r="AM93" s="2"/>
      <c r="AN93" s="2"/>
      <c r="AO93" s="2"/>
      <c r="AP93" s="2"/>
      <c r="AQ93" s="2"/>
      <c r="AT93" s="208"/>
      <c r="AU93" s="215">
        <f t="shared" si="76"/>
        <v>2</v>
      </c>
      <c r="AV93" s="217">
        <f t="shared" si="77"/>
        <v>20.485281374238571</v>
      </c>
      <c r="AW93" s="217">
        <f t="shared" si="78"/>
        <v>20.485281374238568</v>
      </c>
      <c r="AX93" s="215" t="str">
        <f t="shared" si="79"/>
        <v/>
      </c>
      <c r="AY93" s="217" t="str">
        <f t="shared" si="80"/>
        <v/>
      </c>
      <c r="AZ93" s="217" t="str">
        <f t="shared" si="81"/>
        <v/>
      </c>
      <c r="BA93" s="215" t="str">
        <f t="shared" si="82"/>
        <v/>
      </c>
      <c r="BB93" s="217" t="str">
        <f t="shared" si="83"/>
        <v/>
      </c>
      <c r="BC93" s="217" t="str">
        <f t="shared" si="84"/>
        <v/>
      </c>
      <c r="BD93" s="215" t="str">
        <f t="shared" si="85"/>
        <v/>
      </c>
      <c r="BE93" s="217" t="str">
        <f t="shared" si="86"/>
        <v/>
      </c>
      <c r="BF93" s="217" t="str">
        <f t="shared" si="87"/>
        <v/>
      </c>
      <c r="BG93" s="215" t="str">
        <f t="shared" si="88"/>
        <v/>
      </c>
      <c r="BH93" s="217" t="str">
        <f t="shared" si="89"/>
        <v/>
      </c>
      <c r="BI93" s="217" t="str">
        <f t="shared" si="90"/>
        <v/>
      </c>
      <c r="BJ93" s="215" t="str">
        <f t="shared" si="91"/>
        <v/>
      </c>
      <c r="BK93" s="217" t="str">
        <f t="shared" si="92"/>
        <v/>
      </c>
      <c r="BL93" s="217" t="str">
        <f t="shared" si="93"/>
        <v/>
      </c>
    </row>
    <row r="94" spans="1:64" x14ac:dyDescent="0.25">
      <c r="A94" s="48"/>
      <c r="B94" s="54"/>
      <c r="C94" s="54"/>
      <c r="D94" s="54"/>
      <c r="E94" s="54"/>
      <c r="F94" s="54"/>
      <c r="G94" s="54"/>
      <c r="H94" s="54"/>
      <c r="I94" s="54"/>
      <c r="J94" s="2"/>
      <c r="K94" s="2"/>
      <c r="L94" s="2"/>
      <c r="M94" s="2"/>
      <c r="N94" s="2"/>
      <c r="O94" s="2"/>
      <c r="P94" s="2"/>
      <c r="Q94" s="2"/>
      <c r="R94" s="2"/>
      <c r="S94" s="259"/>
      <c r="T94" s="2"/>
      <c r="U94" s="264">
        <v>90</v>
      </c>
      <c r="V94" s="16" t="str">
        <f t="shared" si="72"/>
        <v/>
      </c>
      <c r="W94" s="16" t="str">
        <f t="shared" si="73"/>
        <v/>
      </c>
      <c r="X94" s="16" t="str">
        <f t="shared" si="65"/>
        <v/>
      </c>
      <c r="Y94" s="16" t="str">
        <f t="shared" si="66"/>
        <v/>
      </c>
      <c r="Z94" s="16" t="str">
        <f t="shared" si="67"/>
        <v/>
      </c>
      <c r="AA94" s="16" t="str">
        <f t="shared" si="74"/>
        <v/>
      </c>
      <c r="AB94" s="16" t="str">
        <f t="shared" si="75"/>
        <v/>
      </c>
      <c r="AC94" s="29" t="str">
        <f t="shared" si="68"/>
        <v/>
      </c>
      <c r="AD94" s="29" t="str">
        <f t="shared" si="69"/>
        <v/>
      </c>
      <c r="AE94" s="2"/>
      <c r="AF94" s="2"/>
      <c r="AG94" s="2"/>
      <c r="AH94" s="2"/>
      <c r="AI94" s="2"/>
      <c r="AJ94" s="2"/>
      <c r="AK94" s="2"/>
      <c r="AL94" s="2"/>
      <c r="AM94" s="2"/>
      <c r="AN94" s="2"/>
      <c r="AO94" s="2"/>
      <c r="AP94" s="2"/>
      <c r="AQ94" s="2"/>
      <c r="AT94" s="208"/>
      <c r="AU94" s="215">
        <f t="shared" si="76"/>
        <v>3</v>
      </c>
      <c r="AV94" s="217">
        <f t="shared" si="77"/>
        <v>12</v>
      </c>
      <c r="AW94" s="217">
        <f t="shared" si="78"/>
        <v>24</v>
      </c>
      <c r="AX94" s="215" t="str">
        <f t="shared" si="79"/>
        <v/>
      </c>
      <c r="AY94" s="217" t="str">
        <f t="shared" si="80"/>
        <v/>
      </c>
      <c r="AZ94" s="217" t="str">
        <f t="shared" si="81"/>
        <v/>
      </c>
      <c r="BA94" s="215" t="str">
        <f t="shared" si="82"/>
        <v/>
      </c>
      <c r="BB94" s="217" t="str">
        <f t="shared" si="83"/>
        <v/>
      </c>
      <c r="BC94" s="217" t="str">
        <f t="shared" si="84"/>
        <v/>
      </c>
      <c r="BD94" s="215" t="str">
        <f t="shared" si="85"/>
        <v/>
      </c>
      <c r="BE94" s="217" t="str">
        <f t="shared" si="86"/>
        <v/>
      </c>
      <c r="BF94" s="217" t="str">
        <f t="shared" si="87"/>
        <v/>
      </c>
      <c r="BG94" s="215" t="str">
        <f t="shared" si="88"/>
        <v/>
      </c>
      <c r="BH94" s="217" t="str">
        <f t="shared" si="89"/>
        <v/>
      </c>
      <c r="BI94" s="217" t="str">
        <f t="shared" si="90"/>
        <v/>
      </c>
      <c r="BJ94" s="215" t="str">
        <f t="shared" si="91"/>
        <v/>
      </c>
      <c r="BK94" s="217" t="str">
        <f t="shared" si="92"/>
        <v/>
      </c>
      <c r="BL94" s="217" t="str">
        <f t="shared" si="93"/>
        <v/>
      </c>
    </row>
    <row r="95" spans="1:64" x14ac:dyDescent="0.25">
      <c r="A95" s="48"/>
      <c r="B95" s="54"/>
      <c r="C95" s="54"/>
      <c r="D95" s="54"/>
      <c r="E95" s="54"/>
      <c r="F95" s="54"/>
      <c r="G95" s="54"/>
      <c r="H95" s="54"/>
      <c r="I95" s="54"/>
      <c r="J95" s="2"/>
      <c r="K95" s="2"/>
      <c r="L95" s="2"/>
      <c r="M95" s="2"/>
      <c r="N95" s="2"/>
      <c r="O95" s="2"/>
      <c r="P95" s="2"/>
      <c r="Q95" s="2"/>
      <c r="R95" s="2"/>
      <c r="S95" s="259"/>
      <c r="T95" s="2"/>
      <c r="U95" s="264">
        <v>91</v>
      </c>
      <c r="V95" s="16" t="str">
        <f t="shared" si="72"/>
        <v/>
      </c>
      <c r="W95" s="16" t="str">
        <f t="shared" si="73"/>
        <v/>
      </c>
      <c r="X95" s="16" t="str">
        <f t="shared" si="65"/>
        <v/>
      </c>
      <c r="Y95" s="16" t="str">
        <f t="shared" si="66"/>
        <v/>
      </c>
      <c r="Z95" s="16" t="str">
        <f t="shared" si="67"/>
        <v/>
      </c>
      <c r="AA95" s="16" t="str">
        <f t="shared" si="74"/>
        <v/>
      </c>
      <c r="AB95" s="16" t="str">
        <f t="shared" si="75"/>
        <v/>
      </c>
      <c r="AC95" s="29" t="str">
        <f t="shared" si="68"/>
        <v/>
      </c>
      <c r="AD95" s="29" t="str">
        <f t="shared" si="69"/>
        <v/>
      </c>
      <c r="AE95" s="2"/>
      <c r="AF95" s="2"/>
      <c r="AG95" s="2"/>
      <c r="AH95" s="2"/>
      <c r="AI95" s="2"/>
      <c r="AJ95" s="2"/>
      <c r="AK95" s="2"/>
      <c r="AL95" s="2"/>
      <c r="AM95" s="2"/>
      <c r="AN95" s="2"/>
      <c r="AO95" s="2"/>
      <c r="AP95" s="2"/>
      <c r="AQ95" s="2"/>
      <c r="AT95" s="208"/>
      <c r="AU95" s="215">
        <f t="shared" si="76"/>
        <v>4</v>
      </c>
      <c r="AV95" s="217">
        <f t="shared" si="77"/>
        <v>3.5147186257614305</v>
      </c>
      <c r="AW95" s="217">
        <f t="shared" si="78"/>
        <v>20.485281374238571</v>
      </c>
      <c r="AX95" s="215" t="str">
        <f t="shared" si="79"/>
        <v/>
      </c>
      <c r="AY95" s="217" t="str">
        <f t="shared" si="80"/>
        <v/>
      </c>
      <c r="AZ95" s="217" t="str">
        <f t="shared" si="81"/>
        <v/>
      </c>
      <c r="BA95" s="215" t="str">
        <f t="shared" si="82"/>
        <v/>
      </c>
      <c r="BB95" s="217" t="str">
        <f t="shared" si="83"/>
        <v/>
      </c>
      <c r="BC95" s="217" t="str">
        <f t="shared" si="84"/>
        <v/>
      </c>
      <c r="BD95" s="215" t="str">
        <f t="shared" si="85"/>
        <v/>
      </c>
      <c r="BE95" s="217" t="str">
        <f t="shared" si="86"/>
        <v/>
      </c>
      <c r="BF95" s="217" t="str">
        <f t="shared" si="87"/>
        <v/>
      </c>
      <c r="BG95" s="215" t="str">
        <f t="shared" si="88"/>
        <v/>
      </c>
      <c r="BH95" s="217" t="str">
        <f t="shared" si="89"/>
        <v/>
      </c>
      <c r="BI95" s="217" t="str">
        <f t="shared" si="90"/>
        <v/>
      </c>
      <c r="BJ95" s="215" t="str">
        <f t="shared" si="91"/>
        <v/>
      </c>
      <c r="BK95" s="217" t="str">
        <f t="shared" si="92"/>
        <v/>
      </c>
      <c r="BL95" s="217" t="str">
        <f t="shared" si="93"/>
        <v/>
      </c>
    </row>
    <row r="96" spans="1:64" x14ac:dyDescent="0.25">
      <c r="A96" s="48"/>
      <c r="B96" s="54"/>
      <c r="C96" s="54"/>
      <c r="D96" s="54"/>
      <c r="E96" s="54"/>
      <c r="F96" s="54"/>
      <c r="G96" s="54"/>
      <c r="H96" s="54"/>
      <c r="I96" s="54"/>
      <c r="J96" s="2"/>
      <c r="K96" s="2"/>
      <c r="L96" s="2"/>
      <c r="M96" s="2"/>
      <c r="N96" s="2"/>
      <c r="O96" s="2"/>
      <c r="P96" s="2"/>
      <c r="Q96" s="2"/>
      <c r="R96" s="2"/>
      <c r="S96" s="259"/>
      <c r="T96" s="2"/>
      <c r="U96" s="264">
        <v>92</v>
      </c>
      <c r="V96" s="16" t="str">
        <f t="shared" si="72"/>
        <v/>
      </c>
      <c r="W96" s="16" t="str">
        <f t="shared" si="73"/>
        <v/>
      </c>
      <c r="X96" s="16" t="str">
        <f t="shared" si="65"/>
        <v/>
      </c>
      <c r="Y96" s="16" t="str">
        <f t="shared" si="66"/>
        <v/>
      </c>
      <c r="Z96" s="16" t="str">
        <f t="shared" si="67"/>
        <v/>
      </c>
      <c r="AA96" s="16" t="str">
        <f t="shared" si="74"/>
        <v/>
      </c>
      <c r="AB96" s="16" t="str">
        <f t="shared" si="75"/>
        <v/>
      </c>
      <c r="AC96" s="29" t="str">
        <f t="shared" si="68"/>
        <v/>
      </c>
      <c r="AD96" s="29" t="str">
        <f t="shared" si="69"/>
        <v/>
      </c>
      <c r="AE96" s="2"/>
      <c r="AF96" s="2"/>
      <c r="AG96" s="2"/>
      <c r="AH96" s="2"/>
      <c r="AI96" s="2"/>
      <c r="AJ96" s="2"/>
      <c r="AK96" s="2"/>
      <c r="AL96" s="2"/>
      <c r="AM96" s="2"/>
      <c r="AN96" s="2"/>
      <c r="AO96" s="2"/>
      <c r="AP96" s="2"/>
      <c r="AQ96" s="2"/>
      <c r="AT96" s="208"/>
      <c r="AU96" s="215">
        <f t="shared" si="76"/>
        <v>5</v>
      </c>
      <c r="AV96" s="217">
        <f t="shared" si="77"/>
        <v>0</v>
      </c>
      <c r="AW96" s="217">
        <f t="shared" si="78"/>
        <v>12.000000000000002</v>
      </c>
      <c r="AX96" s="215" t="str">
        <f t="shared" si="79"/>
        <v/>
      </c>
      <c r="AY96" s="217" t="str">
        <f t="shared" si="80"/>
        <v/>
      </c>
      <c r="AZ96" s="217" t="str">
        <f t="shared" si="81"/>
        <v/>
      </c>
      <c r="BA96" s="215" t="str">
        <f t="shared" si="82"/>
        <v/>
      </c>
      <c r="BB96" s="217" t="str">
        <f t="shared" si="83"/>
        <v/>
      </c>
      <c r="BC96" s="217" t="str">
        <f t="shared" si="84"/>
        <v/>
      </c>
      <c r="BD96" s="215" t="str">
        <f t="shared" si="85"/>
        <v/>
      </c>
      <c r="BE96" s="217" t="str">
        <f t="shared" si="86"/>
        <v/>
      </c>
      <c r="BF96" s="217" t="str">
        <f t="shared" si="87"/>
        <v/>
      </c>
      <c r="BG96" s="215" t="str">
        <f t="shared" si="88"/>
        <v/>
      </c>
      <c r="BH96" s="217" t="str">
        <f t="shared" si="89"/>
        <v/>
      </c>
      <c r="BI96" s="217" t="str">
        <f t="shared" si="90"/>
        <v/>
      </c>
      <c r="BJ96" s="215" t="str">
        <f t="shared" si="91"/>
        <v/>
      </c>
      <c r="BK96" s="217" t="str">
        <f t="shared" si="92"/>
        <v/>
      </c>
      <c r="BL96" s="217" t="str">
        <f t="shared" si="93"/>
        <v/>
      </c>
    </row>
    <row r="97" spans="1:64" x14ac:dyDescent="0.25">
      <c r="A97" s="48"/>
      <c r="B97" s="54"/>
      <c r="C97" s="54"/>
      <c r="D97" s="54"/>
      <c r="E97" s="54"/>
      <c r="F97" s="54"/>
      <c r="G97" s="54"/>
      <c r="H97" s="54"/>
      <c r="I97" s="54"/>
      <c r="J97" s="2"/>
      <c r="K97" s="2"/>
      <c r="L97" s="2"/>
      <c r="M97" s="2"/>
      <c r="N97" s="2"/>
      <c r="O97" s="2"/>
      <c r="P97" s="2"/>
      <c r="Q97" s="2"/>
      <c r="R97" s="2"/>
      <c r="S97" s="259"/>
      <c r="T97" s="2"/>
      <c r="U97" s="264">
        <v>93</v>
      </c>
      <c r="V97" s="16" t="str">
        <f t="shared" si="72"/>
        <v/>
      </c>
      <c r="W97" s="16" t="str">
        <f t="shared" si="73"/>
        <v/>
      </c>
      <c r="X97" s="16" t="str">
        <f t="shared" si="65"/>
        <v/>
      </c>
      <c r="Y97" s="16" t="str">
        <f t="shared" si="66"/>
        <v/>
      </c>
      <c r="Z97" s="16" t="str">
        <f t="shared" si="67"/>
        <v/>
      </c>
      <c r="AA97" s="16" t="str">
        <f t="shared" si="74"/>
        <v/>
      </c>
      <c r="AB97" s="16" t="str">
        <f t="shared" si="75"/>
        <v/>
      </c>
      <c r="AC97" s="29" t="str">
        <f t="shared" si="68"/>
        <v/>
      </c>
      <c r="AD97" s="29" t="str">
        <f t="shared" si="69"/>
        <v/>
      </c>
      <c r="AE97" s="2"/>
      <c r="AF97" s="2"/>
      <c r="AG97" s="2"/>
      <c r="AH97" s="2"/>
      <c r="AI97" s="2"/>
      <c r="AJ97" s="2"/>
      <c r="AK97" s="2"/>
      <c r="AL97" s="2"/>
      <c r="AM97" s="2"/>
      <c r="AN97" s="2"/>
      <c r="AO97" s="2"/>
      <c r="AP97" s="2"/>
      <c r="AQ97" s="2"/>
      <c r="AT97" s="208"/>
      <c r="AU97" s="215">
        <f t="shared" si="76"/>
        <v>6</v>
      </c>
      <c r="AV97" s="217">
        <f t="shared" si="77"/>
        <v>3.5147186257614287</v>
      </c>
      <c r="AW97" s="217">
        <f t="shared" si="78"/>
        <v>3.5147186257614305</v>
      </c>
      <c r="AX97" s="215" t="str">
        <f t="shared" si="79"/>
        <v/>
      </c>
      <c r="AY97" s="217" t="str">
        <f t="shared" si="80"/>
        <v/>
      </c>
      <c r="AZ97" s="217" t="str">
        <f t="shared" si="81"/>
        <v/>
      </c>
      <c r="BA97" s="215" t="str">
        <f t="shared" si="82"/>
        <v/>
      </c>
      <c r="BB97" s="217" t="str">
        <f t="shared" si="83"/>
        <v/>
      </c>
      <c r="BC97" s="217" t="str">
        <f t="shared" si="84"/>
        <v/>
      </c>
      <c r="BD97" s="215" t="str">
        <f t="shared" si="85"/>
        <v/>
      </c>
      <c r="BE97" s="217" t="str">
        <f t="shared" si="86"/>
        <v/>
      </c>
      <c r="BF97" s="217" t="str">
        <f t="shared" si="87"/>
        <v/>
      </c>
      <c r="BG97" s="215" t="str">
        <f t="shared" si="88"/>
        <v/>
      </c>
      <c r="BH97" s="217" t="str">
        <f t="shared" si="89"/>
        <v/>
      </c>
      <c r="BI97" s="217" t="str">
        <f t="shared" si="90"/>
        <v/>
      </c>
      <c r="BJ97" s="215" t="str">
        <f t="shared" si="91"/>
        <v/>
      </c>
      <c r="BK97" s="217" t="str">
        <f t="shared" si="92"/>
        <v/>
      </c>
      <c r="BL97" s="217" t="str">
        <f t="shared" si="93"/>
        <v/>
      </c>
    </row>
    <row r="98" spans="1:64" x14ac:dyDescent="0.25">
      <c r="A98" s="48"/>
      <c r="B98" s="54"/>
      <c r="C98" s="54"/>
      <c r="D98" s="54"/>
      <c r="E98" s="54"/>
      <c r="F98" s="54"/>
      <c r="G98" s="54"/>
      <c r="H98" s="54"/>
      <c r="I98" s="54"/>
      <c r="J98" s="2"/>
      <c r="K98" s="2"/>
      <c r="L98" s="2"/>
      <c r="M98" s="2"/>
      <c r="N98" s="2"/>
      <c r="O98" s="2"/>
      <c r="P98" s="2"/>
      <c r="Q98" s="2"/>
      <c r="R98" s="2"/>
      <c r="S98" s="259"/>
      <c r="T98" s="2"/>
      <c r="U98" s="264">
        <v>94</v>
      </c>
      <c r="V98" s="16" t="str">
        <f t="shared" si="72"/>
        <v/>
      </c>
      <c r="W98" s="16" t="str">
        <f t="shared" si="73"/>
        <v/>
      </c>
      <c r="X98" s="16" t="str">
        <f t="shared" si="65"/>
        <v/>
      </c>
      <c r="Y98" s="16" t="str">
        <f t="shared" si="66"/>
        <v/>
      </c>
      <c r="Z98" s="16" t="str">
        <f t="shared" si="67"/>
        <v/>
      </c>
      <c r="AA98" s="16" t="str">
        <f t="shared" si="74"/>
        <v/>
      </c>
      <c r="AB98" s="16" t="str">
        <f t="shared" si="75"/>
        <v/>
      </c>
      <c r="AC98" s="29" t="str">
        <f t="shared" si="68"/>
        <v/>
      </c>
      <c r="AD98" s="29" t="str">
        <f t="shared" si="69"/>
        <v/>
      </c>
      <c r="AE98" s="2"/>
      <c r="AF98" s="2"/>
      <c r="AG98" s="2"/>
      <c r="AH98" s="2"/>
      <c r="AI98" s="2"/>
      <c r="AJ98" s="2"/>
      <c r="AK98" s="2"/>
      <c r="AL98" s="2"/>
      <c r="AM98" s="2"/>
      <c r="AN98" s="2"/>
      <c r="AO98" s="2"/>
      <c r="AP98" s="2"/>
      <c r="AQ98" s="2"/>
      <c r="AT98" s="208"/>
      <c r="AU98" s="215">
        <f t="shared" si="76"/>
        <v>7</v>
      </c>
      <c r="AV98" s="217">
        <f t="shared" si="77"/>
        <v>11.999999999999998</v>
      </c>
      <c r="AW98" s="217">
        <f t="shared" si="78"/>
        <v>0</v>
      </c>
      <c r="AX98" s="215" t="str">
        <f t="shared" si="79"/>
        <v/>
      </c>
      <c r="AY98" s="217" t="str">
        <f t="shared" si="80"/>
        <v/>
      </c>
      <c r="AZ98" s="217" t="str">
        <f t="shared" si="81"/>
        <v/>
      </c>
      <c r="BA98" s="215" t="str">
        <f t="shared" si="82"/>
        <v/>
      </c>
      <c r="BB98" s="217" t="str">
        <f t="shared" si="83"/>
        <v/>
      </c>
      <c r="BC98" s="217" t="str">
        <f t="shared" si="84"/>
        <v/>
      </c>
      <c r="BD98" s="215" t="str">
        <f t="shared" si="85"/>
        <v/>
      </c>
      <c r="BE98" s="217" t="str">
        <f t="shared" si="86"/>
        <v/>
      </c>
      <c r="BF98" s="217" t="str">
        <f t="shared" si="87"/>
        <v/>
      </c>
      <c r="BG98" s="215" t="str">
        <f t="shared" si="88"/>
        <v/>
      </c>
      <c r="BH98" s="217" t="str">
        <f t="shared" si="89"/>
        <v/>
      </c>
      <c r="BI98" s="217" t="str">
        <f t="shared" si="90"/>
        <v/>
      </c>
      <c r="BJ98" s="215" t="str">
        <f t="shared" si="91"/>
        <v/>
      </c>
      <c r="BK98" s="217" t="str">
        <f t="shared" si="92"/>
        <v/>
      </c>
      <c r="BL98" s="217" t="str">
        <f t="shared" si="93"/>
        <v/>
      </c>
    </row>
    <row r="99" spans="1:64" x14ac:dyDescent="0.25">
      <c r="A99" s="48"/>
      <c r="B99" s="54"/>
      <c r="C99" s="54"/>
      <c r="D99" s="54"/>
      <c r="E99" s="54"/>
      <c r="F99" s="54"/>
      <c r="G99" s="54"/>
      <c r="H99" s="54"/>
      <c r="I99" s="54"/>
      <c r="J99" s="2"/>
      <c r="K99" s="2"/>
      <c r="L99" s="2"/>
      <c r="M99" s="2"/>
      <c r="N99" s="2"/>
      <c r="O99" s="2"/>
      <c r="P99" s="2"/>
      <c r="Q99" s="2"/>
      <c r="R99" s="2"/>
      <c r="S99" s="259"/>
      <c r="T99" s="2"/>
      <c r="U99" s="264">
        <v>95</v>
      </c>
      <c r="V99" s="16" t="str">
        <f t="shared" si="72"/>
        <v/>
      </c>
      <c r="W99" s="16" t="str">
        <f t="shared" si="73"/>
        <v/>
      </c>
      <c r="X99" s="16" t="str">
        <f t="shared" si="65"/>
        <v/>
      </c>
      <c r="Y99" s="16" t="str">
        <f t="shared" si="66"/>
        <v/>
      </c>
      <c r="Z99" s="16" t="str">
        <f t="shared" si="67"/>
        <v/>
      </c>
      <c r="AA99" s="16" t="str">
        <f t="shared" si="74"/>
        <v/>
      </c>
      <c r="AB99" s="16" t="str">
        <f t="shared" si="75"/>
        <v/>
      </c>
      <c r="AC99" s="29" t="str">
        <f t="shared" si="68"/>
        <v/>
      </c>
      <c r="AD99" s="29" t="str">
        <f t="shared" si="69"/>
        <v/>
      </c>
      <c r="AE99" s="2"/>
      <c r="AF99" s="2"/>
      <c r="AG99" s="2"/>
      <c r="AH99" s="2"/>
      <c r="AI99" s="2"/>
      <c r="AJ99" s="2"/>
      <c r="AK99" s="2"/>
      <c r="AL99" s="2"/>
      <c r="AM99" s="2"/>
      <c r="AN99" s="2"/>
      <c r="AO99" s="2"/>
      <c r="AP99" s="2"/>
      <c r="AQ99" s="2"/>
      <c r="AT99" s="208"/>
      <c r="AU99" s="215">
        <f t="shared" si="76"/>
        <v>8</v>
      </c>
      <c r="AV99" s="217">
        <f t="shared" si="77"/>
        <v>20.485281374238568</v>
      </c>
      <c r="AW99" s="217">
        <f t="shared" si="78"/>
        <v>3.5147186257614287</v>
      </c>
      <c r="AX99" s="215" t="str">
        <f t="shared" si="79"/>
        <v/>
      </c>
      <c r="AY99" s="217" t="str">
        <f t="shared" si="80"/>
        <v/>
      </c>
      <c r="AZ99" s="217" t="str">
        <f t="shared" si="81"/>
        <v/>
      </c>
      <c r="BA99" s="215" t="str">
        <f t="shared" si="82"/>
        <v/>
      </c>
      <c r="BB99" s="217" t="str">
        <f t="shared" si="83"/>
        <v/>
      </c>
      <c r="BC99" s="217" t="str">
        <f t="shared" si="84"/>
        <v/>
      </c>
      <c r="BD99" s="215" t="str">
        <f t="shared" si="85"/>
        <v/>
      </c>
      <c r="BE99" s="217" t="str">
        <f t="shared" si="86"/>
        <v/>
      </c>
      <c r="BF99" s="217" t="str">
        <f t="shared" si="87"/>
        <v/>
      </c>
      <c r="BG99" s="215" t="str">
        <f t="shared" si="88"/>
        <v/>
      </c>
      <c r="BH99" s="217" t="str">
        <f t="shared" si="89"/>
        <v/>
      </c>
      <c r="BI99" s="217" t="str">
        <f t="shared" si="90"/>
        <v/>
      </c>
      <c r="BJ99" s="215" t="str">
        <f t="shared" si="91"/>
        <v/>
      </c>
      <c r="BK99" s="217" t="str">
        <f t="shared" si="92"/>
        <v/>
      </c>
      <c r="BL99" s="217" t="str">
        <f t="shared" si="93"/>
        <v/>
      </c>
    </row>
    <row r="100" spans="1:64" x14ac:dyDescent="0.25">
      <c r="A100" s="79"/>
      <c r="B100" s="106"/>
      <c r="C100" s="106"/>
      <c r="D100" s="106"/>
      <c r="E100" s="106"/>
      <c r="F100" s="106"/>
      <c r="G100" s="106"/>
      <c r="H100" s="106"/>
      <c r="I100" s="106"/>
      <c r="J100" s="273"/>
      <c r="K100" s="273"/>
      <c r="L100" s="273"/>
      <c r="M100" s="273"/>
      <c r="N100" s="273"/>
      <c r="O100" s="273"/>
      <c r="P100" s="273"/>
      <c r="Q100" s="273"/>
      <c r="R100" s="273"/>
      <c r="S100" s="119" t="s">
        <v>105</v>
      </c>
      <c r="T100" s="2"/>
      <c r="U100" s="264">
        <v>96</v>
      </c>
      <c r="V100" s="16" t="str">
        <f t="shared" si="72"/>
        <v/>
      </c>
      <c r="W100" s="16" t="str">
        <f t="shared" si="73"/>
        <v/>
      </c>
      <c r="X100" s="16" t="str">
        <f t="shared" si="65"/>
        <v/>
      </c>
      <c r="Y100" s="16" t="str">
        <f t="shared" si="66"/>
        <v/>
      </c>
      <c r="Z100" s="16" t="str">
        <f t="shared" si="67"/>
        <v/>
      </c>
      <c r="AA100" s="16" t="str">
        <f t="shared" si="74"/>
        <v/>
      </c>
      <c r="AB100" s="16" t="str">
        <f t="shared" si="75"/>
        <v/>
      </c>
      <c r="AC100" s="29" t="str">
        <f t="shared" si="68"/>
        <v/>
      </c>
      <c r="AD100" s="29" t="str">
        <f t="shared" si="69"/>
        <v/>
      </c>
      <c r="AE100" s="2"/>
      <c r="AF100" s="2"/>
      <c r="AG100" s="2"/>
      <c r="AH100" s="2"/>
      <c r="AI100" s="2"/>
      <c r="AJ100" s="2"/>
      <c r="AK100" s="2"/>
      <c r="AL100" s="2"/>
      <c r="AM100" s="2"/>
      <c r="AN100" s="2"/>
      <c r="AO100" s="2"/>
      <c r="AP100" s="2"/>
      <c r="AQ100" s="2"/>
      <c r="AT100" s="208"/>
      <c r="AU100" s="215" t="str">
        <f t="shared" si="76"/>
        <v/>
      </c>
      <c r="AV100" s="217" t="str">
        <f t="shared" si="77"/>
        <v/>
      </c>
      <c r="AW100" s="217" t="str">
        <f t="shared" si="78"/>
        <v/>
      </c>
      <c r="AX100" s="215" t="str">
        <f t="shared" si="79"/>
        <v/>
      </c>
      <c r="AY100" s="217" t="str">
        <f t="shared" si="80"/>
        <v/>
      </c>
      <c r="AZ100" s="217" t="str">
        <f t="shared" si="81"/>
        <v/>
      </c>
      <c r="BA100" s="215" t="str">
        <f t="shared" si="82"/>
        <v/>
      </c>
      <c r="BB100" s="217" t="str">
        <f t="shared" si="83"/>
        <v/>
      </c>
      <c r="BC100" s="217" t="str">
        <f t="shared" si="84"/>
        <v/>
      </c>
      <c r="BD100" s="215" t="str">
        <f t="shared" si="85"/>
        <v/>
      </c>
      <c r="BE100" s="217" t="str">
        <f t="shared" si="86"/>
        <v/>
      </c>
      <c r="BF100" s="217" t="str">
        <f t="shared" si="87"/>
        <v/>
      </c>
      <c r="BG100" s="215" t="str">
        <f t="shared" si="88"/>
        <v/>
      </c>
      <c r="BH100" s="217" t="str">
        <f t="shared" si="89"/>
        <v/>
      </c>
      <c r="BI100" s="217" t="str">
        <f t="shared" si="90"/>
        <v/>
      </c>
      <c r="BJ100" s="215" t="str">
        <f t="shared" si="91"/>
        <v/>
      </c>
      <c r="BK100" s="217" t="str">
        <f t="shared" si="92"/>
        <v/>
      </c>
      <c r="BL100" s="217" t="str">
        <f t="shared" si="93"/>
        <v/>
      </c>
    </row>
    <row r="101" spans="1:64" x14ac:dyDescent="0.25">
      <c r="A101" s="100"/>
      <c r="B101" s="101"/>
      <c r="C101" s="101"/>
      <c r="D101" s="101"/>
      <c r="E101" s="101"/>
      <c r="F101" s="101"/>
      <c r="G101" s="101"/>
      <c r="H101" s="101"/>
      <c r="I101" s="101"/>
      <c r="J101" s="275"/>
      <c r="K101" s="101"/>
      <c r="L101" s="275"/>
      <c r="M101" s="275"/>
      <c r="N101" s="275"/>
      <c r="O101" s="275"/>
      <c r="P101" s="275"/>
      <c r="Q101" s="275"/>
      <c r="R101" s="275"/>
      <c r="S101" s="276"/>
      <c r="T101" s="2"/>
      <c r="U101" s="264">
        <v>97</v>
      </c>
      <c r="V101" s="16" t="str">
        <f t="shared" si="72"/>
        <v/>
      </c>
      <c r="W101" s="16" t="str">
        <f t="shared" si="73"/>
        <v/>
      </c>
      <c r="X101" s="16" t="str">
        <f t="shared" si="65"/>
        <v/>
      </c>
      <c r="Y101" s="16" t="str">
        <f t="shared" si="66"/>
        <v/>
      </c>
      <c r="Z101" s="16" t="str">
        <f t="shared" si="67"/>
        <v/>
      </c>
      <c r="AA101" s="16" t="str">
        <f t="shared" si="74"/>
        <v/>
      </c>
      <c r="AB101" s="16" t="str">
        <f t="shared" si="75"/>
        <v/>
      </c>
      <c r="AC101" s="29" t="str">
        <f t="shared" si="68"/>
        <v/>
      </c>
      <c r="AD101" s="29" t="str">
        <f t="shared" si="69"/>
        <v/>
      </c>
      <c r="AE101" s="2"/>
      <c r="AF101" s="2"/>
      <c r="AG101" s="2"/>
      <c r="AH101" s="2"/>
      <c r="AI101" s="2"/>
      <c r="AJ101" s="2"/>
      <c r="AK101" s="2"/>
      <c r="AL101" s="2"/>
      <c r="AM101" s="2"/>
      <c r="AN101" s="2"/>
      <c r="AO101" s="2"/>
      <c r="AP101" s="2"/>
      <c r="AQ101" s="2"/>
      <c r="AT101" s="208"/>
      <c r="AU101" s="215" t="str">
        <f t="shared" si="76"/>
        <v/>
      </c>
      <c r="AV101" s="217" t="str">
        <f t="shared" si="77"/>
        <v/>
      </c>
      <c r="AW101" s="217" t="str">
        <f t="shared" si="78"/>
        <v/>
      </c>
      <c r="AX101" s="215" t="str">
        <f t="shared" si="79"/>
        <v/>
      </c>
      <c r="AY101" s="217" t="str">
        <f t="shared" si="80"/>
        <v/>
      </c>
      <c r="AZ101" s="217" t="str">
        <f t="shared" si="81"/>
        <v/>
      </c>
      <c r="BA101" s="215" t="str">
        <f t="shared" si="82"/>
        <v/>
      </c>
      <c r="BB101" s="217" t="str">
        <f t="shared" si="83"/>
        <v/>
      </c>
      <c r="BC101" s="217" t="str">
        <f t="shared" si="84"/>
        <v/>
      </c>
      <c r="BD101" s="215" t="str">
        <f t="shared" si="85"/>
        <v/>
      </c>
      <c r="BE101" s="217" t="str">
        <f t="shared" si="86"/>
        <v/>
      </c>
      <c r="BF101" s="217" t="str">
        <f t="shared" si="87"/>
        <v/>
      </c>
      <c r="BG101" s="215" t="str">
        <f t="shared" si="88"/>
        <v/>
      </c>
      <c r="BH101" s="217" t="str">
        <f t="shared" si="89"/>
        <v/>
      </c>
      <c r="BI101" s="217" t="str">
        <f t="shared" si="90"/>
        <v/>
      </c>
      <c r="BJ101" s="215" t="str">
        <f t="shared" si="91"/>
        <v/>
      </c>
      <c r="BK101" s="217" t="str">
        <f t="shared" si="92"/>
        <v/>
      </c>
      <c r="BL101" s="217" t="str">
        <f t="shared" si="93"/>
        <v/>
      </c>
    </row>
    <row r="102" spans="1:64" x14ac:dyDescent="0.25">
      <c r="A102" s="48"/>
      <c r="B102" s="54"/>
      <c r="C102" s="54"/>
      <c r="D102" s="82"/>
      <c r="E102" s="54"/>
      <c r="F102" s="54"/>
      <c r="G102" s="54"/>
      <c r="H102" s="83"/>
      <c r="I102" s="54"/>
      <c r="J102" s="2"/>
      <c r="K102" s="54"/>
      <c r="L102" s="2"/>
      <c r="M102" s="2"/>
      <c r="N102" s="2"/>
      <c r="O102" s="2"/>
      <c r="P102" s="2"/>
      <c r="Q102" s="2"/>
      <c r="R102" s="2"/>
      <c r="S102" s="259"/>
      <c r="T102" s="2"/>
      <c r="U102" s="264">
        <v>98</v>
      </c>
      <c r="V102" s="16" t="str">
        <f t="shared" si="72"/>
        <v/>
      </c>
      <c r="W102" s="16" t="str">
        <f t="shared" si="73"/>
        <v/>
      </c>
      <c r="X102" s="16" t="str">
        <f t="shared" si="65"/>
        <v/>
      </c>
      <c r="Y102" s="16" t="str">
        <f t="shared" si="66"/>
        <v/>
      </c>
      <c r="Z102" s="16" t="str">
        <f t="shared" si="67"/>
        <v/>
      </c>
      <c r="AA102" s="16" t="str">
        <f t="shared" si="74"/>
        <v/>
      </c>
      <c r="AB102" s="16" t="str">
        <f t="shared" si="75"/>
        <v/>
      </c>
      <c r="AC102" s="29" t="str">
        <f t="shared" si="68"/>
        <v/>
      </c>
      <c r="AD102" s="29" t="str">
        <f t="shared" si="69"/>
        <v/>
      </c>
      <c r="AE102" s="2"/>
      <c r="AF102" s="2"/>
      <c r="AG102" s="2"/>
      <c r="AH102" s="2"/>
      <c r="AI102" s="2"/>
      <c r="AJ102" s="2"/>
      <c r="AK102" s="2"/>
      <c r="AL102" s="2"/>
      <c r="AM102" s="2"/>
      <c r="AN102" s="2"/>
      <c r="AO102" s="2"/>
      <c r="AP102" s="2"/>
      <c r="AQ102" s="2"/>
      <c r="AT102" s="208"/>
      <c r="AU102" s="215" t="str">
        <f t="shared" si="76"/>
        <v/>
      </c>
      <c r="AV102" s="217" t="str">
        <f t="shared" si="77"/>
        <v/>
      </c>
      <c r="AW102" s="217" t="str">
        <f t="shared" si="78"/>
        <v/>
      </c>
      <c r="AX102" s="215" t="str">
        <f t="shared" si="79"/>
        <v/>
      </c>
      <c r="AY102" s="217" t="str">
        <f t="shared" si="80"/>
        <v/>
      </c>
      <c r="AZ102" s="217" t="str">
        <f t="shared" si="81"/>
        <v/>
      </c>
      <c r="BA102" s="215" t="str">
        <f t="shared" si="82"/>
        <v/>
      </c>
      <c r="BB102" s="217" t="str">
        <f t="shared" si="83"/>
        <v/>
      </c>
      <c r="BC102" s="217" t="str">
        <f t="shared" si="84"/>
        <v/>
      </c>
      <c r="BD102" s="215" t="str">
        <f t="shared" si="85"/>
        <v/>
      </c>
      <c r="BE102" s="217" t="str">
        <f t="shared" si="86"/>
        <v/>
      </c>
      <c r="BF102" s="217" t="str">
        <f t="shared" si="87"/>
        <v/>
      </c>
      <c r="BG102" s="215" t="str">
        <f t="shared" si="88"/>
        <v/>
      </c>
      <c r="BH102" s="217" t="str">
        <f t="shared" si="89"/>
        <v/>
      </c>
      <c r="BI102" s="217" t="str">
        <f t="shared" si="90"/>
        <v/>
      </c>
      <c r="BJ102" s="215" t="str">
        <f t="shared" si="91"/>
        <v/>
      </c>
      <c r="BK102" s="217" t="str">
        <f t="shared" si="92"/>
        <v/>
      </c>
      <c r="BL102" s="217" t="str">
        <f t="shared" si="93"/>
        <v/>
      </c>
    </row>
    <row r="103" spans="1:64" x14ac:dyDescent="0.25">
      <c r="A103" s="48"/>
      <c r="B103" s="54"/>
      <c r="C103" s="54"/>
      <c r="D103" s="54"/>
      <c r="E103" s="54"/>
      <c r="F103" s="54"/>
      <c r="G103" s="54"/>
      <c r="H103" s="54"/>
      <c r="I103" s="54"/>
      <c r="J103" s="2"/>
      <c r="K103" s="54"/>
      <c r="L103" s="2"/>
      <c r="M103" s="2"/>
      <c r="N103" s="2"/>
      <c r="O103" s="2"/>
      <c r="P103" s="2"/>
      <c r="Q103" s="2"/>
      <c r="R103" s="2"/>
      <c r="S103" s="259"/>
      <c r="T103" s="2"/>
      <c r="U103" s="264">
        <v>99</v>
      </c>
      <c r="V103" s="16" t="str">
        <f t="shared" si="72"/>
        <v/>
      </c>
      <c r="W103" s="16" t="str">
        <f t="shared" si="73"/>
        <v/>
      </c>
      <c r="X103" s="16" t="str">
        <f t="shared" si="65"/>
        <v/>
      </c>
      <c r="Y103" s="16" t="str">
        <f t="shared" si="66"/>
        <v/>
      </c>
      <c r="Z103" s="16" t="str">
        <f t="shared" si="67"/>
        <v/>
      </c>
      <c r="AA103" s="16" t="str">
        <f t="shared" si="74"/>
        <v/>
      </c>
      <c r="AB103" s="16" t="str">
        <f t="shared" si="75"/>
        <v/>
      </c>
      <c r="AC103" s="29" t="str">
        <f t="shared" si="68"/>
        <v/>
      </c>
      <c r="AD103" s="29" t="str">
        <f t="shared" si="69"/>
        <v/>
      </c>
      <c r="AE103" s="2"/>
      <c r="AF103" s="2"/>
      <c r="AG103" s="2"/>
      <c r="AH103" s="2"/>
      <c r="AI103" s="2"/>
      <c r="AJ103" s="2"/>
      <c r="AK103" s="2"/>
      <c r="AL103" s="2"/>
      <c r="AM103" s="2"/>
      <c r="AN103" s="2"/>
      <c r="AO103" s="2"/>
      <c r="AP103" s="2"/>
      <c r="AQ103" s="2"/>
      <c r="AT103" s="208"/>
      <c r="AU103" s="215" t="str">
        <f t="shared" si="76"/>
        <v/>
      </c>
      <c r="AV103" s="217" t="str">
        <f t="shared" si="77"/>
        <v/>
      </c>
      <c r="AW103" s="217" t="str">
        <f t="shared" si="78"/>
        <v/>
      </c>
      <c r="AX103" s="215" t="str">
        <f t="shared" si="79"/>
        <v/>
      </c>
      <c r="AY103" s="217" t="str">
        <f t="shared" si="80"/>
        <v/>
      </c>
      <c r="AZ103" s="217" t="str">
        <f t="shared" si="81"/>
        <v/>
      </c>
      <c r="BA103" s="215" t="str">
        <f t="shared" si="82"/>
        <v/>
      </c>
      <c r="BB103" s="217" t="str">
        <f t="shared" si="83"/>
        <v/>
      </c>
      <c r="BC103" s="217" t="str">
        <f t="shared" si="84"/>
        <v/>
      </c>
      <c r="BD103" s="215" t="str">
        <f t="shared" si="85"/>
        <v/>
      </c>
      <c r="BE103" s="217" t="str">
        <f t="shared" si="86"/>
        <v/>
      </c>
      <c r="BF103" s="217" t="str">
        <f t="shared" si="87"/>
        <v/>
      </c>
      <c r="BG103" s="215" t="str">
        <f t="shared" si="88"/>
        <v/>
      </c>
      <c r="BH103" s="217" t="str">
        <f t="shared" si="89"/>
        <v/>
      </c>
      <c r="BI103" s="217" t="str">
        <f t="shared" si="90"/>
        <v/>
      </c>
      <c r="BJ103" s="215" t="str">
        <f t="shared" si="91"/>
        <v/>
      </c>
      <c r="BK103" s="217" t="str">
        <f t="shared" si="92"/>
        <v/>
      </c>
      <c r="BL103" s="217" t="str">
        <f t="shared" si="93"/>
        <v/>
      </c>
    </row>
    <row r="104" spans="1:64" x14ac:dyDescent="0.25">
      <c r="A104" s="48"/>
      <c r="B104" s="54"/>
      <c r="C104" s="54"/>
      <c r="D104" s="54"/>
      <c r="E104" s="54"/>
      <c r="F104" s="54"/>
      <c r="G104" s="54"/>
      <c r="H104" s="72"/>
      <c r="I104" s="54"/>
      <c r="J104" s="2"/>
      <c r="K104" s="54"/>
      <c r="L104" s="2"/>
      <c r="M104" s="2"/>
      <c r="N104" s="2"/>
      <c r="O104" s="2"/>
      <c r="P104" s="2"/>
      <c r="Q104" s="2"/>
      <c r="R104" s="2"/>
      <c r="S104" s="259"/>
      <c r="T104" s="2"/>
      <c r="U104" s="264">
        <v>100</v>
      </c>
      <c r="V104" s="16" t="str">
        <f t="shared" si="72"/>
        <v/>
      </c>
      <c r="W104" s="16" t="str">
        <f t="shared" si="73"/>
        <v/>
      </c>
      <c r="X104" s="16" t="str">
        <f t="shared" si="65"/>
        <v/>
      </c>
      <c r="Y104" s="16" t="str">
        <f t="shared" si="66"/>
        <v/>
      </c>
      <c r="Z104" s="16" t="str">
        <f t="shared" si="67"/>
        <v/>
      </c>
      <c r="AA104" s="16" t="str">
        <f t="shared" si="74"/>
        <v/>
      </c>
      <c r="AB104" s="16" t="str">
        <f t="shared" si="75"/>
        <v/>
      </c>
      <c r="AC104" s="29" t="str">
        <f t="shared" si="68"/>
        <v/>
      </c>
      <c r="AD104" s="29" t="str">
        <f t="shared" si="69"/>
        <v/>
      </c>
      <c r="AE104" s="2"/>
      <c r="AF104" s="2"/>
      <c r="AG104" s="2"/>
      <c r="AH104" s="2"/>
      <c r="AI104" s="2"/>
      <c r="AJ104" s="2"/>
      <c r="AK104" s="2"/>
      <c r="AL104" s="2"/>
      <c r="AM104" s="2"/>
      <c r="AN104" s="2"/>
      <c r="AO104" s="2"/>
      <c r="AP104" s="2"/>
      <c r="AQ104" s="2"/>
      <c r="AT104" s="208"/>
      <c r="AU104" s="215" t="str">
        <f t="shared" si="76"/>
        <v/>
      </c>
      <c r="AV104" s="217" t="str">
        <f t="shared" si="77"/>
        <v/>
      </c>
      <c r="AW104" s="217" t="str">
        <f t="shared" si="78"/>
        <v/>
      </c>
      <c r="AX104" s="215" t="str">
        <f t="shared" si="79"/>
        <v/>
      </c>
      <c r="AY104" s="217" t="str">
        <f t="shared" si="80"/>
        <v/>
      </c>
      <c r="AZ104" s="217" t="str">
        <f t="shared" si="81"/>
        <v/>
      </c>
      <c r="BA104" s="215" t="str">
        <f t="shared" si="82"/>
        <v/>
      </c>
      <c r="BB104" s="217" t="str">
        <f t="shared" si="83"/>
        <v/>
      </c>
      <c r="BC104" s="217" t="str">
        <f t="shared" si="84"/>
        <v/>
      </c>
      <c r="BD104" s="215" t="str">
        <f t="shared" si="85"/>
        <v/>
      </c>
      <c r="BE104" s="217" t="str">
        <f t="shared" si="86"/>
        <v/>
      </c>
      <c r="BF104" s="217" t="str">
        <f t="shared" si="87"/>
        <v/>
      </c>
      <c r="BG104" s="215" t="str">
        <f t="shared" si="88"/>
        <v/>
      </c>
      <c r="BH104" s="217" t="str">
        <f t="shared" si="89"/>
        <v/>
      </c>
      <c r="BI104" s="217" t="str">
        <f t="shared" si="90"/>
        <v/>
      </c>
      <c r="BJ104" s="215" t="str">
        <f t="shared" si="91"/>
        <v/>
      </c>
      <c r="BK104" s="217" t="str">
        <f t="shared" si="92"/>
        <v/>
      </c>
      <c r="BL104" s="217" t="str">
        <f t="shared" si="93"/>
        <v/>
      </c>
    </row>
    <row r="105" spans="1:64" x14ac:dyDescent="0.25">
      <c r="A105" s="48"/>
      <c r="B105" s="54"/>
      <c r="C105" s="54"/>
      <c r="D105" s="54"/>
      <c r="E105" s="54"/>
      <c r="F105" s="54"/>
      <c r="G105" s="54"/>
      <c r="H105" s="54"/>
      <c r="I105" s="74"/>
      <c r="J105" s="2"/>
      <c r="K105" s="54"/>
      <c r="L105" s="2"/>
      <c r="M105" s="2"/>
      <c r="N105" s="2"/>
      <c r="O105" s="2"/>
      <c r="P105" s="2"/>
      <c r="Q105" s="2"/>
      <c r="R105" s="2"/>
      <c r="S105" s="259"/>
      <c r="T105" s="2"/>
      <c r="U105" s="264">
        <v>101</v>
      </c>
      <c r="V105" s="16" t="str">
        <f t="shared" ref="V105:V136" si="94">IF($C$9&gt;=$U105,$I13+0.000001-$V$310,"")</f>
        <v/>
      </c>
      <c r="W105" s="16" t="str">
        <f t="shared" ref="W105:W136" si="95">IF($C$9&gt;=$U105,$H13+0.000001-$V$309,"")</f>
        <v/>
      </c>
      <c r="X105" s="16" t="str">
        <f t="shared" si="65"/>
        <v/>
      </c>
      <c r="Y105" s="16" t="str">
        <f t="shared" si="66"/>
        <v/>
      </c>
      <c r="Z105" s="16" t="str">
        <f t="shared" si="67"/>
        <v/>
      </c>
      <c r="AA105" s="16" t="str">
        <f t="shared" ref="AA105:AA136" si="96">IF($C$9&gt;=$U105,$H13-$V$309,"")</f>
        <v/>
      </c>
      <c r="AB105" s="16" t="str">
        <f t="shared" ref="AB105:AB136" si="97">IF($C$9&gt;=$U105,$I13-$V$310,"")</f>
        <v/>
      </c>
      <c r="AC105" s="29" t="str">
        <f t="shared" si="68"/>
        <v/>
      </c>
      <c r="AD105" s="29" t="str">
        <f t="shared" si="69"/>
        <v/>
      </c>
      <c r="AE105" s="2"/>
      <c r="AF105" s="2"/>
      <c r="AG105" s="2"/>
      <c r="AH105" s="2"/>
      <c r="AI105" s="2"/>
      <c r="AJ105" s="2"/>
      <c r="AK105" s="2"/>
      <c r="AL105" s="2"/>
      <c r="AM105" s="2"/>
      <c r="AN105" s="2"/>
      <c r="AO105" s="2"/>
      <c r="AP105" s="2"/>
      <c r="AQ105" s="2"/>
      <c r="AT105" s="208"/>
      <c r="AU105" s="215" t="str">
        <f t="shared" si="76"/>
        <v/>
      </c>
      <c r="AV105" s="217" t="str">
        <f t="shared" si="77"/>
        <v/>
      </c>
      <c r="AW105" s="217" t="str">
        <f t="shared" si="78"/>
        <v/>
      </c>
      <c r="AX105" s="215" t="str">
        <f t="shared" si="79"/>
        <v/>
      </c>
      <c r="AY105" s="217" t="str">
        <f t="shared" si="80"/>
        <v/>
      </c>
      <c r="AZ105" s="217" t="str">
        <f t="shared" si="81"/>
        <v/>
      </c>
      <c r="BA105" s="215" t="str">
        <f t="shared" si="82"/>
        <v/>
      </c>
      <c r="BB105" s="217" t="str">
        <f t="shared" si="83"/>
        <v/>
      </c>
      <c r="BC105" s="217" t="str">
        <f t="shared" si="84"/>
        <v/>
      </c>
      <c r="BD105" s="215" t="str">
        <f t="shared" si="85"/>
        <v/>
      </c>
      <c r="BE105" s="217" t="str">
        <f t="shared" si="86"/>
        <v/>
      </c>
      <c r="BF105" s="217" t="str">
        <f t="shared" si="87"/>
        <v/>
      </c>
      <c r="BG105" s="215" t="str">
        <f t="shared" si="88"/>
        <v/>
      </c>
      <c r="BH105" s="217" t="str">
        <f t="shared" si="89"/>
        <v/>
      </c>
      <c r="BI105" s="217" t="str">
        <f t="shared" si="90"/>
        <v/>
      </c>
      <c r="BJ105" s="215" t="str">
        <f t="shared" si="91"/>
        <v/>
      </c>
      <c r="BK105" s="217" t="str">
        <f t="shared" si="92"/>
        <v/>
      </c>
      <c r="BL105" s="217" t="str">
        <f t="shared" si="93"/>
        <v/>
      </c>
    </row>
    <row r="106" spans="1:64" x14ac:dyDescent="0.25">
      <c r="A106" s="48"/>
      <c r="B106" s="54"/>
      <c r="C106" s="54"/>
      <c r="D106" s="54"/>
      <c r="E106" s="54"/>
      <c r="F106" s="54"/>
      <c r="G106" s="74"/>
      <c r="H106" s="74"/>
      <c r="I106" s="74"/>
      <c r="J106" s="2"/>
      <c r="K106" s="54"/>
      <c r="L106" s="2"/>
      <c r="M106" s="2"/>
      <c r="N106" s="2"/>
      <c r="O106" s="2"/>
      <c r="P106" s="2"/>
      <c r="Q106" s="2"/>
      <c r="R106" s="2"/>
      <c r="S106" s="259"/>
      <c r="T106" s="2"/>
      <c r="U106" s="264">
        <v>102</v>
      </c>
      <c r="V106" s="16" t="str">
        <f t="shared" si="94"/>
        <v/>
      </c>
      <c r="W106" s="16" t="str">
        <f t="shared" si="95"/>
        <v/>
      </c>
      <c r="X106" s="16" t="str">
        <f t="shared" si="65"/>
        <v/>
      </c>
      <c r="Y106" s="16" t="str">
        <f t="shared" si="66"/>
        <v/>
      </c>
      <c r="Z106" s="16" t="str">
        <f t="shared" si="67"/>
        <v/>
      </c>
      <c r="AA106" s="16" t="str">
        <f t="shared" si="96"/>
        <v/>
      </c>
      <c r="AB106" s="16" t="str">
        <f t="shared" si="97"/>
        <v/>
      </c>
      <c r="AC106" s="29" t="str">
        <f t="shared" si="68"/>
        <v/>
      </c>
      <c r="AD106" s="29" t="str">
        <f t="shared" si="69"/>
        <v/>
      </c>
      <c r="AE106" s="2"/>
      <c r="AF106" s="2"/>
      <c r="AG106" s="2"/>
      <c r="AH106" s="2"/>
      <c r="AI106" s="2"/>
      <c r="AJ106" s="2"/>
      <c r="AK106" s="2"/>
      <c r="AL106" s="2"/>
      <c r="AM106" s="2"/>
      <c r="AN106" s="2"/>
      <c r="AO106" s="2"/>
      <c r="AP106" s="2"/>
      <c r="AQ106" s="2"/>
      <c r="AT106" s="208"/>
      <c r="AU106" s="215" t="str">
        <f t="shared" si="76"/>
        <v/>
      </c>
      <c r="AV106" s="217" t="str">
        <f t="shared" si="77"/>
        <v/>
      </c>
      <c r="AW106" s="217" t="str">
        <f t="shared" si="78"/>
        <v/>
      </c>
      <c r="AX106" s="215" t="str">
        <f t="shared" si="79"/>
        <v/>
      </c>
      <c r="AY106" s="217" t="str">
        <f t="shared" si="80"/>
        <v/>
      </c>
      <c r="AZ106" s="217" t="str">
        <f t="shared" si="81"/>
        <v/>
      </c>
      <c r="BA106" s="215" t="str">
        <f t="shared" si="82"/>
        <v/>
      </c>
      <c r="BB106" s="217" t="str">
        <f t="shared" si="83"/>
        <v/>
      </c>
      <c r="BC106" s="217" t="str">
        <f t="shared" si="84"/>
        <v/>
      </c>
      <c r="BD106" s="215" t="str">
        <f t="shared" si="85"/>
        <v/>
      </c>
      <c r="BE106" s="217" t="str">
        <f t="shared" si="86"/>
        <v/>
      </c>
      <c r="BF106" s="217" t="str">
        <f t="shared" si="87"/>
        <v/>
      </c>
      <c r="BG106" s="215" t="str">
        <f t="shared" si="88"/>
        <v/>
      </c>
      <c r="BH106" s="217" t="str">
        <f t="shared" si="89"/>
        <v/>
      </c>
      <c r="BI106" s="217" t="str">
        <f t="shared" si="90"/>
        <v/>
      </c>
      <c r="BJ106" s="215" t="str">
        <f t="shared" si="91"/>
        <v/>
      </c>
      <c r="BK106" s="217" t="str">
        <f t="shared" si="92"/>
        <v/>
      </c>
      <c r="BL106" s="217" t="str">
        <f t="shared" si="93"/>
        <v/>
      </c>
    </row>
    <row r="107" spans="1:64" x14ac:dyDescent="0.25">
      <c r="A107" s="48"/>
      <c r="B107" s="54"/>
      <c r="C107" s="54"/>
      <c r="D107" s="54"/>
      <c r="E107" s="54"/>
      <c r="F107" s="54"/>
      <c r="G107" s="74"/>
      <c r="H107" s="74"/>
      <c r="I107" s="54"/>
      <c r="J107" s="2"/>
      <c r="K107" s="54"/>
      <c r="L107" s="2"/>
      <c r="M107" s="2"/>
      <c r="N107" s="2"/>
      <c r="O107" s="2"/>
      <c r="P107" s="2"/>
      <c r="Q107" s="2"/>
      <c r="R107" s="2"/>
      <c r="S107" s="259"/>
      <c r="T107" s="2"/>
      <c r="U107" s="264">
        <v>103</v>
      </c>
      <c r="V107" s="16" t="str">
        <f t="shared" si="94"/>
        <v/>
      </c>
      <c r="W107" s="16" t="str">
        <f t="shared" si="95"/>
        <v/>
      </c>
      <c r="X107" s="16" t="str">
        <f t="shared" si="65"/>
        <v/>
      </c>
      <c r="Y107" s="16" t="str">
        <f t="shared" si="66"/>
        <v/>
      </c>
      <c r="Z107" s="16" t="str">
        <f t="shared" si="67"/>
        <v/>
      </c>
      <c r="AA107" s="16" t="str">
        <f t="shared" si="96"/>
        <v/>
      </c>
      <c r="AB107" s="16" t="str">
        <f t="shared" si="97"/>
        <v/>
      </c>
      <c r="AC107" s="29" t="str">
        <f t="shared" si="68"/>
        <v/>
      </c>
      <c r="AD107" s="29" t="str">
        <f t="shared" si="69"/>
        <v/>
      </c>
      <c r="AE107" s="2"/>
      <c r="AF107" s="2"/>
      <c r="AG107" s="2"/>
      <c r="AH107" s="2"/>
      <c r="AI107" s="2"/>
      <c r="AJ107" s="2"/>
      <c r="AK107" s="2"/>
      <c r="AL107" s="2"/>
      <c r="AM107" s="2"/>
      <c r="AN107" s="2"/>
      <c r="AO107" s="2"/>
      <c r="AP107" s="2"/>
      <c r="AQ107" s="2"/>
      <c r="AT107" s="208"/>
      <c r="AU107" s="215" t="str">
        <f t="shared" si="76"/>
        <v/>
      </c>
      <c r="AV107" s="217" t="str">
        <f t="shared" si="77"/>
        <v/>
      </c>
      <c r="AW107" s="217" t="str">
        <f t="shared" si="78"/>
        <v/>
      </c>
      <c r="AX107" s="215" t="str">
        <f t="shared" si="79"/>
        <v/>
      </c>
      <c r="AY107" s="217" t="str">
        <f t="shared" si="80"/>
        <v/>
      </c>
      <c r="AZ107" s="217" t="str">
        <f t="shared" si="81"/>
        <v/>
      </c>
      <c r="BA107" s="215" t="str">
        <f t="shared" si="82"/>
        <v/>
      </c>
      <c r="BB107" s="217" t="str">
        <f t="shared" si="83"/>
        <v/>
      </c>
      <c r="BC107" s="217" t="str">
        <f t="shared" si="84"/>
        <v/>
      </c>
      <c r="BD107" s="215" t="str">
        <f t="shared" si="85"/>
        <v/>
      </c>
      <c r="BE107" s="217" t="str">
        <f t="shared" si="86"/>
        <v/>
      </c>
      <c r="BF107" s="217" t="str">
        <f t="shared" si="87"/>
        <v/>
      </c>
      <c r="BG107" s="215" t="str">
        <f t="shared" si="88"/>
        <v/>
      </c>
      <c r="BH107" s="217" t="str">
        <f t="shared" si="89"/>
        <v/>
      </c>
      <c r="BI107" s="217" t="str">
        <f t="shared" si="90"/>
        <v/>
      </c>
      <c r="BJ107" s="215" t="str">
        <f t="shared" si="91"/>
        <v/>
      </c>
      <c r="BK107" s="217" t="str">
        <f t="shared" si="92"/>
        <v/>
      </c>
      <c r="BL107" s="217" t="str">
        <f t="shared" si="93"/>
        <v/>
      </c>
    </row>
    <row r="108" spans="1:64" x14ac:dyDescent="0.25">
      <c r="A108" s="48"/>
      <c r="B108" s="54"/>
      <c r="C108" s="54"/>
      <c r="D108" s="54"/>
      <c r="E108" s="54"/>
      <c r="F108" s="54"/>
      <c r="G108" s="74"/>
      <c r="H108" s="54"/>
      <c r="I108" s="54"/>
      <c r="J108" s="2"/>
      <c r="K108" s="54"/>
      <c r="L108" s="2"/>
      <c r="M108" s="2"/>
      <c r="N108" s="2"/>
      <c r="O108" s="2"/>
      <c r="P108" s="2"/>
      <c r="Q108" s="2"/>
      <c r="R108" s="2"/>
      <c r="S108" s="259"/>
      <c r="T108" s="2"/>
      <c r="U108" s="264">
        <v>104</v>
      </c>
      <c r="V108" s="16" t="str">
        <f t="shared" si="94"/>
        <v/>
      </c>
      <c r="W108" s="16" t="str">
        <f t="shared" si="95"/>
        <v/>
      </c>
      <c r="X108" s="16" t="str">
        <f t="shared" si="65"/>
        <v/>
      </c>
      <c r="Y108" s="16" t="str">
        <f t="shared" si="66"/>
        <v/>
      </c>
      <c r="Z108" s="16" t="str">
        <f t="shared" si="67"/>
        <v/>
      </c>
      <c r="AA108" s="16" t="str">
        <f t="shared" si="96"/>
        <v/>
      </c>
      <c r="AB108" s="16" t="str">
        <f t="shared" si="97"/>
        <v/>
      </c>
      <c r="AC108" s="29" t="str">
        <f t="shared" si="68"/>
        <v/>
      </c>
      <c r="AD108" s="29" t="str">
        <f t="shared" si="69"/>
        <v/>
      </c>
      <c r="AE108" s="2"/>
      <c r="AF108" s="2"/>
      <c r="AG108" s="2"/>
      <c r="AH108" s="2"/>
      <c r="AI108" s="2"/>
      <c r="AJ108" s="2"/>
      <c r="AK108" s="2"/>
      <c r="AL108" s="2"/>
      <c r="AM108" s="2"/>
      <c r="AN108" s="2"/>
      <c r="AO108" s="2"/>
      <c r="AP108" s="2"/>
      <c r="AQ108" s="2"/>
      <c r="AT108" s="208"/>
      <c r="AU108" s="215" t="str">
        <f t="shared" si="76"/>
        <v/>
      </c>
      <c r="AV108" s="217" t="str">
        <f t="shared" si="77"/>
        <v/>
      </c>
      <c r="AW108" s="217" t="str">
        <f t="shared" si="78"/>
        <v/>
      </c>
      <c r="AX108" s="215" t="str">
        <f t="shared" si="79"/>
        <v/>
      </c>
      <c r="AY108" s="217" t="str">
        <f t="shared" si="80"/>
        <v/>
      </c>
      <c r="AZ108" s="217" t="str">
        <f t="shared" si="81"/>
        <v/>
      </c>
      <c r="BA108" s="215" t="str">
        <f t="shared" si="82"/>
        <v/>
      </c>
      <c r="BB108" s="217" t="str">
        <f t="shared" si="83"/>
        <v/>
      </c>
      <c r="BC108" s="217" t="str">
        <f t="shared" si="84"/>
        <v/>
      </c>
      <c r="BD108" s="215" t="str">
        <f t="shared" si="85"/>
        <v/>
      </c>
      <c r="BE108" s="217" t="str">
        <f t="shared" si="86"/>
        <v/>
      </c>
      <c r="BF108" s="217" t="str">
        <f t="shared" si="87"/>
        <v/>
      </c>
      <c r="BG108" s="215" t="str">
        <f t="shared" si="88"/>
        <v/>
      </c>
      <c r="BH108" s="217" t="str">
        <f t="shared" si="89"/>
        <v/>
      </c>
      <c r="BI108" s="217" t="str">
        <f t="shared" si="90"/>
        <v/>
      </c>
      <c r="BJ108" s="215" t="str">
        <f t="shared" si="91"/>
        <v/>
      </c>
      <c r="BK108" s="217" t="str">
        <f t="shared" si="92"/>
        <v/>
      </c>
      <c r="BL108" s="217" t="str">
        <f t="shared" si="93"/>
        <v/>
      </c>
    </row>
    <row r="109" spans="1:64" x14ac:dyDescent="0.25">
      <c r="A109" s="48"/>
      <c r="B109" s="54"/>
      <c r="C109" s="54"/>
      <c r="D109" s="54"/>
      <c r="E109" s="54"/>
      <c r="F109" s="54"/>
      <c r="G109" s="54"/>
      <c r="H109" s="54"/>
      <c r="I109" s="54"/>
      <c r="J109" s="2"/>
      <c r="K109" s="54"/>
      <c r="L109" s="2"/>
      <c r="M109" s="2"/>
      <c r="N109" s="2"/>
      <c r="O109" s="2"/>
      <c r="P109" s="2"/>
      <c r="Q109" s="2"/>
      <c r="R109" s="2"/>
      <c r="S109" s="259"/>
      <c r="T109" s="2"/>
      <c r="U109" s="264">
        <v>105</v>
      </c>
      <c r="V109" s="16" t="str">
        <f t="shared" si="94"/>
        <v/>
      </c>
      <c r="W109" s="16" t="str">
        <f t="shared" si="95"/>
        <v/>
      </c>
      <c r="X109" s="16" t="str">
        <f t="shared" si="65"/>
        <v/>
      </c>
      <c r="Y109" s="16" t="str">
        <f t="shared" si="66"/>
        <v/>
      </c>
      <c r="Z109" s="16" t="str">
        <f t="shared" si="67"/>
        <v/>
      </c>
      <c r="AA109" s="16" t="str">
        <f t="shared" si="96"/>
        <v/>
      </c>
      <c r="AB109" s="16" t="str">
        <f t="shared" si="97"/>
        <v/>
      </c>
      <c r="AC109" s="29" t="str">
        <f t="shared" si="68"/>
        <v/>
      </c>
      <c r="AD109" s="29" t="str">
        <f t="shared" si="69"/>
        <v/>
      </c>
      <c r="AE109" s="2"/>
      <c r="AF109" s="2"/>
      <c r="AG109" s="2"/>
      <c r="AH109" s="2"/>
      <c r="AI109" s="2"/>
      <c r="AJ109" s="2"/>
      <c r="AK109" s="2"/>
      <c r="AL109" s="2"/>
      <c r="AM109" s="2"/>
      <c r="AN109" s="2"/>
      <c r="AO109" s="2"/>
      <c r="AP109" s="2"/>
      <c r="AQ109" s="2"/>
      <c r="AT109" s="208"/>
      <c r="AU109" s="215" t="str">
        <f t="shared" si="76"/>
        <v/>
      </c>
      <c r="AV109" s="217" t="str">
        <f t="shared" si="77"/>
        <v/>
      </c>
      <c r="AW109" s="217" t="str">
        <f t="shared" si="78"/>
        <v/>
      </c>
      <c r="AX109" s="215" t="str">
        <f t="shared" si="79"/>
        <v/>
      </c>
      <c r="AY109" s="217" t="str">
        <f t="shared" si="80"/>
        <v/>
      </c>
      <c r="AZ109" s="217" t="str">
        <f t="shared" si="81"/>
        <v/>
      </c>
      <c r="BA109" s="215" t="str">
        <f t="shared" si="82"/>
        <v/>
      </c>
      <c r="BB109" s="217" t="str">
        <f t="shared" si="83"/>
        <v/>
      </c>
      <c r="BC109" s="217" t="str">
        <f t="shared" si="84"/>
        <v/>
      </c>
      <c r="BD109" s="215" t="str">
        <f t="shared" si="85"/>
        <v/>
      </c>
      <c r="BE109" s="217" t="str">
        <f t="shared" si="86"/>
        <v/>
      </c>
      <c r="BF109" s="217" t="str">
        <f t="shared" si="87"/>
        <v/>
      </c>
      <c r="BG109" s="215" t="str">
        <f t="shared" si="88"/>
        <v/>
      </c>
      <c r="BH109" s="217" t="str">
        <f t="shared" si="89"/>
        <v/>
      </c>
      <c r="BI109" s="217" t="str">
        <f t="shared" si="90"/>
        <v/>
      </c>
      <c r="BJ109" s="215" t="str">
        <f t="shared" si="91"/>
        <v/>
      </c>
      <c r="BK109" s="217" t="str">
        <f t="shared" si="92"/>
        <v/>
      </c>
      <c r="BL109" s="217" t="str">
        <f t="shared" si="93"/>
        <v/>
      </c>
    </row>
    <row r="110" spans="1:64" x14ac:dyDescent="0.25">
      <c r="A110" s="48"/>
      <c r="B110" s="54"/>
      <c r="C110" s="54"/>
      <c r="D110" s="54"/>
      <c r="E110" s="54"/>
      <c r="F110" s="54"/>
      <c r="G110" s="54"/>
      <c r="H110" s="54"/>
      <c r="I110" s="54"/>
      <c r="J110" s="2"/>
      <c r="K110" s="54"/>
      <c r="L110" s="2"/>
      <c r="M110" s="2"/>
      <c r="N110" s="2"/>
      <c r="O110" s="2"/>
      <c r="P110" s="2"/>
      <c r="Q110" s="2"/>
      <c r="R110" s="2"/>
      <c r="S110" s="259"/>
      <c r="T110" s="2"/>
      <c r="U110" s="264">
        <v>106</v>
      </c>
      <c r="V110" s="16" t="str">
        <f t="shared" si="94"/>
        <v/>
      </c>
      <c r="W110" s="16" t="str">
        <f t="shared" si="95"/>
        <v/>
      </c>
      <c r="X110" s="16" t="str">
        <f t="shared" si="65"/>
        <v/>
      </c>
      <c r="Y110" s="16" t="str">
        <f t="shared" si="66"/>
        <v/>
      </c>
      <c r="Z110" s="16" t="str">
        <f t="shared" si="67"/>
        <v/>
      </c>
      <c r="AA110" s="16" t="str">
        <f t="shared" si="96"/>
        <v/>
      </c>
      <c r="AB110" s="16" t="str">
        <f t="shared" si="97"/>
        <v/>
      </c>
      <c r="AC110" s="29" t="str">
        <f t="shared" si="68"/>
        <v/>
      </c>
      <c r="AD110" s="29" t="str">
        <f t="shared" si="69"/>
        <v/>
      </c>
      <c r="AE110" s="2"/>
      <c r="AF110" s="2"/>
      <c r="AG110" s="2"/>
      <c r="AH110" s="2"/>
      <c r="AI110" s="2"/>
      <c r="AJ110" s="2"/>
      <c r="AK110" s="2"/>
      <c r="AL110" s="2"/>
      <c r="AM110" s="2"/>
      <c r="AN110" s="2"/>
      <c r="AO110" s="2"/>
      <c r="AP110" s="2"/>
      <c r="AQ110" s="2"/>
      <c r="AT110" s="208"/>
      <c r="AU110" s="215" t="str">
        <f t="shared" si="76"/>
        <v/>
      </c>
      <c r="AV110" s="217" t="str">
        <f t="shared" si="77"/>
        <v/>
      </c>
      <c r="AW110" s="217" t="str">
        <f t="shared" si="78"/>
        <v/>
      </c>
      <c r="AX110" s="215" t="str">
        <f t="shared" si="79"/>
        <v/>
      </c>
      <c r="AY110" s="217" t="str">
        <f t="shared" si="80"/>
        <v/>
      </c>
      <c r="AZ110" s="217" t="str">
        <f t="shared" si="81"/>
        <v/>
      </c>
      <c r="BA110" s="215" t="str">
        <f t="shared" si="82"/>
        <v/>
      </c>
      <c r="BB110" s="217" t="str">
        <f t="shared" si="83"/>
        <v/>
      </c>
      <c r="BC110" s="217" t="str">
        <f t="shared" si="84"/>
        <v/>
      </c>
      <c r="BD110" s="215" t="str">
        <f t="shared" si="85"/>
        <v/>
      </c>
      <c r="BE110" s="217" t="str">
        <f t="shared" si="86"/>
        <v/>
      </c>
      <c r="BF110" s="217" t="str">
        <f t="shared" si="87"/>
        <v/>
      </c>
      <c r="BG110" s="215" t="str">
        <f t="shared" si="88"/>
        <v/>
      </c>
      <c r="BH110" s="217" t="str">
        <f t="shared" si="89"/>
        <v/>
      </c>
      <c r="BI110" s="217" t="str">
        <f t="shared" si="90"/>
        <v/>
      </c>
      <c r="BJ110" s="215" t="str">
        <f t="shared" si="91"/>
        <v/>
      </c>
      <c r="BK110" s="217" t="str">
        <f t="shared" si="92"/>
        <v/>
      </c>
      <c r="BL110" s="217" t="str">
        <f t="shared" si="93"/>
        <v/>
      </c>
    </row>
    <row r="111" spans="1:64" x14ac:dyDescent="0.25">
      <c r="A111" s="48"/>
      <c r="B111" s="54"/>
      <c r="C111" s="54"/>
      <c r="D111" s="54"/>
      <c r="E111" s="54"/>
      <c r="F111" s="54"/>
      <c r="G111" s="54"/>
      <c r="H111" s="54"/>
      <c r="I111" s="54"/>
      <c r="J111" s="2"/>
      <c r="K111" s="54"/>
      <c r="L111" s="2"/>
      <c r="M111" s="2"/>
      <c r="N111" s="2"/>
      <c r="O111" s="2"/>
      <c r="P111" s="2"/>
      <c r="Q111" s="2"/>
      <c r="R111" s="2"/>
      <c r="S111" s="259"/>
      <c r="T111" s="2"/>
      <c r="U111" s="264">
        <v>107</v>
      </c>
      <c r="V111" s="16" t="str">
        <f t="shared" si="94"/>
        <v/>
      </c>
      <c r="W111" s="16" t="str">
        <f t="shared" si="95"/>
        <v/>
      </c>
      <c r="X111" s="16" t="str">
        <f t="shared" si="65"/>
        <v/>
      </c>
      <c r="Y111" s="16" t="str">
        <f t="shared" si="66"/>
        <v/>
      </c>
      <c r="Z111" s="16" t="str">
        <f t="shared" si="67"/>
        <v/>
      </c>
      <c r="AA111" s="16" t="str">
        <f t="shared" si="96"/>
        <v/>
      </c>
      <c r="AB111" s="16" t="str">
        <f t="shared" si="97"/>
        <v/>
      </c>
      <c r="AC111" s="29" t="str">
        <f t="shared" si="68"/>
        <v/>
      </c>
      <c r="AD111" s="29" t="str">
        <f t="shared" si="69"/>
        <v/>
      </c>
      <c r="AE111" s="2"/>
      <c r="AF111" s="2"/>
      <c r="AG111" s="2"/>
      <c r="AH111" s="2"/>
      <c r="AI111" s="2"/>
      <c r="AJ111" s="2"/>
      <c r="AK111" s="2"/>
      <c r="AL111" s="2"/>
      <c r="AM111" s="2"/>
      <c r="AN111" s="2"/>
      <c r="AO111" s="2"/>
      <c r="AP111" s="2"/>
      <c r="AQ111" s="2"/>
      <c r="AT111" s="208"/>
      <c r="AU111" s="215" t="str">
        <f t="shared" si="76"/>
        <v/>
      </c>
      <c r="AV111" s="217" t="str">
        <f t="shared" si="77"/>
        <v/>
      </c>
      <c r="AW111" s="217" t="str">
        <f t="shared" si="78"/>
        <v/>
      </c>
      <c r="AX111" s="215" t="str">
        <f t="shared" si="79"/>
        <v/>
      </c>
      <c r="AY111" s="217" t="str">
        <f t="shared" si="80"/>
        <v/>
      </c>
      <c r="AZ111" s="217" t="str">
        <f t="shared" si="81"/>
        <v/>
      </c>
      <c r="BA111" s="215" t="str">
        <f t="shared" si="82"/>
        <v/>
      </c>
      <c r="BB111" s="217" t="str">
        <f t="shared" si="83"/>
        <v/>
      </c>
      <c r="BC111" s="217" t="str">
        <f t="shared" si="84"/>
        <v/>
      </c>
      <c r="BD111" s="215" t="str">
        <f t="shared" si="85"/>
        <v/>
      </c>
      <c r="BE111" s="217" t="str">
        <f t="shared" si="86"/>
        <v/>
      </c>
      <c r="BF111" s="217" t="str">
        <f t="shared" si="87"/>
        <v/>
      </c>
      <c r="BG111" s="215" t="str">
        <f t="shared" si="88"/>
        <v/>
      </c>
      <c r="BH111" s="217" t="str">
        <f t="shared" si="89"/>
        <v/>
      </c>
      <c r="BI111" s="217" t="str">
        <f t="shared" si="90"/>
        <v/>
      </c>
      <c r="BJ111" s="215" t="str">
        <f t="shared" si="91"/>
        <v/>
      </c>
      <c r="BK111" s="217" t="str">
        <f t="shared" si="92"/>
        <v/>
      </c>
      <c r="BL111" s="217" t="str">
        <f t="shared" si="93"/>
        <v/>
      </c>
    </row>
    <row r="112" spans="1:64" x14ac:dyDescent="0.25">
      <c r="A112" s="48"/>
      <c r="B112" s="54"/>
      <c r="C112" s="54"/>
      <c r="D112" s="53"/>
      <c r="E112" s="88"/>
      <c r="F112" s="54"/>
      <c r="G112" s="54"/>
      <c r="H112" s="54"/>
      <c r="I112" s="54"/>
      <c r="J112" s="2"/>
      <c r="K112" s="54"/>
      <c r="L112" s="2"/>
      <c r="M112" s="2"/>
      <c r="N112" s="2"/>
      <c r="O112" s="2"/>
      <c r="P112" s="2"/>
      <c r="Q112" s="2"/>
      <c r="R112" s="2"/>
      <c r="S112" s="259"/>
      <c r="T112" s="2"/>
      <c r="U112" s="264">
        <v>108</v>
      </c>
      <c r="V112" s="16" t="str">
        <f t="shared" si="94"/>
        <v/>
      </c>
      <c r="W112" s="16" t="str">
        <f t="shared" si="95"/>
        <v/>
      </c>
      <c r="X112" s="16" t="str">
        <f t="shared" si="65"/>
        <v/>
      </c>
      <c r="Y112" s="16" t="str">
        <f t="shared" si="66"/>
        <v/>
      </c>
      <c r="Z112" s="16" t="str">
        <f t="shared" si="67"/>
        <v/>
      </c>
      <c r="AA112" s="16" t="str">
        <f t="shared" si="96"/>
        <v/>
      </c>
      <c r="AB112" s="16" t="str">
        <f t="shared" si="97"/>
        <v/>
      </c>
      <c r="AC112" s="29" t="str">
        <f t="shared" si="68"/>
        <v/>
      </c>
      <c r="AD112" s="29" t="str">
        <f t="shared" si="69"/>
        <v/>
      </c>
      <c r="AE112" s="2"/>
      <c r="AF112" s="2"/>
      <c r="AG112" s="2"/>
      <c r="AH112" s="2"/>
      <c r="AI112" s="2"/>
      <c r="AJ112" s="2"/>
      <c r="AK112" s="2"/>
      <c r="AL112" s="2"/>
      <c r="AM112" s="2"/>
      <c r="AN112" s="2"/>
      <c r="AO112" s="2"/>
      <c r="AP112" s="2"/>
      <c r="AQ112" s="2"/>
      <c r="AT112" s="208"/>
      <c r="AU112" s="215" t="str">
        <f t="shared" si="76"/>
        <v/>
      </c>
      <c r="AV112" s="217" t="str">
        <f t="shared" si="77"/>
        <v/>
      </c>
      <c r="AW112" s="217" t="str">
        <f t="shared" si="78"/>
        <v/>
      </c>
      <c r="AX112" s="215" t="str">
        <f t="shared" si="79"/>
        <v/>
      </c>
      <c r="AY112" s="217" t="str">
        <f t="shared" si="80"/>
        <v/>
      </c>
      <c r="AZ112" s="217" t="str">
        <f t="shared" si="81"/>
        <v/>
      </c>
      <c r="BA112" s="215" t="str">
        <f t="shared" si="82"/>
        <v/>
      </c>
      <c r="BB112" s="217" t="str">
        <f t="shared" si="83"/>
        <v/>
      </c>
      <c r="BC112" s="217" t="str">
        <f t="shared" si="84"/>
        <v/>
      </c>
      <c r="BD112" s="215" t="str">
        <f t="shared" si="85"/>
        <v/>
      </c>
      <c r="BE112" s="217" t="str">
        <f t="shared" si="86"/>
        <v/>
      </c>
      <c r="BF112" s="217" t="str">
        <f t="shared" si="87"/>
        <v/>
      </c>
      <c r="BG112" s="215" t="str">
        <f t="shared" si="88"/>
        <v/>
      </c>
      <c r="BH112" s="217" t="str">
        <f t="shared" si="89"/>
        <v/>
      </c>
      <c r="BI112" s="217" t="str">
        <f t="shared" si="90"/>
        <v/>
      </c>
      <c r="BJ112" s="215" t="str">
        <f t="shared" si="91"/>
        <v/>
      </c>
      <c r="BK112" s="217" t="str">
        <f t="shared" si="92"/>
        <v/>
      </c>
      <c r="BL112" s="217" t="str">
        <f t="shared" si="93"/>
        <v/>
      </c>
    </row>
    <row r="113" spans="1:64" x14ac:dyDescent="0.25">
      <c r="A113" s="48"/>
      <c r="B113" s="54"/>
      <c r="C113" s="54"/>
      <c r="D113" s="54"/>
      <c r="E113" s="53"/>
      <c r="F113" s="53"/>
      <c r="G113" s="54"/>
      <c r="H113" s="53"/>
      <c r="I113" s="53"/>
      <c r="J113" s="2"/>
      <c r="K113" s="54"/>
      <c r="L113" s="2"/>
      <c r="M113" s="2"/>
      <c r="N113" s="2"/>
      <c r="O113" s="2"/>
      <c r="P113" s="2"/>
      <c r="Q113" s="2"/>
      <c r="R113" s="2"/>
      <c r="S113" s="259"/>
      <c r="T113" s="2"/>
      <c r="U113" s="264">
        <v>109</v>
      </c>
      <c r="V113" s="16" t="str">
        <f t="shared" si="94"/>
        <v/>
      </c>
      <c r="W113" s="16" t="str">
        <f t="shared" si="95"/>
        <v/>
      </c>
      <c r="X113" s="16" t="str">
        <f t="shared" si="65"/>
        <v/>
      </c>
      <c r="Y113" s="16" t="str">
        <f t="shared" si="66"/>
        <v/>
      </c>
      <c r="Z113" s="16" t="str">
        <f t="shared" si="67"/>
        <v/>
      </c>
      <c r="AA113" s="16" t="str">
        <f t="shared" si="96"/>
        <v/>
      </c>
      <c r="AB113" s="16" t="str">
        <f t="shared" si="97"/>
        <v/>
      </c>
      <c r="AC113" s="29" t="str">
        <f t="shared" si="68"/>
        <v/>
      </c>
      <c r="AD113" s="29" t="str">
        <f t="shared" si="69"/>
        <v/>
      </c>
      <c r="AE113" s="2"/>
      <c r="AF113" s="2"/>
      <c r="AG113" s="2"/>
      <c r="AH113" s="2"/>
      <c r="AI113" s="2"/>
      <c r="AJ113" s="2"/>
      <c r="AK113" s="2"/>
      <c r="AL113" s="2"/>
      <c r="AM113" s="2"/>
      <c r="AN113" s="2"/>
      <c r="AO113" s="2"/>
      <c r="AP113" s="2"/>
      <c r="AQ113" s="2"/>
      <c r="AT113" s="208"/>
      <c r="AU113" s="215" t="str">
        <f t="shared" si="76"/>
        <v/>
      </c>
      <c r="AV113" s="217" t="str">
        <f t="shared" si="77"/>
        <v/>
      </c>
      <c r="AW113" s="217" t="str">
        <f t="shared" si="78"/>
        <v/>
      </c>
      <c r="AX113" s="215" t="str">
        <f t="shared" si="79"/>
        <v/>
      </c>
      <c r="AY113" s="217" t="str">
        <f t="shared" si="80"/>
        <v/>
      </c>
      <c r="AZ113" s="217" t="str">
        <f t="shared" si="81"/>
        <v/>
      </c>
      <c r="BA113" s="215" t="str">
        <f t="shared" si="82"/>
        <v/>
      </c>
      <c r="BB113" s="217" t="str">
        <f t="shared" si="83"/>
        <v/>
      </c>
      <c r="BC113" s="217" t="str">
        <f t="shared" si="84"/>
        <v/>
      </c>
      <c r="BD113" s="215" t="str">
        <f t="shared" si="85"/>
        <v/>
      </c>
      <c r="BE113" s="217" t="str">
        <f t="shared" si="86"/>
        <v/>
      </c>
      <c r="BF113" s="217" t="str">
        <f t="shared" si="87"/>
        <v/>
      </c>
      <c r="BG113" s="215" t="str">
        <f t="shared" si="88"/>
        <v/>
      </c>
      <c r="BH113" s="217" t="str">
        <f t="shared" si="89"/>
        <v/>
      </c>
      <c r="BI113" s="217" t="str">
        <f t="shared" si="90"/>
        <v/>
      </c>
      <c r="BJ113" s="215" t="str">
        <f t="shared" si="91"/>
        <v/>
      </c>
      <c r="BK113" s="217" t="str">
        <f t="shared" si="92"/>
        <v/>
      </c>
      <c r="BL113" s="217" t="str">
        <f t="shared" si="93"/>
        <v/>
      </c>
    </row>
    <row r="114" spans="1:64" x14ac:dyDescent="0.25">
      <c r="A114" s="48"/>
      <c r="B114" s="54"/>
      <c r="C114" s="54"/>
      <c r="D114" s="54"/>
      <c r="E114" s="77"/>
      <c r="F114" s="77"/>
      <c r="G114" s="54"/>
      <c r="H114" s="77"/>
      <c r="I114" s="77"/>
      <c r="J114" s="2"/>
      <c r="K114" s="54"/>
      <c r="L114" s="2"/>
      <c r="M114" s="2"/>
      <c r="N114" s="2"/>
      <c r="O114" s="2"/>
      <c r="P114" s="2"/>
      <c r="Q114" s="2"/>
      <c r="R114" s="2"/>
      <c r="S114" s="259"/>
      <c r="T114" s="2"/>
      <c r="U114" s="264">
        <v>110</v>
      </c>
      <c r="V114" s="16" t="str">
        <f t="shared" si="94"/>
        <v/>
      </c>
      <c r="W114" s="16" t="str">
        <f t="shared" si="95"/>
        <v/>
      </c>
      <c r="X114" s="16" t="str">
        <f t="shared" si="65"/>
        <v/>
      </c>
      <c r="Y114" s="16" t="str">
        <f t="shared" si="66"/>
        <v/>
      </c>
      <c r="Z114" s="16" t="str">
        <f t="shared" si="67"/>
        <v/>
      </c>
      <c r="AA114" s="16" t="str">
        <f t="shared" si="96"/>
        <v/>
      </c>
      <c r="AB114" s="16" t="str">
        <f t="shared" si="97"/>
        <v/>
      </c>
      <c r="AC114" s="29" t="str">
        <f t="shared" si="68"/>
        <v/>
      </c>
      <c r="AD114" s="29" t="str">
        <f t="shared" si="69"/>
        <v/>
      </c>
      <c r="AE114" s="2"/>
      <c r="AF114" s="2"/>
      <c r="AG114" s="2"/>
      <c r="AH114" s="2"/>
      <c r="AI114" s="2"/>
      <c r="AJ114" s="2"/>
      <c r="AK114" s="2"/>
      <c r="AL114" s="2"/>
      <c r="AM114" s="2"/>
      <c r="AN114" s="2"/>
      <c r="AO114" s="2"/>
      <c r="AP114" s="2"/>
      <c r="AQ114" s="2"/>
      <c r="AT114" s="208"/>
      <c r="AU114" s="215" t="str">
        <f t="shared" si="76"/>
        <v/>
      </c>
      <c r="AV114" s="217" t="str">
        <f t="shared" si="77"/>
        <v/>
      </c>
      <c r="AW114" s="217" t="str">
        <f t="shared" si="78"/>
        <v/>
      </c>
      <c r="AX114" s="215" t="str">
        <f t="shared" si="79"/>
        <v/>
      </c>
      <c r="AY114" s="217" t="str">
        <f t="shared" si="80"/>
        <v/>
      </c>
      <c r="AZ114" s="217" t="str">
        <f t="shared" si="81"/>
        <v/>
      </c>
      <c r="BA114" s="215" t="str">
        <f t="shared" si="82"/>
        <v/>
      </c>
      <c r="BB114" s="217" t="str">
        <f t="shared" si="83"/>
        <v/>
      </c>
      <c r="BC114" s="217" t="str">
        <f t="shared" si="84"/>
        <v/>
      </c>
      <c r="BD114" s="215" t="str">
        <f t="shared" si="85"/>
        <v/>
      </c>
      <c r="BE114" s="217" t="str">
        <f t="shared" si="86"/>
        <v/>
      </c>
      <c r="BF114" s="217" t="str">
        <f t="shared" si="87"/>
        <v/>
      </c>
      <c r="BG114" s="215" t="str">
        <f t="shared" si="88"/>
        <v/>
      </c>
      <c r="BH114" s="217" t="str">
        <f t="shared" si="89"/>
        <v/>
      </c>
      <c r="BI114" s="217" t="str">
        <f t="shared" si="90"/>
        <v/>
      </c>
      <c r="BJ114" s="215" t="str">
        <f t="shared" si="91"/>
        <v/>
      </c>
      <c r="BK114" s="217" t="str">
        <f t="shared" si="92"/>
        <v/>
      </c>
      <c r="BL114" s="217" t="str">
        <f t="shared" si="93"/>
        <v/>
      </c>
    </row>
    <row r="115" spans="1:64" x14ac:dyDescent="0.25">
      <c r="A115" s="48"/>
      <c r="B115" s="54"/>
      <c r="C115" s="54"/>
      <c r="D115" s="54"/>
      <c r="E115" s="81"/>
      <c r="F115" s="81"/>
      <c r="G115" s="54"/>
      <c r="H115" s="81"/>
      <c r="I115" s="81"/>
      <c r="J115" s="2"/>
      <c r="K115" s="54"/>
      <c r="L115" s="2"/>
      <c r="M115" s="2"/>
      <c r="N115" s="2"/>
      <c r="O115" s="2"/>
      <c r="P115" s="2"/>
      <c r="Q115" s="2"/>
      <c r="R115" s="2"/>
      <c r="S115" s="259"/>
      <c r="T115" s="2"/>
      <c r="U115" s="264">
        <v>111</v>
      </c>
      <c r="V115" s="16" t="str">
        <f t="shared" si="94"/>
        <v/>
      </c>
      <c r="W115" s="16" t="str">
        <f t="shared" si="95"/>
        <v/>
      </c>
      <c r="X115" s="16" t="str">
        <f t="shared" si="65"/>
        <v/>
      </c>
      <c r="Y115" s="16" t="str">
        <f t="shared" si="66"/>
        <v/>
      </c>
      <c r="Z115" s="16" t="str">
        <f t="shared" si="67"/>
        <v/>
      </c>
      <c r="AA115" s="16" t="str">
        <f t="shared" si="96"/>
        <v/>
      </c>
      <c r="AB115" s="16" t="str">
        <f t="shared" si="97"/>
        <v/>
      </c>
      <c r="AC115" s="29" t="str">
        <f t="shared" si="68"/>
        <v/>
      </c>
      <c r="AD115" s="29" t="str">
        <f t="shared" si="69"/>
        <v/>
      </c>
      <c r="AE115" s="2"/>
      <c r="AF115" s="2"/>
      <c r="AG115" s="2"/>
      <c r="AH115" s="2"/>
      <c r="AI115" s="2"/>
      <c r="AJ115" s="2"/>
      <c r="AK115" s="2"/>
      <c r="AL115" s="2"/>
      <c r="AM115" s="2"/>
      <c r="AN115" s="2"/>
      <c r="AO115" s="2"/>
      <c r="AP115" s="2"/>
      <c r="AQ115" s="2"/>
      <c r="AT115" s="208"/>
      <c r="AU115" s="215" t="str">
        <f t="shared" si="76"/>
        <v/>
      </c>
      <c r="AV115" s="221" t="str">
        <f t="shared" si="77"/>
        <v/>
      </c>
      <c r="AW115" s="221" t="str">
        <f t="shared" si="78"/>
        <v/>
      </c>
      <c r="AX115" s="215" t="str">
        <f t="shared" si="79"/>
        <v/>
      </c>
      <c r="AY115" s="221" t="str">
        <f t="shared" si="80"/>
        <v/>
      </c>
      <c r="AZ115" s="221" t="str">
        <f t="shared" si="81"/>
        <v/>
      </c>
      <c r="BA115" s="215" t="str">
        <f t="shared" si="82"/>
        <v/>
      </c>
      <c r="BB115" s="221" t="str">
        <f t="shared" si="83"/>
        <v/>
      </c>
      <c r="BC115" s="221" t="str">
        <f t="shared" si="84"/>
        <v/>
      </c>
      <c r="BD115" s="215" t="str">
        <f t="shared" si="85"/>
        <v/>
      </c>
      <c r="BE115" s="221" t="str">
        <f t="shared" si="86"/>
        <v/>
      </c>
      <c r="BF115" s="221" t="str">
        <f t="shared" si="87"/>
        <v/>
      </c>
      <c r="BG115" s="215" t="str">
        <f t="shared" si="88"/>
        <v/>
      </c>
      <c r="BH115" s="221" t="str">
        <f t="shared" si="89"/>
        <v/>
      </c>
      <c r="BI115" s="221" t="str">
        <f t="shared" si="90"/>
        <v/>
      </c>
      <c r="BJ115" s="215" t="str">
        <f t="shared" si="91"/>
        <v/>
      </c>
      <c r="BK115" s="221" t="str">
        <f t="shared" si="92"/>
        <v/>
      </c>
      <c r="BL115" s="221" t="str">
        <f t="shared" si="93"/>
        <v/>
      </c>
    </row>
    <row r="116" spans="1:64" x14ac:dyDescent="0.25">
      <c r="A116" s="48"/>
      <c r="B116" s="54"/>
      <c r="C116" s="54"/>
      <c r="D116" s="54"/>
      <c r="E116" s="54"/>
      <c r="F116" s="54"/>
      <c r="G116" s="54"/>
      <c r="H116" s="54"/>
      <c r="I116" s="54"/>
      <c r="J116" s="2"/>
      <c r="K116" s="54"/>
      <c r="L116" s="2"/>
      <c r="M116" s="2"/>
      <c r="N116" s="2"/>
      <c r="O116" s="2"/>
      <c r="P116" s="2"/>
      <c r="Q116" s="2"/>
      <c r="R116" s="2"/>
      <c r="S116" s="259"/>
      <c r="T116" s="2"/>
      <c r="U116" s="264">
        <v>112</v>
      </c>
      <c r="V116" s="16" t="str">
        <f t="shared" si="94"/>
        <v/>
      </c>
      <c r="W116" s="16" t="str">
        <f t="shared" si="95"/>
        <v/>
      </c>
      <c r="X116" s="16" t="str">
        <f t="shared" si="65"/>
        <v/>
      </c>
      <c r="Y116" s="16" t="str">
        <f t="shared" si="66"/>
        <v/>
      </c>
      <c r="Z116" s="16" t="str">
        <f t="shared" si="67"/>
        <v/>
      </c>
      <c r="AA116" s="16" t="str">
        <f t="shared" si="96"/>
        <v/>
      </c>
      <c r="AB116" s="16" t="str">
        <f t="shared" si="97"/>
        <v/>
      </c>
      <c r="AC116" s="29" t="str">
        <f t="shared" si="68"/>
        <v/>
      </c>
      <c r="AD116" s="29" t="str">
        <f t="shared" si="69"/>
        <v/>
      </c>
      <c r="AE116" s="2"/>
      <c r="AF116" s="2"/>
      <c r="AG116" s="2"/>
      <c r="AH116" s="2"/>
      <c r="AI116" s="2"/>
      <c r="AJ116" s="2"/>
      <c r="AK116" s="2"/>
      <c r="AL116" s="2"/>
      <c r="AM116" s="2"/>
      <c r="AN116" s="2"/>
      <c r="AO116" s="2"/>
      <c r="AP116" s="2"/>
      <c r="AQ116" s="2"/>
      <c r="AT116" s="208"/>
      <c r="AU116" s="215" t="str">
        <f t="shared" si="76"/>
        <v/>
      </c>
      <c r="AV116" s="217" t="str">
        <f t="shared" si="77"/>
        <v/>
      </c>
      <c r="AW116" s="229" t="str">
        <f t="shared" si="78"/>
        <v/>
      </c>
      <c r="AX116" s="215" t="str">
        <f t="shared" si="79"/>
        <v/>
      </c>
      <c r="AY116" s="217" t="str">
        <f t="shared" si="80"/>
        <v/>
      </c>
      <c r="AZ116" s="229" t="str">
        <f t="shared" si="81"/>
        <v/>
      </c>
      <c r="BA116" s="215" t="str">
        <f t="shared" si="82"/>
        <v/>
      </c>
      <c r="BB116" s="217" t="str">
        <f t="shared" si="83"/>
        <v/>
      </c>
      <c r="BC116" s="229" t="str">
        <f t="shared" si="84"/>
        <v/>
      </c>
      <c r="BD116" s="215" t="str">
        <f t="shared" si="85"/>
        <v/>
      </c>
      <c r="BE116" s="217" t="str">
        <f t="shared" si="86"/>
        <v/>
      </c>
      <c r="BF116" s="229" t="str">
        <f t="shared" si="87"/>
        <v/>
      </c>
      <c r="BG116" s="215" t="str">
        <f t="shared" si="88"/>
        <v/>
      </c>
      <c r="BH116" s="217" t="str">
        <f t="shared" si="89"/>
        <v/>
      </c>
      <c r="BI116" s="229" t="str">
        <f t="shared" si="90"/>
        <v/>
      </c>
      <c r="BJ116" s="215" t="str">
        <f t="shared" si="91"/>
        <v/>
      </c>
      <c r="BK116" s="217" t="str">
        <f t="shared" si="92"/>
        <v/>
      </c>
      <c r="BL116" s="229" t="str">
        <f t="shared" si="93"/>
        <v/>
      </c>
    </row>
    <row r="117" spans="1:64" x14ac:dyDescent="0.25">
      <c r="A117" s="48"/>
      <c r="B117" s="54"/>
      <c r="C117" s="54"/>
      <c r="D117" s="54"/>
      <c r="E117" s="54"/>
      <c r="F117" s="54"/>
      <c r="G117" s="54"/>
      <c r="H117" s="54"/>
      <c r="I117" s="54"/>
      <c r="J117" s="2"/>
      <c r="K117" s="54"/>
      <c r="L117" s="2"/>
      <c r="M117" s="2"/>
      <c r="N117" s="2"/>
      <c r="O117" s="2"/>
      <c r="P117" s="2"/>
      <c r="Q117" s="2"/>
      <c r="R117" s="2"/>
      <c r="S117" s="259"/>
      <c r="T117" s="2"/>
      <c r="U117" s="264">
        <v>113</v>
      </c>
      <c r="V117" s="16" t="str">
        <f t="shared" si="94"/>
        <v/>
      </c>
      <c r="W117" s="16" t="str">
        <f t="shared" si="95"/>
        <v/>
      </c>
      <c r="X117" s="16" t="str">
        <f t="shared" si="65"/>
        <v/>
      </c>
      <c r="Y117" s="16" t="str">
        <f t="shared" si="66"/>
        <v/>
      </c>
      <c r="Z117" s="16" t="str">
        <f t="shared" si="67"/>
        <v/>
      </c>
      <c r="AA117" s="16" t="str">
        <f t="shared" si="96"/>
        <v/>
      </c>
      <c r="AB117" s="16" t="str">
        <f t="shared" si="97"/>
        <v/>
      </c>
      <c r="AC117" s="29" t="str">
        <f t="shared" si="68"/>
        <v/>
      </c>
      <c r="AD117" s="29" t="str">
        <f t="shared" si="69"/>
        <v/>
      </c>
      <c r="AE117" s="2"/>
      <c r="AF117" s="2"/>
      <c r="AG117" s="2"/>
      <c r="AH117" s="2"/>
      <c r="AI117" s="2"/>
      <c r="AJ117" s="2"/>
      <c r="AK117" s="2"/>
      <c r="AL117" s="2"/>
      <c r="AM117" s="2"/>
      <c r="AN117" s="2"/>
      <c r="AO117" s="2"/>
      <c r="AP117" s="2"/>
      <c r="AQ117" s="2"/>
      <c r="AT117" s="193"/>
      <c r="AU117" s="215" t="str">
        <f t="shared" si="76"/>
        <v/>
      </c>
      <c r="AV117" s="217" t="str">
        <f t="shared" si="77"/>
        <v/>
      </c>
      <c r="AW117" s="229" t="str">
        <f t="shared" si="78"/>
        <v/>
      </c>
      <c r="AX117" s="215" t="str">
        <f t="shared" si="79"/>
        <v/>
      </c>
      <c r="AY117" s="217" t="str">
        <f t="shared" si="80"/>
        <v/>
      </c>
      <c r="AZ117" s="229" t="str">
        <f t="shared" si="81"/>
        <v/>
      </c>
      <c r="BA117" s="215" t="str">
        <f t="shared" si="82"/>
        <v/>
      </c>
      <c r="BB117" s="217" t="str">
        <f t="shared" si="83"/>
        <v/>
      </c>
      <c r="BC117" s="229" t="str">
        <f t="shared" si="84"/>
        <v/>
      </c>
      <c r="BD117" s="215" t="str">
        <f t="shared" si="85"/>
        <v/>
      </c>
      <c r="BE117" s="217" t="str">
        <f t="shared" si="86"/>
        <v/>
      </c>
      <c r="BF117" s="229" t="str">
        <f t="shared" si="87"/>
        <v/>
      </c>
      <c r="BG117" s="215" t="str">
        <f t="shared" si="88"/>
        <v/>
      </c>
      <c r="BH117" s="217" t="str">
        <f t="shared" si="89"/>
        <v/>
      </c>
      <c r="BI117" s="229" t="str">
        <f t="shared" si="90"/>
        <v/>
      </c>
      <c r="BJ117" s="215" t="str">
        <f t="shared" si="91"/>
        <v/>
      </c>
      <c r="BK117" s="217" t="str">
        <f t="shared" si="92"/>
        <v/>
      </c>
      <c r="BL117" s="229" t="str">
        <f t="shared" si="93"/>
        <v/>
      </c>
    </row>
    <row r="118" spans="1:64" x14ac:dyDescent="0.25">
      <c r="A118" s="48"/>
      <c r="B118" s="54"/>
      <c r="C118" s="54"/>
      <c r="D118" s="54"/>
      <c r="E118" s="54"/>
      <c r="F118" s="54"/>
      <c r="G118" s="54"/>
      <c r="H118" s="54"/>
      <c r="I118" s="54"/>
      <c r="J118" s="2"/>
      <c r="K118" s="54"/>
      <c r="L118" s="2"/>
      <c r="M118" s="2"/>
      <c r="N118" s="2"/>
      <c r="O118" s="2"/>
      <c r="P118" s="2"/>
      <c r="Q118" s="2"/>
      <c r="R118" s="2"/>
      <c r="S118" s="259"/>
      <c r="T118" s="2"/>
      <c r="U118" s="264">
        <v>114</v>
      </c>
      <c r="V118" s="16" t="str">
        <f t="shared" si="94"/>
        <v/>
      </c>
      <c r="W118" s="16" t="str">
        <f t="shared" si="95"/>
        <v/>
      </c>
      <c r="X118" s="16" t="str">
        <f t="shared" si="65"/>
        <v/>
      </c>
      <c r="Y118" s="16" t="str">
        <f t="shared" si="66"/>
        <v/>
      </c>
      <c r="Z118" s="16" t="str">
        <f t="shared" si="67"/>
        <v/>
      </c>
      <c r="AA118" s="16" t="str">
        <f t="shared" si="96"/>
        <v/>
      </c>
      <c r="AB118" s="16" t="str">
        <f t="shared" si="97"/>
        <v/>
      </c>
      <c r="AC118" s="29" t="str">
        <f t="shared" si="68"/>
        <v/>
      </c>
      <c r="AD118" s="29" t="str">
        <f t="shared" si="69"/>
        <v/>
      </c>
      <c r="AE118" s="2"/>
      <c r="AF118" s="2"/>
      <c r="AG118" s="2"/>
      <c r="AH118" s="2"/>
      <c r="AI118" s="2"/>
      <c r="AJ118" s="2"/>
      <c r="AK118" s="2"/>
      <c r="AL118" s="2"/>
      <c r="AM118" s="2"/>
      <c r="AN118" s="2"/>
      <c r="AO118" s="2"/>
      <c r="AP118" s="2"/>
      <c r="AQ118" s="2"/>
      <c r="AU118" s="215" t="str">
        <f t="shared" si="76"/>
        <v/>
      </c>
      <c r="AV118" s="217" t="str">
        <f t="shared" si="77"/>
        <v/>
      </c>
      <c r="AW118" s="217" t="str">
        <f t="shared" si="78"/>
        <v/>
      </c>
      <c r="AX118" s="215" t="str">
        <f t="shared" si="79"/>
        <v/>
      </c>
      <c r="AY118" s="217" t="str">
        <f t="shared" si="80"/>
        <v/>
      </c>
      <c r="AZ118" s="217" t="str">
        <f t="shared" si="81"/>
        <v/>
      </c>
      <c r="BA118" s="215" t="str">
        <f t="shared" si="82"/>
        <v/>
      </c>
      <c r="BB118" s="217" t="str">
        <f t="shared" si="83"/>
        <v/>
      </c>
      <c r="BC118" s="217" t="str">
        <f t="shared" si="84"/>
        <v/>
      </c>
      <c r="BD118" s="215" t="str">
        <f t="shared" si="85"/>
        <v/>
      </c>
      <c r="BE118" s="217" t="str">
        <f t="shared" si="86"/>
        <v/>
      </c>
      <c r="BF118" s="217" t="str">
        <f t="shared" si="87"/>
        <v/>
      </c>
      <c r="BG118" s="215" t="str">
        <f t="shared" si="88"/>
        <v/>
      </c>
      <c r="BH118" s="217" t="str">
        <f t="shared" si="89"/>
        <v/>
      </c>
      <c r="BI118" s="217" t="str">
        <f t="shared" si="90"/>
        <v/>
      </c>
      <c r="BJ118" s="215" t="str">
        <f t="shared" si="91"/>
        <v/>
      </c>
      <c r="BK118" s="217" t="str">
        <f t="shared" si="92"/>
        <v/>
      </c>
      <c r="BL118" s="217" t="str">
        <f t="shared" si="93"/>
        <v/>
      </c>
    </row>
    <row r="119" spans="1:64" x14ac:dyDescent="0.25">
      <c r="A119" s="48"/>
      <c r="B119" s="54"/>
      <c r="C119" s="54"/>
      <c r="D119" s="54"/>
      <c r="E119" s="54"/>
      <c r="F119" s="54"/>
      <c r="G119" s="54"/>
      <c r="H119" s="54"/>
      <c r="I119" s="54"/>
      <c r="J119" s="2"/>
      <c r="K119" s="54"/>
      <c r="L119" s="2"/>
      <c r="M119" s="2"/>
      <c r="N119" s="2"/>
      <c r="O119" s="2"/>
      <c r="P119" s="2"/>
      <c r="Q119" s="2"/>
      <c r="R119" s="2"/>
      <c r="S119" s="259"/>
      <c r="T119" s="2"/>
      <c r="U119" s="264">
        <v>115</v>
      </c>
      <c r="V119" s="16" t="str">
        <f t="shared" si="94"/>
        <v/>
      </c>
      <c r="W119" s="16" t="str">
        <f t="shared" si="95"/>
        <v/>
      </c>
      <c r="X119" s="16" t="str">
        <f t="shared" si="65"/>
        <v/>
      </c>
      <c r="Y119" s="16" t="str">
        <f t="shared" si="66"/>
        <v/>
      </c>
      <c r="Z119" s="16" t="str">
        <f t="shared" si="67"/>
        <v/>
      </c>
      <c r="AA119" s="16" t="str">
        <f t="shared" si="96"/>
        <v/>
      </c>
      <c r="AB119" s="16" t="str">
        <f t="shared" si="97"/>
        <v/>
      </c>
      <c r="AC119" s="29" t="str">
        <f t="shared" si="68"/>
        <v/>
      </c>
      <c r="AD119" s="29" t="str">
        <f t="shared" si="69"/>
        <v/>
      </c>
      <c r="AE119" s="2"/>
      <c r="AF119" s="2"/>
      <c r="AG119" s="2"/>
      <c r="AH119" s="2"/>
      <c r="AI119" s="2"/>
      <c r="AJ119" s="2"/>
      <c r="AK119" s="2"/>
      <c r="AL119" s="2"/>
      <c r="AM119" s="2"/>
      <c r="AN119" s="2"/>
      <c r="AO119" s="2"/>
      <c r="AP119" s="2"/>
      <c r="AQ119" s="2"/>
      <c r="AU119" s="215" t="str">
        <f t="shared" si="76"/>
        <v/>
      </c>
      <c r="AV119" s="217" t="str">
        <f t="shared" si="77"/>
        <v/>
      </c>
      <c r="AW119" s="217" t="str">
        <f t="shared" si="78"/>
        <v/>
      </c>
      <c r="AX119" s="215" t="str">
        <f t="shared" si="79"/>
        <v/>
      </c>
      <c r="AY119" s="217" t="str">
        <f t="shared" si="80"/>
        <v/>
      </c>
      <c r="AZ119" s="217" t="str">
        <f t="shared" si="81"/>
        <v/>
      </c>
      <c r="BA119" s="215" t="str">
        <f t="shared" si="82"/>
        <v/>
      </c>
      <c r="BB119" s="217" t="str">
        <f t="shared" si="83"/>
        <v/>
      </c>
      <c r="BC119" s="217" t="str">
        <f t="shared" si="84"/>
        <v/>
      </c>
      <c r="BD119" s="215" t="str">
        <f t="shared" si="85"/>
        <v/>
      </c>
      <c r="BE119" s="217" t="str">
        <f t="shared" si="86"/>
        <v/>
      </c>
      <c r="BF119" s="217" t="str">
        <f t="shared" si="87"/>
        <v/>
      </c>
      <c r="BG119" s="215" t="str">
        <f t="shared" si="88"/>
        <v/>
      </c>
      <c r="BH119" s="217" t="str">
        <f t="shared" si="89"/>
        <v/>
      </c>
      <c r="BI119" s="217" t="str">
        <f t="shared" si="90"/>
        <v/>
      </c>
      <c r="BJ119" s="215" t="str">
        <f t="shared" si="91"/>
        <v/>
      </c>
      <c r="BK119" s="217" t="str">
        <f t="shared" si="92"/>
        <v/>
      </c>
      <c r="BL119" s="217" t="str">
        <f t="shared" si="93"/>
        <v/>
      </c>
    </row>
    <row r="120" spans="1:64" x14ac:dyDescent="0.25">
      <c r="A120" s="48"/>
      <c r="B120" s="54"/>
      <c r="C120" s="54"/>
      <c r="D120" s="54"/>
      <c r="E120" s="54"/>
      <c r="F120" s="54"/>
      <c r="G120" s="54"/>
      <c r="H120" s="54"/>
      <c r="I120" s="54"/>
      <c r="J120" s="54"/>
      <c r="K120" s="54"/>
      <c r="L120" s="2"/>
      <c r="M120" s="2"/>
      <c r="N120" s="2"/>
      <c r="O120" s="2"/>
      <c r="P120" s="2"/>
      <c r="Q120" s="2"/>
      <c r="R120" s="2"/>
      <c r="S120" s="259"/>
      <c r="T120" s="2"/>
      <c r="U120" s="264">
        <v>116</v>
      </c>
      <c r="V120" s="16" t="str">
        <f t="shared" si="94"/>
        <v/>
      </c>
      <c r="W120" s="16" t="str">
        <f t="shared" si="95"/>
        <v/>
      </c>
      <c r="X120" s="16" t="str">
        <f t="shared" si="65"/>
        <v/>
      </c>
      <c r="Y120" s="16" t="str">
        <f t="shared" si="66"/>
        <v/>
      </c>
      <c r="Z120" s="16" t="str">
        <f t="shared" si="67"/>
        <v/>
      </c>
      <c r="AA120" s="16" t="str">
        <f t="shared" si="96"/>
        <v/>
      </c>
      <c r="AB120" s="16" t="str">
        <f t="shared" si="97"/>
        <v/>
      </c>
      <c r="AC120" s="29" t="str">
        <f t="shared" si="68"/>
        <v/>
      </c>
      <c r="AD120" s="29" t="str">
        <f t="shared" si="69"/>
        <v/>
      </c>
      <c r="AE120" s="2"/>
      <c r="AF120" s="2"/>
      <c r="AG120" s="2"/>
      <c r="AH120" s="2"/>
      <c r="AI120" s="2"/>
      <c r="AJ120" s="2"/>
      <c r="AK120" s="2"/>
      <c r="AL120" s="2"/>
      <c r="AM120" s="2"/>
      <c r="AN120" s="2"/>
      <c r="AO120" s="2"/>
      <c r="AP120" s="2"/>
      <c r="AQ120" s="2"/>
      <c r="AU120" s="215" t="str">
        <f t="shared" si="76"/>
        <v/>
      </c>
      <c r="AV120" s="217" t="str">
        <f t="shared" si="77"/>
        <v/>
      </c>
      <c r="AW120" s="217" t="str">
        <f t="shared" si="78"/>
        <v/>
      </c>
      <c r="AX120" s="215" t="str">
        <f t="shared" si="79"/>
        <v/>
      </c>
      <c r="AY120" s="217" t="str">
        <f t="shared" si="80"/>
        <v/>
      </c>
      <c r="AZ120" s="217" t="str">
        <f t="shared" si="81"/>
        <v/>
      </c>
      <c r="BA120" s="215" t="str">
        <f t="shared" si="82"/>
        <v/>
      </c>
      <c r="BB120" s="217" t="str">
        <f t="shared" si="83"/>
        <v/>
      </c>
      <c r="BC120" s="217" t="str">
        <f t="shared" si="84"/>
        <v/>
      </c>
      <c r="BD120" s="215" t="str">
        <f t="shared" si="85"/>
        <v/>
      </c>
      <c r="BE120" s="217" t="str">
        <f t="shared" si="86"/>
        <v/>
      </c>
      <c r="BF120" s="217" t="str">
        <f t="shared" si="87"/>
        <v/>
      </c>
      <c r="BG120" s="215" t="str">
        <f t="shared" si="88"/>
        <v/>
      </c>
      <c r="BH120" s="217" t="str">
        <f t="shared" si="89"/>
        <v/>
      </c>
      <c r="BI120" s="217" t="str">
        <f t="shared" si="90"/>
        <v/>
      </c>
      <c r="BJ120" s="215" t="str">
        <f t="shared" si="91"/>
        <v/>
      </c>
      <c r="BK120" s="217" t="str">
        <f t="shared" si="92"/>
        <v/>
      </c>
      <c r="BL120" s="217" t="str">
        <f t="shared" si="93"/>
        <v/>
      </c>
    </row>
    <row r="121" spans="1:64" x14ac:dyDescent="0.25">
      <c r="A121" s="48"/>
      <c r="B121" s="54"/>
      <c r="C121" s="54"/>
      <c r="D121" s="54"/>
      <c r="E121" s="54"/>
      <c r="F121" s="54"/>
      <c r="G121" s="54"/>
      <c r="H121" s="54"/>
      <c r="I121" s="54"/>
      <c r="J121" s="54"/>
      <c r="K121" s="54"/>
      <c r="L121" s="2"/>
      <c r="M121" s="2"/>
      <c r="N121" s="2"/>
      <c r="O121" s="2"/>
      <c r="P121" s="2"/>
      <c r="Q121" s="2"/>
      <c r="R121" s="2"/>
      <c r="S121" s="259"/>
      <c r="T121" s="2"/>
      <c r="U121" s="264">
        <v>117</v>
      </c>
      <c r="V121" s="16" t="str">
        <f t="shared" si="94"/>
        <v/>
      </c>
      <c r="W121" s="16" t="str">
        <f t="shared" si="95"/>
        <v/>
      </c>
      <c r="X121" s="16" t="str">
        <f t="shared" si="65"/>
        <v/>
      </c>
      <c r="Y121" s="16" t="str">
        <f t="shared" si="66"/>
        <v/>
      </c>
      <c r="Z121" s="16" t="str">
        <f t="shared" si="67"/>
        <v/>
      </c>
      <c r="AA121" s="16" t="str">
        <f t="shared" si="96"/>
        <v/>
      </c>
      <c r="AB121" s="16" t="str">
        <f t="shared" si="97"/>
        <v/>
      </c>
      <c r="AC121" s="29" t="str">
        <f t="shared" si="68"/>
        <v/>
      </c>
      <c r="AD121" s="29" t="str">
        <f t="shared" si="69"/>
        <v/>
      </c>
      <c r="AE121" s="2"/>
      <c r="AF121" s="2"/>
      <c r="AG121" s="2"/>
      <c r="AH121" s="2"/>
      <c r="AI121" s="2"/>
      <c r="AJ121" s="2"/>
      <c r="AK121" s="2"/>
      <c r="AL121" s="2"/>
      <c r="AM121" s="2"/>
      <c r="AN121" s="2"/>
      <c r="AO121" s="2"/>
      <c r="AP121" s="2"/>
      <c r="AQ121" s="2"/>
      <c r="AU121" s="215" t="str">
        <f t="shared" si="76"/>
        <v/>
      </c>
      <c r="AV121" s="217" t="str">
        <f t="shared" si="77"/>
        <v/>
      </c>
      <c r="AW121" s="217" t="str">
        <f t="shared" si="78"/>
        <v/>
      </c>
      <c r="AX121" s="215" t="str">
        <f t="shared" si="79"/>
        <v/>
      </c>
      <c r="AY121" s="217" t="str">
        <f t="shared" si="80"/>
        <v/>
      </c>
      <c r="AZ121" s="217" t="str">
        <f t="shared" si="81"/>
        <v/>
      </c>
      <c r="BA121" s="215" t="str">
        <f t="shared" si="82"/>
        <v/>
      </c>
      <c r="BB121" s="217" t="str">
        <f t="shared" si="83"/>
        <v/>
      </c>
      <c r="BC121" s="217" t="str">
        <f t="shared" si="84"/>
        <v/>
      </c>
      <c r="BD121" s="215" t="str">
        <f t="shared" si="85"/>
        <v/>
      </c>
      <c r="BE121" s="217" t="str">
        <f t="shared" si="86"/>
        <v/>
      </c>
      <c r="BF121" s="217" t="str">
        <f t="shared" si="87"/>
        <v/>
      </c>
      <c r="BG121" s="215" t="str">
        <f t="shared" si="88"/>
        <v/>
      </c>
      <c r="BH121" s="217" t="str">
        <f t="shared" si="89"/>
        <v/>
      </c>
      <c r="BI121" s="217" t="str">
        <f t="shared" si="90"/>
        <v/>
      </c>
      <c r="BJ121" s="215" t="str">
        <f t="shared" si="91"/>
        <v/>
      </c>
      <c r="BK121" s="217" t="str">
        <f t="shared" si="92"/>
        <v/>
      </c>
      <c r="BL121" s="217" t="str">
        <f t="shared" si="93"/>
        <v/>
      </c>
    </row>
    <row r="122" spans="1:64" x14ac:dyDescent="0.25">
      <c r="A122" s="48"/>
      <c r="B122" s="54"/>
      <c r="C122" s="54"/>
      <c r="D122" s="54"/>
      <c r="E122" s="54"/>
      <c r="F122" s="54"/>
      <c r="G122" s="54"/>
      <c r="H122" s="54"/>
      <c r="I122" s="54"/>
      <c r="J122" s="54"/>
      <c r="K122" s="54"/>
      <c r="L122" s="2"/>
      <c r="M122" s="2"/>
      <c r="N122" s="2"/>
      <c r="O122" s="2"/>
      <c r="P122" s="2"/>
      <c r="Q122" s="2"/>
      <c r="R122" s="2"/>
      <c r="S122" s="259"/>
      <c r="T122" s="2"/>
      <c r="U122" s="264">
        <v>118</v>
      </c>
      <c r="V122" s="16" t="str">
        <f t="shared" si="94"/>
        <v/>
      </c>
      <c r="W122" s="16" t="str">
        <f t="shared" si="95"/>
        <v/>
      </c>
      <c r="X122" s="16" t="str">
        <f t="shared" si="65"/>
        <v/>
      </c>
      <c r="Y122" s="16" t="str">
        <f t="shared" si="66"/>
        <v/>
      </c>
      <c r="Z122" s="16" t="str">
        <f t="shared" si="67"/>
        <v/>
      </c>
      <c r="AA122" s="16" t="str">
        <f t="shared" si="96"/>
        <v/>
      </c>
      <c r="AB122" s="16" t="str">
        <f t="shared" si="97"/>
        <v/>
      </c>
      <c r="AC122" s="29" t="str">
        <f t="shared" si="68"/>
        <v/>
      </c>
      <c r="AD122" s="29" t="str">
        <f t="shared" si="69"/>
        <v/>
      </c>
      <c r="AE122" s="2"/>
      <c r="AF122" s="2"/>
      <c r="AG122" s="2"/>
      <c r="AH122" s="2"/>
      <c r="AI122" s="2"/>
      <c r="AJ122" s="2"/>
      <c r="AK122" s="2"/>
      <c r="AL122" s="2"/>
      <c r="AM122" s="2"/>
      <c r="AN122" s="2"/>
      <c r="AO122" s="2"/>
      <c r="AP122" s="2"/>
      <c r="AQ122" s="2"/>
      <c r="AU122" s="215" t="str">
        <f t="shared" si="76"/>
        <v/>
      </c>
      <c r="AV122" s="217" t="str">
        <f t="shared" si="77"/>
        <v/>
      </c>
      <c r="AW122" s="217" t="str">
        <f t="shared" si="78"/>
        <v/>
      </c>
      <c r="AX122" s="215" t="str">
        <f t="shared" si="79"/>
        <v/>
      </c>
      <c r="AY122" s="217" t="str">
        <f t="shared" si="80"/>
        <v/>
      </c>
      <c r="AZ122" s="217" t="str">
        <f t="shared" si="81"/>
        <v/>
      </c>
      <c r="BA122" s="215" t="str">
        <f t="shared" si="82"/>
        <v/>
      </c>
      <c r="BB122" s="217" t="str">
        <f t="shared" si="83"/>
        <v/>
      </c>
      <c r="BC122" s="217" t="str">
        <f t="shared" si="84"/>
        <v/>
      </c>
      <c r="BD122" s="215" t="str">
        <f t="shared" si="85"/>
        <v/>
      </c>
      <c r="BE122" s="217" t="str">
        <f t="shared" si="86"/>
        <v/>
      </c>
      <c r="BF122" s="217" t="str">
        <f t="shared" si="87"/>
        <v/>
      </c>
      <c r="BG122" s="215" t="str">
        <f t="shared" si="88"/>
        <v/>
      </c>
      <c r="BH122" s="217" t="str">
        <f t="shared" si="89"/>
        <v/>
      </c>
      <c r="BI122" s="217" t="str">
        <f t="shared" si="90"/>
        <v/>
      </c>
      <c r="BJ122" s="215" t="str">
        <f t="shared" si="91"/>
        <v/>
      </c>
      <c r="BK122" s="217" t="str">
        <f t="shared" si="92"/>
        <v/>
      </c>
      <c r="BL122" s="217" t="str">
        <f t="shared" si="93"/>
        <v/>
      </c>
    </row>
    <row r="123" spans="1:64" x14ac:dyDescent="0.25">
      <c r="A123" s="48"/>
      <c r="B123" s="54"/>
      <c r="C123" s="54"/>
      <c r="D123" s="54"/>
      <c r="E123" s="54"/>
      <c r="F123" s="54"/>
      <c r="G123" s="54"/>
      <c r="H123" s="54"/>
      <c r="I123" s="54"/>
      <c r="J123" s="54"/>
      <c r="K123" s="54"/>
      <c r="L123" s="2"/>
      <c r="M123" s="2"/>
      <c r="N123" s="2"/>
      <c r="O123" s="2"/>
      <c r="P123" s="2"/>
      <c r="Q123" s="2"/>
      <c r="R123" s="2"/>
      <c r="S123" s="259"/>
      <c r="T123" s="2"/>
      <c r="U123" s="264">
        <v>119</v>
      </c>
      <c r="V123" s="16" t="str">
        <f t="shared" si="94"/>
        <v/>
      </c>
      <c r="W123" s="16" t="str">
        <f t="shared" si="95"/>
        <v/>
      </c>
      <c r="X123" s="16" t="str">
        <f t="shared" si="65"/>
        <v/>
      </c>
      <c r="Y123" s="16" t="str">
        <f t="shared" si="66"/>
        <v/>
      </c>
      <c r="Z123" s="16" t="str">
        <f t="shared" si="67"/>
        <v/>
      </c>
      <c r="AA123" s="16" t="str">
        <f t="shared" si="96"/>
        <v/>
      </c>
      <c r="AB123" s="16" t="str">
        <f t="shared" si="97"/>
        <v/>
      </c>
      <c r="AC123" s="29" t="str">
        <f t="shared" si="68"/>
        <v/>
      </c>
      <c r="AD123" s="29" t="str">
        <f t="shared" si="69"/>
        <v/>
      </c>
      <c r="AE123" s="2"/>
      <c r="AF123" s="2"/>
      <c r="AG123" s="2"/>
      <c r="AH123" s="2"/>
      <c r="AI123" s="2"/>
      <c r="AJ123" s="2"/>
      <c r="AK123" s="2"/>
      <c r="AL123" s="2"/>
      <c r="AM123" s="2"/>
      <c r="AN123" s="2"/>
      <c r="AO123" s="2"/>
      <c r="AP123" s="2"/>
      <c r="AQ123" s="2"/>
      <c r="AU123" s="215" t="str">
        <f t="shared" si="76"/>
        <v/>
      </c>
      <c r="AV123" s="217" t="str">
        <f t="shared" si="77"/>
        <v/>
      </c>
      <c r="AW123" s="217" t="str">
        <f t="shared" si="78"/>
        <v/>
      </c>
      <c r="AX123" s="215" t="str">
        <f t="shared" si="79"/>
        <v/>
      </c>
      <c r="AY123" s="217" t="str">
        <f t="shared" si="80"/>
        <v/>
      </c>
      <c r="AZ123" s="217" t="str">
        <f t="shared" si="81"/>
        <v/>
      </c>
      <c r="BA123" s="215" t="str">
        <f t="shared" si="82"/>
        <v/>
      </c>
      <c r="BB123" s="217" t="str">
        <f t="shared" si="83"/>
        <v/>
      </c>
      <c r="BC123" s="217" t="str">
        <f t="shared" si="84"/>
        <v/>
      </c>
      <c r="BD123" s="215" t="str">
        <f t="shared" si="85"/>
        <v/>
      </c>
      <c r="BE123" s="217" t="str">
        <f t="shared" si="86"/>
        <v/>
      </c>
      <c r="BF123" s="217" t="str">
        <f t="shared" si="87"/>
        <v/>
      </c>
      <c r="BG123" s="215" t="str">
        <f t="shared" si="88"/>
        <v/>
      </c>
      <c r="BH123" s="217" t="str">
        <f t="shared" si="89"/>
        <v/>
      </c>
      <c r="BI123" s="217" t="str">
        <f t="shared" si="90"/>
        <v/>
      </c>
      <c r="BJ123" s="215" t="str">
        <f t="shared" si="91"/>
        <v/>
      </c>
      <c r="BK123" s="217" t="str">
        <f t="shared" si="92"/>
        <v/>
      </c>
      <c r="BL123" s="217" t="str">
        <f t="shared" si="93"/>
        <v/>
      </c>
    </row>
    <row r="124" spans="1:64" x14ac:dyDescent="0.25">
      <c r="A124" s="48"/>
      <c r="B124" s="54"/>
      <c r="C124" s="54"/>
      <c r="D124" s="54"/>
      <c r="E124" s="54"/>
      <c r="F124" s="54"/>
      <c r="G124" s="54"/>
      <c r="H124" s="54"/>
      <c r="I124" s="54"/>
      <c r="J124" s="54"/>
      <c r="K124" s="54"/>
      <c r="L124" s="2"/>
      <c r="M124" s="2"/>
      <c r="N124" s="2"/>
      <c r="O124" s="2"/>
      <c r="P124" s="2"/>
      <c r="Q124" s="2"/>
      <c r="R124" s="2"/>
      <c r="S124" s="259"/>
      <c r="T124" s="2"/>
      <c r="U124" s="264">
        <v>120</v>
      </c>
      <c r="V124" s="16" t="str">
        <f t="shared" si="94"/>
        <v/>
      </c>
      <c r="W124" s="16" t="str">
        <f t="shared" si="95"/>
        <v/>
      </c>
      <c r="X124" s="16" t="str">
        <f t="shared" si="65"/>
        <v/>
      </c>
      <c r="Y124" s="16" t="str">
        <f t="shared" si="66"/>
        <v/>
      </c>
      <c r="Z124" s="16" t="str">
        <f t="shared" si="67"/>
        <v/>
      </c>
      <c r="AA124" s="16" t="str">
        <f t="shared" si="96"/>
        <v/>
      </c>
      <c r="AB124" s="16" t="str">
        <f t="shared" si="97"/>
        <v/>
      </c>
      <c r="AC124" s="29" t="str">
        <f t="shared" si="68"/>
        <v/>
      </c>
      <c r="AD124" s="29" t="str">
        <f t="shared" si="69"/>
        <v/>
      </c>
      <c r="AE124" s="2"/>
      <c r="AF124" s="2"/>
      <c r="AG124" s="2"/>
      <c r="AH124" s="2"/>
      <c r="AI124" s="2"/>
      <c r="AJ124" s="2"/>
      <c r="AK124" s="2"/>
      <c r="AL124" s="2"/>
      <c r="AM124" s="2"/>
      <c r="AN124" s="2"/>
      <c r="AO124" s="2"/>
      <c r="AP124" s="2"/>
      <c r="AQ124" s="2"/>
      <c r="AU124" s="215" t="str">
        <f t="shared" ref="AU124:AU141" si="98">IF($AW$84&gt;=$U37,$U37,"")</f>
        <v/>
      </c>
      <c r="AV124" s="217" t="str">
        <f t="shared" ref="AV124:AV141" si="99">IF($AU124&lt;&gt;"",$AW$86+($AW$85)*COS( PI()/180*($AW$88+($AU124-1)*360/$AW$84))/2,"")</f>
        <v/>
      </c>
      <c r="AW124" s="217" t="str">
        <f t="shared" ref="AW124:AW141" si="100">IF($AU124&lt;&gt;"",$AW$87+($AW$85)*SIN( PI()/180*($AW$88+($AU124-1)*360/$AW$84))/2,"")</f>
        <v/>
      </c>
      <c r="AX124" s="215" t="str">
        <f t="shared" ref="AX124:AX141" si="101">IF($AW$84&gt;=$U87,$U87,"")</f>
        <v/>
      </c>
      <c r="AY124" s="217" t="str">
        <f t="shared" ref="AY124:AY141" si="102">IF($AX124&lt;&gt;"",$AW$86+($AW$85)*COS( PI()/180*($AW$88+($AX124-1)*360/$AW$84))/2,"")</f>
        <v/>
      </c>
      <c r="AZ124" s="217" t="str">
        <f t="shared" ref="AZ124:AZ141" si="103">IF($AX124&lt;&gt;"",$AW$87+($AW$85)*SIN( PI()/180*($AW$88+($AX124-1)*360/$AW$84))/2,"")</f>
        <v/>
      </c>
      <c r="BA124" s="215" t="str">
        <f t="shared" ref="BA124:BA141" si="104">IF($AW$84&gt;=$U137,$U137,"")</f>
        <v/>
      </c>
      <c r="BB124" s="217" t="str">
        <f t="shared" ref="BB124:BB141" si="105">IF($BA124&lt;&gt;"",$AW$86+($AW$85)*COS( PI()/180*($AW$88+($BA124-1)*360/$AW$84))/2,"")</f>
        <v/>
      </c>
      <c r="BC124" s="217" t="str">
        <f t="shared" ref="BC124:BC141" si="106">IF($BA124&lt;&gt;"",$AW$87+($AW$85)*SIN( PI()/180*($AW$88+($BA124-1)*360/$AW$84))/2,"")</f>
        <v/>
      </c>
      <c r="BD124" s="215" t="str">
        <f t="shared" ref="BD124:BD141" si="107">IF($AW$84&gt;=$U187,$U187,"")</f>
        <v/>
      </c>
      <c r="BE124" s="217" t="str">
        <f t="shared" ref="BE124:BE141" si="108">IF($BD124&lt;&gt;"",$AW$86+($AW$85)*COS( PI()/180*($AW$88+($BD124-1)*360/$AW$84))/2,"")</f>
        <v/>
      </c>
      <c r="BF124" s="217" t="str">
        <f t="shared" ref="BF124:BF141" si="109">IF($BD124&lt;&gt;"",$AW$87+($AW$85)*SIN( PI()/180*($AW$88+($BD124-1)*360/$AW$84))/2,"")</f>
        <v/>
      </c>
      <c r="BG124" s="215" t="str">
        <f t="shared" ref="BG124:BG141" si="110">IF($AW$84&gt;=$U237,$U237,"")</f>
        <v/>
      </c>
      <c r="BH124" s="217" t="str">
        <f t="shared" ref="BH124:BH141" si="111">IF($BG124&lt;&gt;"",$AW$86+($AW$85)*COS( PI()/180*($AW$88+($BG124-1)*360/$AW$84))/2,"")</f>
        <v/>
      </c>
      <c r="BI124" s="217" t="str">
        <f t="shared" ref="BI124:BI141" si="112">IF($BG124&lt;&gt;"",$AW$87+($AW$85)*SIN( PI()/180*($AW$88+($BG124-1)*360/$AW$84))/2,"")</f>
        <v/>
      </c>
      <c r="BJ124" s="215" t="str">
        <f t="shared" ref="BJ124:BJ141" si="113">IF($AW$84&gt;=$U287,$U287,"")</f>
        <v/>
      </c>
      <c r="BK124" s="217" t="str">
        <f t="shared" ref="BK124:BK141" si="114">IF($BJ124&lt;&gt;"",$AW$86+($AW$85)*COS( PI()/180*($AW$88+($BJ124-1)*360/$AW$84))/2,"")</f>
        <v/>
      </c>
      <c r="BL124" s="217" t="str">
        <f t="shared" ref="BL124:BL141" si="115">IF($BJ124&lt;&gt;"",$AW$87+($AW$85)*SIN( PI()/180*($AW$88+($BJ124-1)*360/$AW$84))/2,"")</f>
        <v/>
      </c>
    </row>
    <row r="125" spans="1:64" x14ac:dyDescent="0.25">
      <c r="A125" s="48"/>
      <c r="B125" s="54"/>
      <c r="C125" s="54"/>
      <c r="D125" s="54"/>
      <c r="E125" s="54"/>
      <c r="F125" s="54"/>
      <c r="G125" s="54"/>
      <c r="H125" s="54"/>
      <c r="I125" s="54"/>
      <c r="J125" s="54"/>
      <c r="K125" s="54"/>
      <c r="L125" s="2"/>
      <c r="M125" s="2"/>
      <c r="N125" s="2"/>
      <c r="O125" s="2"/>
      <c r="P125" s="2"/>
      <c r="Q125" s="2"/>
      <c r="R125" s="2"/>
      <c r="S125" s="259"/>
      <c r="T125" s="2"/>
      <c r="U125" s="264">
        <v>121</v>
      </c>
      <c r="V125" s="16" t="str">
        <f t="shared" si="94"/>
        <v/>
      </c>
      <c r="W125" s="16" t="str">
        <f t="shared" si="95"/>
        <v/>
      </c>
      <c r="X125" s="16" t="str">
        <f t="shared" si="65"/>
        <v/>
      </c>
      <c r="Y125" s="16" t="str">
        <f t="shared" si="66"/>
        <v/>
      </c>
      <c r="Z125" s="16" t="str">
        <f t="shared" si="67"/>
        <v/>
      </c>
      <c r="AA125" s="16" t="str">
        <f t="shared" si="96"/>
        <v/>
      </c>
      <c r="AB125" s="16" t="str">
        <f t="shared" si="97"/>
        <v/>
      </c>
      <c r="AC125" s="29" t="str">
        <f t="shared" si="68"/>
        <v/>
      </c>
      <c r="AD125" s="29" t="str">
        <f t="shared" si="69"/>
        <v/>
      </c>
      <c r="AE125" s="2"/>
      <c r="AF125" s="2"/>
      <c r="AG125" s="2"/>
      <c r="AH125" s="2"/>
      <c r="AI125" s="2"/>
      <c r="AJ125" s="2"/>
      <c r="AK125" s="2"/>
      <c r="AL125" s="2"/>
      <c r="AM125" s="2"/>
      <c r="AN125" s="2"/>
      <c r="AO125" s="2"/>
      <c r="AP125" s="2"/>
      <c r="AQ125" s="2"/>
      <c r="AU125" s="215" t="str">
        <f t="shared" si="98"/>
        <v/>
      </c>
      <c r="AV125" s="217" t="str">
        <f t="shared" si="99"/>
        <v/>
      </c>
      <c r="AW125" s="217" t="str">
        <f t="shared" si="100"/>
        <v/>
      </c>
      <c r="AX125" s="215" t="str">
        <f t="shared" si="101"/>
        <v/>
      </c>
      <c r="AY125" s="217" t="str">
        <f t="shared" si="102"/>
        <v/>
      </c>
      <c r="AZ125" s="217" t="str">
        <f t="shared" si="103"/>
        <v/>
      </c>
      <c r="BA125" s="215" t="str">
        <f t="shared" si="104"/>
        <v/>
      </c>
      <c r="BB125" s="217" t="str">
        <f t="shared" si="105"/>
        <v/>
      </c>
      <c r="BC125" s="217" t="str">
        <f t="shared" si="106"/>
        <v/>
      </c>
      <c r="BD125" s="215" t="str">
        <f t="shared" si="107"/>
        <v/>
      </c>
      <c r="BE125" s="217" t="str">
        <f t="shared" si="108"/>
        <v/>
      </c>
      <c r="BF125" s="217" t="str">
        <f t="shared" si="109"/>
        <v/>
      </c>
      <c r="BG125" s="215" t="str">
        <f t="shared" si="110"/>
        <v/>
      </c>
      <c r="BH125" s="217" t="str">
        <f t="shared" si="111"/>
        <v/>
      </c>
      <c r="BI125" s="217" t="str">
        <f t="shared" si="112"/>
        <v/>
      </c>
      <c r="BJ125" s="215" t="str">
        <f t="shared" si="113"/>
        <v/>
      </c>
      <c r="BK125" s="217" t="str">
        <f t="shared" si="114"/>
        <v/>
      </c>
      <c r="BL125" s="217" t="str">
        <f t="shared" si="115"/>
        <v/>
      </c>
    </row>
    <row r="126" spans="1:64" x14ac:dyDescent="0.25">
      <c r="A126" s="48"/>
      <c r="B126" s="54"/>
      <c r="C126" s="54"/>
      <c r="D126" s="54"/>
      <c r="E126" s="54"/>
      <c r="F126" s="54"/>
      <c r="G126" s="54"/>
      <c r="H126" s="54"/>
      <c r="I126" s="54"/>
      <c r="J126" s="54"/>
      <c r="K126" s="54"/>
      <c r="L126" s="2"/>
      <c r="M126" s="2"/>
      <c r="N126" s="2"/>
      <c r="O126" s="2"/>
      <c r="P126" s="2"/>
      <c r="Q126" s="2"/>
      <c r="R126" s="2"/>
      <c r="S126" s="259"/>
      <c r="T126" s="2"/>
      <c r="U126" s="264">
        <v>122</v>
      </c>
      <c r="V126" s="16" t="str">
        <f t="shared" si="94"/>
        <v/>
      </c>
      <c r="W126" s="16" t="str">
        <f t="shared" si="95"/>
        <v/>
      </c>
      <c r="X126" s="16" t="str">
        <f t="shared" si="65"/>
        <v/>
      </c>
      <c r="Y126" s="16" t="str">
        <f t="shared" si="66"/>
        <v/>
      </c>
      <c r="Z126" s="16" t="str">
        <f t="shared" si="67"/>
        <v/>
      </c>
      <c r="AA126" s="16" t="str">
        <f t="shared" si="96"/>
        <v/>
      </c>
      <c r="AB126" s="16" t="str">
        <f t="shared" si="97"/>
        <v/>
      </c>
      <c r="AC126" s="29" t="str">
        <f t="shared" si="68"/>
        <v/>
      </c>
      <c r="AD126" s="29" t="str">
        <f t="shared" si="69"/>
        <v/>
      </c>
      <c r="AE126" s="2"/>
      <c r="AF126" s="2"/>
      <c r="AG126" s="2"/>
      <c r="AH126" s="2"/>
      <c r="AI126" s="2"/>
      <c r="AJ126" s="2"/>
      <c r="AK126" s="2"/>
      <c r="AL126" s="2"/>
      <c r="AM126" s="2"/>
      <c r="AN126" s="2"/>
      <c r="AO126" s="2"/>
      <c r="AP126" s="2"/>
      <c r="AQ126" s="2"/>
      <c r="AU126" s="215" t="str">
        <f t="shared" si="98"/>
        <v/>
      </c>
      <c r="AV126" s="217" t="str">
        <f t="shared" si="99"/>
        <v/>
      </c>
      <c r="AW126" s="217" t="str">
        <f t="shared" si="100"/>
        <v/>
      </c>
      <c r="AX126" s="215" t="str">
        <f t="shared" si="101"/>
        <v/>
      </c>
      <c r="AY126" s="217" t="str">
        <f t="shared" si="102"/>
        <v/>
      </c>
      <c r="AZ126" s="217" t="str">
        <f t="shared" si="103"/>
        <v/>
      </c>
      <c r="BA126" s="215" t="str">
        <f t="shared" si="104"/>
        <v/>
      </c>
      <c r="BB126" s="217" t="str">
        <f t="shared" si="105"/>
        <v/>
      </c>
      <c r="BC126" s="217" t="str">
        <f t="shared" si="106"/>
        <v/>
      </c>
      <c r="BD126" s="215" t="str">
        <f t="shared" si="107"/>
        <v/>
      </c>
      <c r="BE126" s="217" t="str">
        <f t="shared" si="108"/>
        <v/>
      </c>
      <c r="BF126" s="217" t="str">
        <f t="shared" si="109"/>
        <v/>
      </c>
      <c r="BG126" s="215" t="str">
        <f t="shared" si="110"/>
        <v/>
      </c>
      <c r="BH126" s="217" t="str">
        <f t="shared" si="111"/>
        <v/>
      </c>
      <c r="BI126" s="217" t="str">
        <f t="shared" si="112"/>
        <v/>
      </c>
      <c r="BJ126" s="215" t="str">
        <f t="shared" si="113"/>
        <v/>
      </c>
      <c r="BK126" s="217" t="str">
        <f t="shared" si="114"/>
        <v/>
      </c>
      <c r="BL126" s="217" t="str">
        <f t="shared" si="115"/>
        <v/>
      </c>
    </row>
    <row r="127" spans="1:64" x14ac:dyDescent="0.25">
      <c r="A127" s="48"/>
      <c r="B127" s="54"/>
      <c r="C127" s="54"/>
      <c r="D127" s="54"/>
      <c r="E127" s="54"/>
      <c r="F127" s="54"/>
      <c r="G127" s="54"/>
      <c r="H127" s="54"/>
      <c r="I127" s="54"/>
      <c r="J127" s="54"/>
      <c r="K127" s="54"/>
      <c r="L127" s="2"/>
      <c r="M127" s="2"/>
      <c r="N127" s="2"/>
      <c r="O127" s="2"/>
      <c r="P127" s="2"/>
      <c r="Q127" s="2"/>
      <c r="R127" s="2"/>
      <c r="S127" s="259"/>
      <c r="T127" s="2"/>
      <c r="U127" s="264">
        <v>123</v>
      </c>
      <c r="V127" s="16" t="str">
        <f t="shared" si="94"/>
        <v/>
      </c>
      <c r="W127" s="16" t="str">
        <f t="shared" si="95"/>
        <v/>
      </c>
      <c r="X127" s="16" t="str">
        <f t="shared" si="65"/>
        <v/>
      </c>
      <c r="Y127" s="16" t="str">
        <f t="shared" si="66"/>
        <v/>
      </c>
      <c r="Z127" s="16" t="str">
        <f t="shared" si="67"/>
        <v/>
      </c>
      <c r="AA127" s="16" t="str">
        <f t="shared" si="96"/>
        <v/>
      </c>
      <c r="AB127" s="16" t="str">
        <f t="shared" si="97"/>
        <v/>
      </c>
      <c r="AC127" s="29" t="str">
        <f t="shared" si="68"/>
        <v/>
      </c>
      <c r="AD127" s="29" t="str">
        <f t="shared" si="69"/>
        <v/>
      </c>
      <c r="AE127" s="2"/>
      <c r="AF127" s="2"/>
      <c r="AG127" s="2"/>
      <c r="AH127" s="2"/>
      <c r="AI127" s="2"/>
      <c r="AJ127" s="2"/>
      <c r="AK127" s="2"/>
      <c r="AL127" s="2"/>
      <c r="AM127" s="2"/>
      <c r="AN127" s="2"/>
      <c r="AO127" s="2"/>
      <c r="AP127" s="2"/>
      <c r="AQ127" s="2"/>
      <c r="AU127" s="215" t="str">
        <f t="shared" si="98"/>
        <v/>
      </c>
      <c r="AV127" s="217" t="str">
        <f t="shared" si="99"/>
        <v/>
      </c>
      <c r="AW127" s="217" t="str">
        <f t="shared" si="100"/>
        <v/>
      </c>
      <c r="AX127" s="215" t="str">
        <f t="shared" si="101"/>
        <v/>
      </c>
      <c r="AY127" s="217" t="str">
        <f t="shared" si="102"/>
        <v/>
      </c>
      <c r="AZ127" s="217" t="str">
        <f t="shared" si="103"/>
        <v/>
      </c>
      <c r="BA127" s="215" t="str">
        <f t="shared" si="104"/>
        <v/>
      </c>
      <c r="BB127" s="217" t="str">
        <f t="shared" si="105"/>
        <v/>
      </c>
      <c r="BC127" s="217" t="str">
        <f t="shared" si="106"/>
        <v/>
      </c>
      <c r="BD127" s="215" t="str">
        <f t="shared" si="107"/>
        <v/>
      </c>
      <c r="BE127" s="217" t="str">
        <f t="shared" si="108"/>
        <v/>
      </c>
      <c r="BF127" s="217" t="str">
        <f t="shared" si="109"/>
        <v/>
      </c>
      <c r="BG127" s="215" t="str">
        <f t="shared" si="110"/>
        <v/>
      </c>
      <c r="BH127" s="217" t="str">
        <f t="shared" si="111"/>
        <v/>
      </c>
      <c r="BI127" s="217" t="str">
        <f t="shared" si="112"/>
        <v/>
      </c>
      <c r="BJ127" s="215" t="str">
        <f t="shared" si="113"/>
        <v/>
      </c>
      <c r="BK127" s="217" t="str">
        <f t="shared" si="114"/>
        <v/>
      </c>
      <c r="BL127" s="217" t="str">
        <f t="shared" si="115"/>
        <v/>
      </c>
    </row>
    <row r="128" spans="1:64" x14ac:dyDescent="0.25">
      <c r="A128" s="48"/>
      <c r="B128" s="54"/>
      <c r="C128" s="54"/>
      <c r="D128" s="54"/>
      <c r="E128" s="54"/>
      <c r="F128" s="54"/>
      <c r="G128" s="54"/>
      <c r="H128" s="54"/>
      <c r="I128" s="54"/>
      <c r="J128" s="54"/>
      <c r="K128" s="54"/>
      <c r="L128" s="2"/>
      <c r="M128" s="2"/>
      <c r="N128" s="2"/>
      <c r="O128" s="2"/>
      <c r="P128" s="2"/>
      <c r="Q128" s="2"/>
      <c r="R128" s="2"/>
      <c r="S128" s="259"/>
      <c r="T128" s="2"/>
      <c r="U128" s="264">
        <v>124</v>
      </c>
      <c r="V128" s="16" t="str">
        <f t="shared" si="94"/>
        <v/>
      </c>
      <c r="W128" s="16" t="str">
        <f t="shared" si="95"/>
        <v/>
      </c>
      <c r="X128" s="16" t="str">
        <f t="shared" si="65"/>
        <v/>
      </c>
      <c r="Y128" s="16" t="str">
        <f t="shared" si="66"/>
        <v/>
      </c>
      <c r="Z128" s="16" t="str">
        <f t="shared" si="67"/>
        <v/>
      </c>
      <c r="AA128" s="16" t="str">
        <f t="shared" si="96"/>
        <v/>
      </c>
      <c r="AB128" s="16" t="str">
        <f t="shared" si="97"/>
        <v/>
      </c>
      <c r="AC128" s="29" t="str">
        <f t="shared" si="68"/>
        <v/>
      </c>
      <c r="AD128" s="29" t="str">
        <f t="shared" si="69"/>
        <v/>
      </c>
      <c r="AE128" s="2"/>
      <c r="AF128" s="2"/>
      <c r="AG128" s="2"/>
      <c r="AH128" s="2"/>
      <c r="AI128" s="2"/>
      <c r="AJ128" s="2"/>
      <c r="AK128" s="2"/>
      <c r="AL128" s="2"/>
      <c r="AM128" s="2"/>
      <c r="AN128" s="2"/>
      <c r="AO128" s="2"/>
      <c r="AP128" s="2"/>
      <c r="AQ128" s="2"/>
      <c r="AU128" s="215" t="str">
        <f t="shared" si="98"/>
        <v/>
      </c>
      <c r="AV128" s="217" t="str">
        <f t="shared" si="99"/>
        <v/>
      </c>
      <c r="AW128" s="217" t="str">
        <f t="shared" si="100"/>
        <v/>
      </c>
      <c r="AX128" s="215" t="str">
        <f t="shared" si="101"/>
        <v/>
      </c>
      <c r="AY128" s="217" t="str">
        <f t="shared" si="102"/>
        <v/>
      </c>
      <c r="AZ128" s="217" t="str">
        <f t="shared" si="103"/>
        <v/>
      </c>
      <c r="BA128" s="215" t="str">
        <f t="shared" si="104"/>
        <v/>
      </c>
      <c r="BB128" s="217" t="str">
        <f t="shared" si="105"/>
        <v/>
      </c>
      <c r="BC128" s="217" t="str">
        <f t="shared" si="106"/>
        <v/>
      </c>
      <c r="BD128" s="215" t="str">
        <f t="shared" si="107"/>
        <v/>
      </c>
      <c r="BE128" s="217" t="str">
        <f t="shared" si="108"/>
        <v/>
      </c>
      <c r="BF128" s="217" t="str">
        <f t="shared" si="109"/>
        <v/>
      </c>
      <c r="BG128" s="215" t="str">
        <f t="shared" si="110"/>
        <v/>
      </c>
      <c r="BH128" s="217" t="str">
        <f t="shared" si="111"/>
        <v/>
      </c>
      <c r="BI128" s="217" t="str">
        <f t="shared" si="112"/>
        <v/>
      </c>
      <c r="BJ128" s="215" t="str">
        <f t="shared" si="113"/>
        <v/>
      </c>
      <c r="BK128" s="217" t="str">
        <f t="shared" si="114"/>
        <v/>
      </c>
      <c r="BL128" s="217" t="str">
        <f t="shared" si="115"/>
        <v/>
      </c>
    </row>
    <row r="129" spans="1:64" x14ac:dyDescent="0.25">
      <c r="A129" s="48"/>
      <c r="B129" s="54"/>
      <c r="C129" s="54"/>
      <c r="D129" s="54"/>
      <c r="E129" s="54"/>
      <c r="F129" s="54"/>
      <c r="G129" s="54"/>
      <c r="H129" s="54"/>
      <c r="I129" s="54"/>
      <c r="J129" s="54"/>
      <c r="K129" s="54"/>
      <c r="L129" s="2"/>
      <c r="M129" s="2"/>
      <c r="N129" s="2"/>
      <c r="O129" s="2"/>
      <c r="P129" s="2"/>
      <c r="Q129" s="2"/>
      <c r="R129" s="2"/>
      <c r="S129" s="259"/>
      <c r="T129" s="2"/>
      <c r="U129" s="264">
        <v>125</v>
      </c>
      <c r="V129" s="16" t="str">
        <f t="shared" si="94"/>
        <v/>
      </c>
      <c r="W129" s="16" t="str">
        <f t="shared" si="95"/>
        <v/>
      </c>
      <c r="X129" s="16" t="str">
        <f t="shared" si="65"/>
        <v/>
      </c>
      <c r="Y129" s="16" t="str">
        <f t="shared" si="66"/>
        <v/>
      </c>
      <c r="Z129" s="16" t="str">
        <f t="shared" si="67"/>
        <v/>
      </c>
      <c r="AA129" s="16" t="str">
        <f t="shared" si="96"/>
        <v/>
      </c>
      <c r="AB129" s="16" t="str">
        <f t="shared" si="97"/>
        <v/>
      </c>
      <c r="AC129" s="29" t="str">
        <f t="shared" si="68"/>
        <v/>
      </c>
      <c r="AD129" s="29" t="str">
        <f t="shared" si="69"/>
        <v/>
      </c>
      <c r="AE129" s="2"/>
      <c r="AF129" s="2"/>
      <c r="AG129" s="2"/>
      <c r="AH129" s="2"/>
      <c r="AI129" s="2"/>
      <c r="AJ129" s="2"/>
      <c r="AK129" s="2"/>
      <c r="AL129" s="2"/>
      <c r="AM129" s="2"/>
      <c r="AN129" s="2"/>
      <c r="AO129" s="2"/>
      <c r="AP129" s="2"/>
      <c r="AQ129" s="2"/>
      <c r="AU129" s="215" t="str">
        <f t="shared" si="98"/>
        <v/>
      </c>
      <c r="AV129" s="217" t="str">
        <f t="shared" si="99"/>
        <v/>
      </c>
      <c r="AW129" s="217" t="str">
        <f t="shared" si="100"/>
        <v/>
      </c>
      <c r="AX129" s="215" t="str">
        <f t="shared" si="101"/>
        <v/>
      </c>
      <c r="AY129" s="217" t="str">
        <f t="shared" si="102"/>
        <v/>
      </c>
      <c r="AZ129" s="217" t="str">
        <f t="shared" si="103"/>
        <v/>
      </c>
      <c r="BA129" s="215" t="str">
        <f t="shared" si="104"/>
        <v/>
      </c>
      <c r="BB129" s="217" t="str">
        <f t="shared" si="105"/>
        <v/>
      </c>
      <c r="BC129" s="217" t="str">
        <f t="shared" si="106"/>
        <v/>
      </c>
      <c r="BD129" s="215" t="str">
        <f t="shared" si="107"/>
        <v/>
      </c>
      <c r="BE129" s="217" t="str">
        <f t="shared" si="108"/>
        <v/>
      </c>
      <c r="BF129" s="217" t="str">
        <f t="shared" si="109"/>
        <v/>
      </c>
      <c r="BG129" s="215" t="str">
        <f t="shared" si="110"/>
        <v/>
      </c>
      <c r="BH129" s="217" t="str">
        <f t="shared" si="111"/>
        <v/>
      </c>
      <c r="BI129" s="217" t="str">
        <f t="shared" si="112"/>
        <v/>
      </c>
      <c r="BJ129" s="215" t="str">
        <f t="shared" si="113"/>
        <v/>
      </c>
      <c r="BK129" s="217" t="str">
        <f t="shared" si="114"/>
        <v/>
      </c>
      <c r="BL129" s="217" t="str">
        <f t="shared" si="115"/>
        <v/>
      </c>
    </row>
    <row r="130" spans="1:64" x14ac:dyDescent="0.25">
      <c r="A130" s="48"/>
      <c r="B130" s="54"/>
      <c r="C130" s="54"/>
      <c r="D130" s="54"/>
      <c r="E130" s="54"/>
      <c r="F130" s="54"/>
      <c r="G130" s="54"/>
      <c r="H130" s="54"/>
      <c r="I130" s="54"/>
      <c r="J130" s="54"/>
      <c r="K130" s="54"/>
      <c r="L130" s="2"/>
      <c r="M130" s="2"/>
      <c r="N130" s="2"/>
      <c r="O130" s="2"/>
      <c r="P130" s="2"/>
      <c r="Q130" s="2"/>
      <c r="R130" s="2"/>
      <c r="S130" s="259"/>
      <c r="T130" s="2"/>
      <c r="U130" s="264">
        <v>126</v>
      </c>
      <c r="V130" s="16" t="str">
        <f t="shared" si="94"/>
        <v/>
      </c>
      <c r="W130" s="16" t="str">
        <f t="shared" si="95"/>
        <v/>
      </c>
      <c r="X130" s="16" t="str">
        <f t="shared" si="65"/>
        <v/>
      </c>
      <c r="Y130" s="16" t="str">
        <f t="shared" si="66"/>
        <v/>
      </c>
      <c r="Z130" s="16" t="str">
        <f t="shared" si="67"/>
        <v/>
      </c>
      <c r="AA130" s="16" t="str">
        <f t="shared" si="96"/>
        <v/>
      </c>
      <c r="AB130" s="16" t="str">
        <f t="shared" si="97"/>
        <v/>
      </c>
      <c r="AC130" s="29" t="str">
        <f t="shared" si="68"/>
        <v/>
      </c>
      <c r="AD130" s="29" t="str">
        <f t="shared" si="69"/>
        <v/>
      </c>
      <c r="AE130" s="2"/>
      <c r="AF130" s="2"/>
      <c r="AG130" s="2"/>
      <c r="AH130" s="2"/>
      <c r="AI130" s="2"/>
      <c r="AJ130" s="2"/>
      <c r="AK130" s="2"/>
      <c r="AL130" s="2"/>
      <c r="AM130" s="2"/>
      <c r="AN130" s="2"/>
      <c r="AO130" s="2"/>
      <c r="AP130" s="2"/>
      <c r="AQ130" s="2"/>
      <c r="AU130" s="215" t="str">
        <f t="shared" si="98"/>
        <v/>
      </c>
      <c r="AV130" s="217" t="str">
        <f t="shared" si="99"/>
        <v/>
      </c>
      <c r="AW130" s="217" t="str">
        <f t="shared" si="100"/>
        <v/>
      </c>
      <c r="AX130" s="215" t="str">
        <f t="shared" si="101"/>
        <v/>
      </c>
      <c r="AY130" s="217" t="str">
        <f t="shared" si="102"/>
        <v/>
      </c>
      <c r="AZ130" s="217" t="str">
        <f t="shared" si="103"/>
        <v/>
      </c>
      <c r="BA130" s="215" t="str">
        <f t="shared" si="104"/>
        <v/>
      </c>
      <c r="BB130" s="217" t="str">
        <f t="shared" si="105"/>
        <v/>
      </c>
      <c r="BC130" s="217" t="str">
        <f t="shared" si="106"/>
        <v/>
      </c>
      <c r="BD130" s="215" t="str">
        <f t="shared" si="107"/>
        <v/>
      </c>
      <c r="BE130" s="217" t="str">
        <f t="shared" si="108"/>
        <v/>
      </c>
      <c r="BF130" s="217" t="str">
        <f t="shared" si="109"/>
        <v/>
      </c>
      <c r="BG130" s="215" t="str">
        <f t="shared" si="110"/>
        <v/>
      </c>
      <c r="BH130" s="217" t="str">
        <f t="shared" si="111"/>
        <v/>
      </c>
      <c r="BI130" s="217" t="str">
        <f t="shared" si="112"/>
        <v/>
      </c>
      <c r="BJ130" s="215" t="str">
        <f t="shared" si="113"/>
        <v/>
      </c>
      <c r="BK130" s="217" t="str">
        <f t="shared" si="114"/>
        <v/>
      </c>
      <c r="BL130" s="217" t="str">
        <f t="shared" si="115"/>
        <v/>
      </c>
    </row>
    <row r="131" spans="1:64" x14ac:dyDescent="0.25">
      <c r="A131" s="48"/>
      <c r="B131" s="54"/>
      <c r="C131" s="54"/>
      <c r="D131" s="54"/>
      <c r="E131" s="54"/>
      <c r="F131" s="54"/>
      <c r="G131" s="54"/>
      <c r="H131" s="54"/>
      <c r="I131" s="54"/>
      <c r="J131" s="54"/>
      <c r="K131" s="54"/>
      <c r="L131" s="2"/>
      <c r="M131" s="2"/>
      <c r="N131" s="2"/>
      <c r="O131" s="2"/>
      <c r="P131" s="2"/>
      <c r="Q131" s="2"/>
      <c r="R131" s="2"/>
      <c r="S131" s="259"/>
      <c r="T131" s="2"/>
      <c r="U131" s="264">
        <v>127</v>
      </c>
      <c r="V131" s="16" t="str">
        <f t="shared" si="94"/>
        <v/>
      </c>
      <c r="W131" s="16" t="str">
        <f t="shared" si="95"/>
        <v/>
      </c>
      <c r="X131" s="16" t="str">
        <f t="shared" si="65"/>
        <v/>
      </c>
      <c r="Y131" s="16" t="str">
        <f t="shared" si="66"/>
        <v/>
      </c>
      <c r="Z131" s="16" t="str">
        <f t="shared" si="67"/>
        <v/>
      </c>
      <c r="AA131" s="16" t="str">
        <f t="shared" si="96"/>
        <v/>
      </c>
      <c r="AB131" s="16" t="str">
        <f t="shared" si="97"/>
        <v/>
      </c>
      <c r="AC131" s="29" t="str">
        <f t="shared" si="68"/>
        <v/>
      </c>
      <c r="AD131" s="29" t="str">
        <f t="shared" si="69"/>
        <v/>
      </c>
      <c r="AE131" s="2"/>
      <c r="AF131" s="2"/>
      <c r="AG131" s="2"/>
      <c r="AH131" s="2"/>
      <c r="AI131" s="2"/>
      <c r="AJ131" s="2"/>
      <c r="AK131" s="2"/>
      <c r="AL131" s="2"/>
      <c r="AM131" s="2"/>
      <c r="AN131" s="2"/>
      <c r="AO131" s="2"/>
      <c r="AP131" s="2"/>
      <c r="AQ131" s="2"/>
      <c r="AU131" s="215" t="str">
        <f t="shared" si="98"/>
        <v/>
      </c>
      <c r="AV131" s="217" t="str">
        <f t="shared" si="99"/>
        <v/>
      </c>
      <c r="AW131" s="217" t="str">
        <f t="shared" si="100"/>
        <v/>
      </c>
      <c r="AX131" s="215" t="str">
        <f t="shared" si="101"/>
        <v/>
      </c>
      <c r="AY131" s="217" t="str">
        <f t="shared" si="102"/>
        <v/>
      </c>
      <c r="AZ131" s="217" t="str">
        <f t="shared" si="103"/>
        <v/>
      </c>
      <c r="BA131" s="215" t="str">
        <f t="shared" si="104"/>
        <v/>
      </c>
      <c r="BB131" s="217" t="str">
        <f t="shared" si="105"/>
        <v/>
      </c>
      <c r="BC131" s="217" t="str">
        <f t="shared" si="106"/>
        <v/>
      </c>
      <c r="BD131" s="215" t="str">
        <f t="shared" si="107"/>
        <v/>
      </c>
      <c r="BE131" s="217" t="str">
        <f t="shared" si="108"/>
        <v/>
      </c>
      <c r="BF131" s="217" t="str">
        <f t="shared" si="109"/>
        <v/>
      </c>
      <c r="BG131" s="215" t="str">
        <f t="shared" si="110"/>
        <v/>
      </c>
      <c r="BH131" s="217" t="str">
        <f t="shared" si="111"/>
        <v/>
      </c>
      <c r="BI131" s="217" t="str">
        <f t="shared" si="112"/>
        <v/>
      </c>
      <c r="BJ131" s="215" t="str">
        <f t="shared" si="113"/>
        <v/>
      </c>
      <c r="BK131" s="217" t="str">
        <f t="shared" si="114"/>
        <v/>
      </c>
      <c r="BL131" s="217" t="str">
        <f t="shared" si="115"/>
        <v/>
      </c>
    </row>
    <row r="132" spans="1:64" x14ac:dyDescent="0.25">
      <c r="A132" s="48"/>
      <c r="B132" s="54"/>
      <c r="C132" s="54"/>
      <c r="D132" s="54"/>
      <c r="E132" s="54"/>
      <c r="F132" s="54"/>
      <c r="G132" s="54"/>
      <c r="H132" s="54"/>
      <c r="I132" s="54"/>
      <c r="J132" s="54"/>
      <c r="K132" s="54"/>
      <c r="L132" s="2"/>
      <c r="M132" s="2"/>
      <c r="N132" s="2"/>
      <c r="O132" s="2"/>
      <c r="P132" s="2"/>
      <c r="Q132" s="2"/>
      <c r="R132" s="2"/>
      <c r="S132" s="259"/>
      <c r="T132" s="2"/>
      <c r="U132" s="264">
        <v>128</v>
      </c>
      <c r="V132" s="16" t="str">
        <f t="shared" si="94"/>
        <v/>
      </c>
      <c r="W132" s="16" t="str">
        <f t="shared" si="95"/>
        <v/>
      </c>
      <c r="X132" s="16" t="str">
        <f t="shared" si="65"/>
        <v/>
      </c>
      <c r="Y132" s="16" t="str">
        <f t="shared" si="66"/>
        <v/>
      </c>
      <c r="Z132" s="16" t="str">
        <f t="shared" si="67"/>
        <v/>
      </c>
      <c r="AA132" s="16" t="str">
        <f t="shared" si="96"/>
        <v/>
      </c>
      <c r="AB132" s="16" t="str">
        <f t="shared" si="97"/>
        <v/>
      </c>
      <c r="AC132" s="29" t="str">
        <f t="shared" si="68"/>
        <v/>
      </c>
      <c r="AD132" s="29" t="str">
        <f t="shared" si="69"/>
        <v/>
      </c>
      <c r="AE132" s="2"/>
      <c r="AF132" s="2"/>
      <c r="AG132" s="2"/>
      <c r="AH132" s="2"/>
      <c r="AI132" s="2"/>
      <c r="AJ132" s="2"/>
      <c r="AK132" s="2"/>
      <c r="AL132" s="2"/>
      <c r="AM132" s="2"/>
      <c r="AN132" s="2"/>
      <c r="AO132" s="2"/>
      <c r="AP132" s="2"/>
      <c r="AQ132" s="2"/>
      <c r="AU132" s="215" t="str">
        <f t="shared" si="98"/>
        <v/>
      </c>
      <c r="AV132" s="217" t="str">
        <f t="shared" si="99"/>
        <v/>
      </c>
      <c r="AW132" s="217" t="str">
        <f t="shared" si="100"/>
        <v/>
      </c>
      <c r="AX132" s="215" t="str">
        <f t="shared" si="101"/>
        <v/>
      </c>
      <c r="AY132" s="217" t="str">
        <f t="shared" si="102"/>
        <v/>
      </c>
      <c r="AZ132" s="217" t="str">
        <f t="shared" si="103"/>
        <v/>
      </c>
      <c r="BA132" s="215" t="str">
        <f t="shared" si="104"/>
        <v/>
      </c>
      <c r="BB132" s="217" t="str">
        <f t="shared" si="105"/>
        <v/>
      </c>
      <c r="BC132" s="217" t="str">
        <f t="shared" si="106"/>
        <v/>
      </c>
      <c r="BD132" s="215" t="str">
        <f t="shared" si="107"/>
        <v/>
      </c>
      <c r="BE132" s="217" t="str">
        <f t="shared" si="108"/>
        <v/>
      </c>
      <c r="BF132" s="217" t="str">
        <f t="shared" si="109"/>
        <v/>
      </c>
      <c r="BG132" s="215" t="str">
        <f t="shared" si="110"/>
        <v/>
      </c>
      <c r="BH132" s="217" t="str">
        <f t="shared" si="111"/>
        <v/>
      </c>
      <c r="BI132" s="217" t="str">
        <f t="shared" si="112"/>
        <v/>
      </c>
      <c r="BJ132" s="215" t="str">
        <f t="shared" si="113"/>
        <v/>
      </c>
      <c r="BK132" s="217" t="str">
        <f t="shared" si="114"/>
        <v/>
      </c>
      <c r="BL132" s="217" t="str">
        <f t="shared" si="115"/>
        <v/>
      </c>
    </row>
    <row r="133" spans="1:64" x14ac:dyDescent="0.25">
      <c r="A133" s="48"/>
      <c r="B133" s="54"/>
      <c r="C133" s="54"/>
      <c r="D133" s="54"/>
      <c r="E133" s="54"/>
      <c r="F133" s="54"/>
      <c r="G133" s="54"/>
      <c r="H133" s="54"/>
      <c r="I133" s="54"/>
      <c r="J133" s="54"/>
      <c r="K133" s="54"/>
      <c r="L133" s="2"/>
      <c r="M133" s="2"/>
      <c r="N133" s="2"/>
      <c r="O133" s="2"/>
      <c r="P133" s="2"/>
      <c r="Q133" s="2"/>
      <c r="R133" s="2"/>
      <c r="S133" s="259"/>
      <c r="T133" s="2"/>
      <c r="U133" s="264">
        <v>129</v>
      </c>
      <c r="V133" s="16" t="str">
        <f t="shared" si="94"/>
        <v/>
      </c>
      <c r="W133" s="16" t="str">
        <f t="shared" si="95"/>
        <v/>
      </c>
      <c r="X133" s="16" t="str">
        <f t="shared" ref="X133:X196" si="116">IF($C$9&gt;=$U133,$V133^2,"")</f>
        <v/>
      </c>
      <c r="Y133" s="16" t="str">
        <f t="shared" ref="Y133:Y196" si="117">IF($C$9&gt;=$U133,$W133^2,"")</f>
        <v/>
      </c>
      <c r="Z133" s="16" t="str">
        <f t="shared" ref="Z133:Z196" si="118">IF($C$9&gt;=$U133,$V133*$W133,"")</f>
        <v/>
      </c>
      <c r="AA133" s="16" t="str">
        <f t="shared" si="96"/>
        <v/>
      </c>
      <c r="AB133" s="16" t="str">
        <f t="shared" si="97"/>
        <v/>
      </c>
      <c r="AC133" s="29" t="str">
        <f t="shared" ref="AC133:AC196" si="119">IF($C$9&gt;=$U133,(-$Z$318/$C$9+($Z$322*$V$311--$Z$321*$V$314)/($V$311*$V$312-$V$314^2)*$AA133+(-$Z$321*$V$312-$Z$322*$V$314)/($V$311*$V$312-$V$314^2)*$AB133),"")</f>
        <v/>
      </c>
      <c r="AD133" s="29" t="str">
        <f t="shared" ref="AD133:AD196" si="120">IF($C$9&gt;=$U133,((($Z$319/$C$9+$Z$323*-$AB133/$V$313)^2+($Z$320/$C$9+$Z$323*$AA133/$V$313)^2)^(1/2)),"")</f>
        <v/>
      </c>
      <c r="AE133" s="2"/>
      <c r="AF133" s="2"/>
      <c r="AG133" s="2"/>
      <c r="AH133" s="2"/>
      <c r="AI133" s="2"/>
      <c r="AJ133" s="2"/>
      <c r="AK133" s="2"/>
      <c r="AL133" s="2"/>
      <c r="AM133" s="2"/>
      <c r="AN133" s="2"/>
      <c r="AO133" s="2"/>
      <c r="AP133" s="2"/>
      <c r="AQ133" s="2"/>
      <c r="AU133" s="215" t="str">
        <f t="shared" si="98"/>
        <v/>
      </c>
      <c r="AV133" s="217" t="str">
        <f t="shared" si="99"/>
        <v/>
      </c>
      <c r="AW133" s="217" t="str">
        <f t="shared" si="100"/>
        <v/>
      </c>
      <c r="AX133" s="215" t="str">
        <f t="shared" si="101"/>
        <v/>
      </c>
      <c r="AY133" s="217" t="str">
        <f t="shared" si="102"/>
        <v/>
      </c>
      <c r="AZ133" s="217" t="str">
        <f t="shared" si="103"/>
        <v/>
      </c>
      <c r="BA133" s="215" t="str">
        <f t="shared" si="104"/>
        <v/>
      </c>
      <c r="BB133" s="217" t="str">
        <f t="shared" si="105"/>
        <v/>
      </c>
      <c r="BC133" s="217" t="str">
        <f t="shared" si="106"/>
        <v/>
      </c>
      <c r="BD133" s="215" t="str">
        <f t="shared" si="107"/>
        <v/>
      </c>
      <c r="BE133" s="217" t="str">
        <f t="shared" si="108"/>
        <v/>
      </c>
      <c r="BF133" s="217" t="str">
        <f t="shared" si="109"/>
        <v/>
      </c>
      <c r="BG133" s="215" t="str">
        <f t="shared" si="110"/>
        <v/>
      </c>
      <c r="BH133" s="217" t="str">
        <f t="shared" si="111"/>
        <v/>
      </c>
      <c r="BI133" s="217" t="str">
        <f t="shared" si="112"/>
        <v/>
      </c>
      <c r="BJ133" s="215" t="str">
        <f t="shared" si="113"/>
        <v/>
      </c>
      <c r="BK133" s="217" t="str">
        <f t="shared" si="114"/>
        <v/>
      </c>
      <c r="BL133" s="217" t="str">
        <f t="shared" si="115"/>
        <v/>
      </c>
    </row>
    <row r="134" spans="1:64" x14ac:dyDescent="0.25">
      <c r="A134" s="48"/>
      <c r="B134" s="54"/>
      <c r="C134" s="54"/>
      <c r="D134" s="54"/>
      <c r="E134" s="54"/>
      <c r="F134" s="54"/>
      <c r="G134" s="54"/>
      <c r="H134" s="54"/>
      <c r="I134" s="54"/>
      <c r="J134" s="54"/>
      <c r="K134" s="54"/>
      <c r="L134" s="2"/>
      <c r="M134" s="2"/>
      <c r="N134" s="2"/>
      <c r="O134" s="2"/>
      <c r="P134" s="2"/>
      <c r="Q134" s="2"/>
      <c r="R134" s="2"/>
      <c r="S134" s="259"/>
      <c r="T134" s="2"/>
      <c r="U134" s="264">
        <v>130</v>
      </c>
      <c r="V134" s="16" t="str">
        <f t="shared" si="94"/>
        <v/>
      </c>
      <c r="W134" s="16" t="str">
        <f t="shared" si="95"/>
        <v/>
      </c>
      <c r="X134" s="16" t="str">
        <f t="shared" si="116"/>
        <v/>
      </c>
      <c r="Y134" s="16" t="str">
        <f t="shared" si="117"/>
        <v/>
      </c>
      <c r="Z134" s="16" t="str">
        <f t="shared" si="118"/>
        <v/>
      </c>
      <c r="AA134" s="16" t="str">
        <f t="shared" si="96"/>
        <v/>
      </c>
      <c r="AB134" s="16" t="str">
        <f t="shared" si="97"/>
        <v/>
      </c>
      <c r="AC134" s="29" t="str">
        <f t="shared" si="119"/>
        <v/>
      </c>
      <c r="AD134" s="29" t="str">
        <f t="shared" si="120"/>
        <v/>
      </c>
      <c r="AE134" s="2"/>
      <c r="AF134" s="2"/>
      <c r="AG134" s="2"/>
      <c r="AH134" s="2"/>
      <c r="AI134" s="2"/>
      <c r="AJ134" s="2"/>
      <c r="AK134" s="2"/>
      <c r="AL134" s="2"/>
      <c r="AM134" s="2"/>
      <c r="AN134" s="2"/>
      <c r="AO134" s="2"/>
      <c r="AP134" s="2"/>
      <c r="AQ134" s="2"/>
      <c r="AU134" s="215" t="str">
        <f t="shared" si="98"/>
        <v/>
      </c>
      <c r="AV134" s="217" t="str">
        <f t="shared" si="99"/>
        <v/>
      </c>
      <c r="AW134" s="217" t="str">
        <f t="shared" si="100"/>
        <v/>
      </c>
      <c r="AX134" s="215" t="str">
        <f t="shared" si="101"/>
        <v/>
      </c>
      <c r="AY134" s="217" t="str">
        <f t="shared" si="102"/>
        <v/>
      </c>
      <c r="AZ134" s="217" t="str">
        <f t="shared" si="103"/>
        <v/>
      </c>
      <c r="BA134" s="215" t="str">
        <f t="shared" si="104"/>
        <v/>
      </c>
      <c r="BB134" s="217" t="str">
        <f t="shared" si="105"/>
        <v/>
      </c>
      <c r="BC134" s="217" t="str">
        <f t="shared" si="106"/>
        <v/>
      </c>
      <c r="BD134" s="215" t="str">
        <f t="shared" si="107"/>
        <v/>
      </c>
      <c r="BE134" s="217" t="str">
        <f t="shared" si="108"/>
        <v/>
      </c>
      <c r="BF134" s="217" t="str">
        <f t="shared" si="109"/>
        <v/>
      </c>
      <c r="BG134" s="215" t="str">
        <f t="shared" si="110"/>
        <v/>
      </c>
      <c r="BH134" s="217" t="str">
        <f t="shared" si="111"/>
        <v/>
      </c>
      <c r="BI134" s="217" t="str">
        <f t="shared" si="112"/>
        <v/>
      </c>
      <c r="BJ134" s="215" t="str">
        <f t="shared" si="113"/>
        <v/>
      </c>
      <c r="BK134" s="217" t="str">
        <f t="shared" si="114"/>
        <v/>
      </c>
      <c r="BL134" s="217" t="str">
        <f t="shared" si="115"/>
        <v/>
      </c>
    </row>
    <row r="135" spans="1:64" x14ac:dyDescent="0.25">
      <c r="A135" s="48"/>
      <c r="B135" s="54"/>
      <c r="C135" s="54"/>
      <c r="D135" s="54"/>
      <c r="E135" s="54"/>
      <c r="F135" s="54"/>
      <c r="G135" s="54"/>
      <c r="H135" s="54"/>
      <c r="I135" s="54"/>
      <c r="J135" s="54"/>
      <c r="K135" s="54"/>
      <c r="L135" s="2"/>
      <c r="M135" s="2"/>
      <c r="N135" s="2"/>
      <c r="O135" s="2"/>
      <c r="P135" s="2"/>
      <c r="Q135" s="2"/>
      <c r="R135" s="2"/>
      <c r="S135" s="259"/>
      <c r="T135" s="2"/>
      <c r="U135" s="264">
        <v>131</v>
      </c>
      <c r="V135" s="16" t="str">
        <f t="shared" si="94"/>
        <v/>
      </c>
      <c r="W135" s="16" t="str">
        <f t="shared" si="95"/>
        <v/>
      </c>
      <c r="X135" s="16" t="str">
        <f t="shared" si="116"/>
        <v/>
      </c>
      <c r="Y135" s="16" t="str">
        <f t="shared" si="117"/>
        <v/>
      </c>
      <c r="Z135" s="16" t="str">
        <f t="shared" si="118"/>
        <v/>
      </c>
      <c r="AA135" s="16" t="str">
        <f t="shared" si="96"/>
        <v/>
      </c>
      <c r="AB135" s="16" t="str">
        <f t="shared" si="97"/>
        <v/>
      </c>
      <c r="AC135" s="29" t="str">
        <f t="shared" si="119"/>
        <v/>
      </c>
      <c r="AD135" s="29" t="str">
        <f t="shared" si="120"/>
        <v/>
      </c>
      <c r="AE135" s="2"/>
      <c r="AF135" s="2"/>
      <c r="AG135" s="2"/>
      <c r="AH135" s="2"/>
      <c r="AI135" s="2"/>
      <c r="AJ135" s="2"/>
      <c r="AK135" s="2"/>
      <c r="AL135" s="2"/>
      <c r="AM135" s="2"/>
      <c r="AN135" s="2"/>
      <c r="AO135" s="2"/>
      <c r="AP135" s="2"/>
      <c r="AQ135" s="2"/>
      <c r="AU135" s="215" t="str">
        <f t="shared" si="98"/>
        <v/>
      </c>
      <c r="AV135" s="217" t="str">
        <f t="shared" si="99"/>
        <v/>
      </c>
      <c r="AW135" s="217" t="str">
        <f t="shared" si="100"/>
        <v/>
      </c>
      <c r="AX135" s="215" t="str">
        <f t="shared" si="101"/>
        <v/>
      </c>
      <c r="AY135" s="217" t="str">
        <f t="shared" si="102"/>
        <v/>
      </c>
      <c r="AZ135" s="217" t="str">
        <f t="shared" si="103"/>
        <v/>
      </c>
      <c r="BA135" s="215" t="str">
        <f t="shared" si="104"/>
        <v/>
      </c>
      <c r="BB135" s="217" t="str">
        <f t="shared" si="105"/>
        <v/>
      </c>
      <c r="BC135" s="217" t="str">
        <f t="shared" si="106"/>
        <v/>
      </c>
      <c r="BD135" s="215" t="str">
        <f t="shared" si="107"/>
        <v/>
      </c>
      <c r="BE135" s="217" t="str">
        <f t="shared" si="108"/>
        <v/>
      </c>
      <c r="BF135" s="217" t="str">
        <f t="shared" si="109"/>
        <v/>
      </c>
      <c r="BG135" s="215" t="str">
        <f t="shared" si="110"/>
        <v/>
      </c>
      <c r="BH135" s="217" t="str">
        <f t="shared" si="111"/>
        <v/>
      </c>
      <c r="BI135" s="217" t="str">
        <f t="shared" si="112"/>
        <v/>
      </c>
      <c r="BJ135" s="215" t="str">
        <f t="shared" si="113"/>
        <v/>
      </c>
      <c r="BK135" s="217" t="str">
        <f t="shared" si="114"/>
        <v/>
      </c>
      <c r="BL135" s="217" t="str">
        <f t="shared" si="115"/>
        <v/>
      </c>
    </row>
    <row r="136" spans="1:64" x14ac:dyDescent="0.25">
      <c r="A136" s="48"/>
      <c r="B136" s="54"/>
      <c r="C136" s="54"/>
      <c r="D136" s="54"/>
      <c r="E136" s="54"/>
      <c r="F136" s="54"/>
      <c r="G136" s="54"/>
      <c r="H136" s="54"/>
      <c r="I136" s="54"/>
      <c r="J136" s="54"/>
      <c r="K136" s="54"/>
      <c r="L136" s="2"/>
      <c r="M136" s="2"/>
      <c r="N136" s="2"/>
      <c r="O136" s="2"/>
      <c r="P136" s="2"/>
      <c r="Q136" s="2"/>
      <c r="R136" s="2"/>
      <c r="S136" s="259"/>
      <c r="T136" s="2"/>
      <c r="U136" s="264">
        <v>132</v>
      </c>
      <c r="V136" s="16" t="str">
        <f t="shared" si="94"/>
        <v/>
      </c>
      <c r="W136" s="16" t="str">
        <f t="shared" si="95"/>
        <v/>
      </c>
      <c r="X136" s="16" t="str">
        <f t="shared" si="116"/>
        <v/>
      </c>
      <c r="Y136" s="16" t="str">
        <f t="shared" si="117"/>
        <v/>
      </c>
      <c r="Z136" s="16" t="str">
        <f t="shared" si="118"/>
        <v/>
      </c>
      <c r="AA136" s="16" t="str">
        <f t="shared" si="96"/>
        <v/>
      </c>
      <c r="AB136" s="16" t="str">
        <f t="shared" si="97"/>
        <v/>
      </c>
      <c r="AC136" s="29" t="str">
        <f t="shared" si="119"/>
        <v/>
      </c>
      <c r="AD136" s="29" t="str">
        <f t="shared" si="120"/>
        <v/>
      </c>
      <c r="AE136" s="2"/>
      <c r="AF136" s="2"/>
      <c r="AG136" s="2"/>
      <c r="AH136" s="2"/>
      <c r="AI136" s="2"/>
      <c r="AJ136" s="2"/>
      <c r="AK136" s="2"/>
      <c r="AL136" s="2"/>
      <c r="AM136" s="2"/>
      <c r="AN136" s="2"/>
      <c r="AO136" s="2"/>
      <c r="AP136" s="2"/>
      <c r="AQ136" s="2"/>
      <c r="AU136" s="215" t="str">
        <f t="shared" si="98"/>
        <v/>
      </c>
      <c r="AV136" s="217" t="str">
        <f t="shared" si="99"/>
        <v/>
      </c>
      <c r="AW136" s="217" t="str">
        <f t="shared" si="100"/>
        <v/>
      </c>
      <c r="AX136" s="215" t="str">
        <f t="shared" si="101"/>
        <v/>
      </c>
      <c r="AY136" s="217" t="str">
        <f t="shared" si="102"/>
        <v/>
      </c>
      <c r="AZ136" s="217" t="str">
        <f t="shared" si="103"/>
        <v/>
      </c>
      <c r="BA136" s="215" t="str">
        <f t="shared" si="104"/>
        <v/>
      </c>
      <c r="BB136" s="217" t="str">
        <f t="shared" si="105"/>
        <v/>
      </c>
      <c r="BC136" s="217" t="str">
        <f t="shared" si="106"/>
        <v/>
      </c>
      <c r="BD136" s="215" t="str">
        <f t="shared" si="107"/>
        <v/>
      </c>
      <c r="BE136" s="217" t="str">
        <f t="shared" si="108"/>
        <v/>
      </c>
      <c r="BF136" s="217" t="str">
        <f t="shared" si="109"/>
        <v/>
      </c>
      <c r="BG136" s="215" t="str">
        <f t="shared" si="110"/>
        <v/>
      </c>
      <c r="BH136" s="217" t="str">
        <f t="shared" si="111"/>
        <v/>
      </c>
      <c r="BI136" s="217" t="str">
        <f t="shared" si="112"/>
        <v/>
      </c>
      <c r="BJ136" s="215" t="str">
        <f t="shared" si="113"/>
        <v/>
      </c>
      <c r="BK136" s="217" t="str">
        <f t="shared" si="114"/>
        <v/>
      </c>
      <c r="BL136" s="217" t="str">
        <f t="shared" si="115"/>
        <v/>
      </c>
    </row>
    <row r="137" spans="1:64" x14ac:dyDescent="0.25">
      <c r="A137" s="48"/>
      <c r="B137" s="54"/>
      <c r="C137" s="54"/>
      <c r="D137" s="54"/>
      <c r="E137" s="54"/>
      <c r="F137" s="54"/>
      <c r="G137" s="54"/>
      <c r="H137" s="54"/>
      <c r="I137" s="54"/>
      <c r="J137" s="54"/>
      <c r="K137" s="54"/>
      <c r="L137" s="2"/>
      <c r="M137" s="2"/>
      <c r="N137" s="2"/>
      <c r="O137" s="2"/>
      <c r="P137" s="2"/>
      <c r="Q137" s="2"/>
      <c r="R137" s="2"/>
      <c r="S137" s="259"/>
      <c r="T137" s="2"/>
      <c r="U137" s="264">
        <v>133</v>
      </c>
      <c r="V137" s="16" t="str">
        <f t="shared" ref="V137:V154" si="121">IF($C$9&gt;=$U137,$I45+0.000001-$V$310,"")</f>
        <v/>
      </c>
      <c r="W137" s="16" t="str">
        <f t="shared" ref="W137:W154" si="122">IF($C$9&gt;=$U137,$H45+0.000001-$V$309,"")</f>
        <v/>
      </c>
      <c r="X137" s="16" t="str">
        <f t="shared" si="116"/>
        <v/>
      </c>
      <c r="Y137" s="16" t="str">
        <f t="shared" si="117"/>
        <v/>
      </c>
      <c r="Z137" s="16" t="str">
        <f t="shared" si="118"/>
        <v/>
      </c>
      <c r="AA137" s="16" t="str">
        <f t="shared" ref="AA137:AA154" si="123">IF($C$9&gt;=$U137,$H45-$V$309,"")</f>
        <v/>
      </c>
      <c r="AB137" s="16" t="str">
        <f t="shared" ref="AB137:AB154" si="124">IF($C$9&gt;=$U137,$I45-$V$310,"")</f>
        <v/>
      </c>
      <c r="AC137" s="29" t="str">
        <f t="shared" si="119"/>
        <v/>
      </c>
      <c r="AD137" s="29" t="str">
        <f t="shared" si="120"/>
        <v/>
      </c>
      <c r="AE137" s="2"/>
      <c r="AF137" s="2"/>
      <c r="AG137" s="2"/>
      <c r="AH137" s="2"/>
      <c r="AI137" s="2"/>
      <c r="AJ137" s="2"/>
      <c r="AK137" s="2"/>
      <c r="AL137" s="2"/>
      <c r="AM137" s="2"/>
      <c r="AN137" s="2"/>
      <c r="AO137" s="2"/>
      <c r="AP137" s="2"/>
      <c r="AQ137" s="2"/>
      <c r="AU137" s="215" t="str">
        <f t="shared" si="98"/>
        <v/>
      </c>
      <c r="AV137" s="217" t="str">
        <f t="shared" si="99"/>
        <v/>
      </c>
      <c r="AW137" s="217" t="str">
        <f t="shared" si="100"/>
        <v/>
      </c>
      <c r="AX137" s="215" t="str">
        <f t="shared" si="101"/>
        <v/>
      </c>
      <c r="AY137" s="217" t="str">
        <f t="shared" si="102"/>
        <v/>
      </c>
      <c r="AZ137" s="217" t="str">
        <f t="shared" si="103"/>
        <v/>
      </c>
      <c r="BA137" s="215" t="str">
        <f t="shared" si="104"/>
        <v/>
      </c>
      <c r="BB137" s="217" t="str">
        <f t="shared" si="105"/>
        <v/>
      </c>
      <c r="BC137" s="217" t="str">
        <f t="shared" si="106"/>
        <v/>
      </c>
      <c r="BD137" s="215" t="str">
        <f t="shared" si="107"/>
        <v/>
      </c>
      <c r="BE137" s="217" t="str">
        <f t="shared" si="108"/>
        <v/>
      </c>
      <c r="BF137" s="217" t="str">
        <f t="shared" si="109"/>
        <v/>
      </c>
      <c r="BG137" s="215" t="str">
        <f t="shared" si="110"/>
        <v/>
      </c>
      <c r="BH137" s="217" t="str">
        <f t="shared" si="111"/>
        <v/>
      </c>
      <c r="BI137" s="217" t="str">
        <f t="shared" si="112"/>
        <v/>
      </c>
      <c r="BJ137" s="215" t="str">
        <f t="shared" si="113"/>
        <v/>
      </c>
      <c r="BK137" s="217" t="str">
        <f t="shared" si="114"/>
        <v/>
      </c>
      <c r="BL137" s="217" t="str">
        <f t="shared" si="115"/>
        <v/>
      </c>
    </row>
    <row r="138" spans="1:64" x14ac:dyDescent="0.25">
      <c r="A138" s="48"/>
      <c r="B138" s="54"/>
      <c r="C138" s="54"/>
      <c r="D138" s="54"/>
      <c r="E138" s="54"/>
      <c r="F138" s="54"/>
      <c r="G138" s="54"/>
      <c r="H138" s="54"/>
      <c r="I138" s="54"/>
      <c r="J138" s="54"/>
      <c r="K138" s="54"/>
      <c r="L138" s="2"/>
      <c r="M138" s="2"/>
      <c r="N138" s="2"/>
      <c r="O138" s="2"/>
      <c r="P138" s="2"/>
      <c r="Q138" s="2"/>
      <c r="R138" s="2"/>
      <c r="S138" s="259"/>
      <c r="T138" s="2"/>
      <c r="U138" s="264">
        <v>134</v>
      </c>
      <c r="V138" s="16" t="str">
        <f t="shared" si="121"/>
        <v/>
      </c>
      <c r="W138" s="16" t="str">
        <f t="shared" si="122"/>
        <v/>
      </c>
      <c r="X138" s="16" t="str">
        <f t="shared" si="116"/>
        <v/>
      </c>
      <c r="Y138" s="16" t="str">
        <f t="shared" si="117"/>
        <v/>
      </c>
      <c r="Z138" s="16" t="str">
        <f t="shared" si="118"/>
        <v/>
      </c>
      <c r="AA138" s="16" t="str">
        <f t="shared" si="123"/>
        <v/>
      </c>
      <c r="AB138" s="16" t="str">
        <f t="shared" si="124"/>
        <v/>
      </c>
      <c r="AC138" s="29" t="str">
        <f t="shared" si="119"/>
        <v/>
      </c>
      <c r="AD138" s="29" t="str">
        <f t="shared" si="120"/>
        <v/>
      </c>
      <c r="AE138" s="2"/>
      <c r="AF138" s="2"/>
      <c r="AG138" s="2"/>
      <c r="AH138" s="2"/>
      <c r="AI138" s="2"/>
      <c r="AJ138" s="2"/>
      <c r="AK138" s="2"/>
      <c r="AL138" s="2"/>
      <c r="AM138" s="2"/>
      <c r="AN138" s="2"/>
      <c r="AO138" s="2"/>
      <c r="AP138" s="2"/>
      <c r="AQ138" s="2"/>
      <c r="AU138" s="215" t="str">
        <f t="shared" si="98"/>
        <v/>
      </c>
      <c r="AV138" s="217" t="str">
        <f t="shared" si="99"/>
        <v/>
      </c>
      <c r="AW138" s="217" t="str">
        <f t="shared" si="100"/>
        <v/>
      </c>
      <c r="AX138" s="215" t="str">
        <f t="shared" si="101"/>
        <v/>
      </c>
      <c r="AY138" s="217" t="str">
        <f t="shared" si="102"/>
        <v/>
      </c>
      <c r="AZ138" s="217" t="str">
        <f t="shared" si="103"/>
        <v/>
      </c>
      <c r="BA138" s="215" t="str">
        <f t="shared" si="104"/>
        <v/>
      </c>
      <c r="BB138" s="217" t="str">
        <f t="shared" si="105"/>
        <v/>
      </c>
      <c r="BC138" s="217" t="str">
        <f t="shared" si="106"/>
        <v/>
      </c>
      <c r="BD138" s="215" t="str">
        <f t="shared" si="107"/>
        <v/>
      </c>
      <c r="BE138" s="217" t="str">
        <f t="shared" si="108"/>
        <v/>
      </c>
      <c r="BF138" s="217" t="str">
        <f t="shared" si="109"/>
        <v/>
      </c>
      <c r="BG138" s="215" t="str">
        <f t="shared" si="110"/>
        <v/>
      </c>
      <c r="BH138" s="217" t="str">
        <f t="shared" si="111"/>
        <v/>
      </c>
      <c r="BI138" s="217" t="str">
        <f t="shared" si="112"/>
        <v/>
      </c>
      <c r="BJ138" s="215" t="str">
        <f t="shared" si="113"/>
        <v/>
      </c>
      <c r="BK138" s="217" t="str">
        <f t="shared" si="114"/>
        <v/>
      </c>
      <c r="BL138" s="217" t="str">
        <f t="shared" si="115"/>
        <v/>
      </c>
    </row>
    <row r="139" spans="1:64" x14ac:dyDescent="0.25">
      <c r="A139" s="48"/>
      <c r="B139" s="54"/>
      <c r="C139" s="54"/>
      <c r="D139" s="54"/>
      <c r="E139" s="54"/>
      <c r="F139" s="54"/>
      <c r="G139" s="54"/>
      <c r="H139" s="54"/>
      <c r="I139" s="54"/>
      <c r="J139" s="54"/>
      <c r="K139" s="54"/>
      <c r="L139" s="2"/>
      <c r="M139" s="2"/>
      <c r="N139" s="2"/>
      <c r="O139" s="2"/>
      <c r="P139" s="2"/>
      <c r="Q139" s="2"/>
      <c r="R139" s="2"/>
      <c r="S139" s="259"/>
      <c r="T139" s="2"/>
      <c r="U139" s="264">
        <v>135</v>
      </c>
      <c r="V139" s="16" t="str">
        <f t="shared" si="121"/>
        <v/>
      </c>
      <c r="W139" s="16" t="str">
        <f t="shared" si="122"/>
        <v/>
      </c>
      <c r="X139" s="16" t="str">
        <f t="shared" si="116"/>
        <v/>
      </c>
      <c r="Y139" s="16" t="str">
        <f t="shared" si="117"/>
        <v/>
      </c>
      <c r="Z139" s="16" t="str">
        <f t="shared" si="118"/>
        <v/>
      </c>
      <c r="AA139" s="16" t="str">
        <f t="shared" si="123"/>
        <v/>
      </c>
      <c r="AB139" s="16" t="str">
        <f t="shared" si="124"/>
        <v/>
      </c>
      <c r="AC139" s="29" t="str">
        <f t="shared" si="119"/>
        <v/>
      </c>
      <c r="AD139" s="29" t="str">
        <f t="shared" si="120"/>
        <v/>
      </c>
      <c r="AE139" s="2"/>
      <c r="AF139" s="2"/>
      <c r="AG139" s="2"/>
      <c r="AH139" s="2"/>
      <c r="AI139" s="2"/>
      <c r="AJ139" s="2"/>
      <c r="AK139" s="2"/>
      <c r="AL139" s="2"/>
      <c r="AM139" s="2"/>
      <c r="AN139" s="2"/>
      <c r="AO139" s="2"/>
      <c r="AP139" s="2"/>
      <c r="AQ139" s="2"/>
      <c r="AU139" s="215" t="str">
        <f t="shared" si="98"/>
        <v/>
      </c>
      <c r="AV139" s="217" t="str">
        <f t="shared" si="99"/>
        <v/>
      </c>
      <c r="AW139" s="217" t="str">
        <f t="shared" si="100"/>
        <v/>
      </c>
      <c r="AX139" s="215" t="str">
        <f t="shared" si="101"/>
        <v/>
      </c>
      <c r="AY139" s="217" t="str">
        <f t="shared" si="102"/>
        <v/>
      </c>
      <c r="AZ139" s="217" t="str">
        <f t="shared" si="103"/>
        <v/>
      </c>
      <c r="BA139" s="215" t="str">
        <f t="shared" si="104"/>
        <v/>
      </c>
      <c r="BB139" s="217" t="str">
        <f t="shared" si="105"/>
        <v/>
      </c>
      <c r="BC139" s="217" t="str">
        <f t="shared" si="106"/>
        <v/>
      </c>
      <c r="BD139" s="215" t="str">
        <f t="shared" si="107"/>
        <v/>
      </c>
      <c r="BE139" s="217" t="str">
        <f t="shared" si="108"/>
        <v/>
      </c>
      <c r="BF139" s="217" t="str">
        <f t="shared" si="109"/>
        <v/>
      </c>
      <c r="BG139" s="215" t="str">
        <f t="shared" si="110"/>
        <v/>
      </c>
      <c r="BH139" s="217" t="str">
        <f t="shared" si="111"/>
        <v/>
      </c>
      <c r="BI139" s="217" t="str">
        <f t="shared" si="112"/>
        <v/>
      </c>
      <c r="BJ139" s="215" t="str">
        <f t="shared" si="113"/>
        <v/>
      </c>
      <c r="BK139" s="217" t="str">
        <f t="shared" si="114"/>
        <v/>
      </c>
      <c r="BL139" s="217" t="str">
        <f t="shared" si="115"/>
        <v/>
      </c>
    </row>
    <row r="140" spans="1:64" x14ac:dyDescent="0.25">
      <c r="A140" s="48"/>
      <c r="B140" s="54"/>
      <c r="C140" s="54"/>
      <c r="D140" s="54"/>
      <c r="E140" s="54"/>
      <c r="F140" s="54"/>
      <c r="G140" s="54"/>
      <c r="H140" s="54"/>
      <c r="I140" s="54"/>
      <c r="J140" s="54"/>
      <c r="K140" s="54"/>
      <c r="L140" s="2"/>
      <c r="M140" s="2"/>
      <c r="N140" s="2"/>
      <c r="O140" s="2"/>
      <c r="P140" s="2"/>
      <c r="Q140" s="2"/>
      <c r="R140" s="2"/>
      <c r="S140" s="259"/>
      <c r="T140" s="2"/>
      <c r="U140" s="264">
        <v>136</v>
      </c>
      <c r="V140" s="16" t="str">
        <f t="shared" si="121"/>
        <v/>
      </c>
      <c r="W140" s="16" t="str">
        <f t="shared" si="122"/>
        <v/>
      </c>
      <c r="X140" s="16" t="str">
        <f t="shared" si="116"/>
        <v/>
      </c>
      <c r="Y140" s="16" t="str">
        <f t="shared" si="117"/>
        <v/>
      </c>
      <c r="Z140" s="16" t="str">
        <f t="shared" si="118"/>
        <v/>
      </c>
      <c r="AA140" s="16" t="str">
        <f t="shared" si="123"/>
        <v/>
      </c>
      <c r="AB140" s="16" t="str">
        <f t="shared" si="124"/>
        <v/>
      </c>
      <c r="AC140" s="29" t="str">
        <f t="shared" si="119"/>
        <v/>
      </c>
      <c r="AD140" s="29" t="str">
        <f t="shared" si="120"/>
        <v/>
      </c>
      <c r="AE140" s="2"/>
      <c r="AF140" s="2"/>
      <c r="AG140" s="2"/>
      <c r="AH140" s="2"/>
      <c r="AI140" s="2"/>
      <c r="AJ140" s="2"/>
      <c r="AK140" s="2"/>
      <c r="AL140" s="2"/>
      <c r="AM140" s="2"/>
      <c r="AN140" s="2"/>
      <c r="AO140" s="2"/>
      <c r="AP140" s="2"/>
      <c r="AQ140" s="2"/>
      <c r="AU140" s="215" t="str">
        <f t="shared" si="98"/>
        <v/>
      </c>
      <c r="AV140" s="221" t="str">
        <f t="shared" si="99"/>
        <v/>
      </c>
      <c r="AW140" s="221" t="str">
        <f t="shared" si="100"/>
        <v/>
      </c>
      <c r="AX140" s="215" t="str">
        <f t="shared" si="101"/>
        <v/>
      </c>
      <c r="AY140" s="221" t="str">
        <f t="shared" si="102"/>
        <v/>
      </c>
      <c r="AZ140" s="221" t="str">
        <f t="shared" si="103"/>
        <v/>
      </c>
      <c r="BA140" s="215" t="str">
        <f t="shared" si="104"/>
        <v/>
      </c>
      <c r="BB140" s="221" t="str">
        <f t="shared" si="105"/>
        <v/>
      </c>
      <c r="BC140" s="221" t="str">
        <f t="shared" si="106"/>
        <v/>
      </c>
      <c r="BD140" s="215" t="str">
        <f t="shared" si="107"/>
        <v/>
      </c>
      <c r="BE140" s="221" t="str">
        <f t="shared" si="108"/>
        <v/>
      </c>
      <c r="BF140" s="221" t="str">
        <f t="shared" si="109"/>
        <v/>
      </c>
      <c r="BG140" s="215" t="str">
        <f t="shared" si="110"/>
        <v/>
      </c>
      <c r="BH140" s="221" t="str">
        <f t="shared" si="111"/>
        <v/>
      </c>
      <c r="BI140" s="221" t="str">
        <f t="shared" si="112"/>
        <v/>
      </c>
      <c r="BJ140" s="215" t="str">
        <f t="shared" si="113"/>
        <v/>
      </c>
      <c r="BK140" s="221" t="str">
        <f t="shared" si="114"/>
        <v/>
      </c>
      <c r="BL140" s="221" t="str">
        <f t="shared" si="115"/>
        <v/>
      </c>
    </row>
    <row r="141" spans="1:64" x14ac:dyDescent="0.25">
      <c r="A141" s="48"/>
      <c r="B141" s="58" t="s">
        <v>142</v>
      </c>
      <c r="C141" s="59"/>
      <c r="D141" s="48"/>
      <c r="E141" s="58" t="s">
        <v>142</v>
      </c>
      <c r="F141" s="59"/>
      <c r="G141" s="48"/>
      <c r="H141" s="58" t="s">
        <v>142</v>
      </c>
      <c r="I141" s="59"/>
      <c r="J141" s="48"/>
      <c r="K141" s="58" t="s">
        <v>142</v>
      </c>
      <c r="L141" s="59"/>
      <c r="M141" s="48"/>
      <c r="N141" s="58" t="s">
        <v>142</v>
      </c>
      <c r="O141" s="59"/>
      <c r="P141" s="48"/>
      <c r="Q141" s="58" t="s">
        <v>142</v>
      </c>
      <c r="R141" s="59"/>
      <c r="S141" s="259"/>
      <c r="T141" s="2"/>
      <c r="U141" s="264">
        <v>137</v>
      </c>
      <c r="V141" s="16" t="str">
        <f t="shared" si="121"/>
        <v/>
      </c>
      <c r="W141" s="16" t="str">
        <f t="shared" si="122"/>
        <v/>
      </c>
      <c r="X141" s="16" t="str">
        <f t="shared" si="116"/>
        <v/>
      </c>
      <c r="Y141" s="16" t="str">
        <f t="shared" si="117"/>
        <v/>
      </c>
      <c r="Z141" s="16" t="str">
        <f t="shared" si="118"/>
        <v/>
      </c>
      <c r="AA141" s="16" t="str">
        <f t="shared" si="123"/>
        <v/>
      </c>
      <c r="AB141" s="16" t="str">
        <f t="shared" si="124"/>
        <v/>
      </c>
      <c r="AC141" s="29" t="str">
        <f t="shared" si="119"/>
        <v/>
      </c>
      <c r="AD141" s="29" t="str">
        <f t="shared" si="120"/>
        <v/>
      </c>
      <c r="AE141" s="2"/>
      <c r="AF141" s="2"/>
      <c r="AG141" s="2"/>
      <c r="AH141" s="2"/>
      <c r="AI141" s="2"/>
      <c r="AJ141" s="2"/>
      <c r="AK141" s="2"/>
      <c r="AL141" s="2"/>
      <c r="AM141" s="2"/>
      <c r="AN141" s="2"/>
      <c r="AO141" s="2"/>
      <c r="AP141" s="2"/>
      <c r="AQ141" s="2"/>
      <c r="AU141" s="215" t="str">
        <f t="shared" si="98"/>
        <v/>
      </c>
      <c r="AV141" s="222" t="str">
        <f t="shared" si="99"/>
        <v/>
      </c>
      <c r="AW141" s="230" t="str">
        <f t="shared" si="100"/>
        <v/>
      </c>
      <c r="AX141" s="215" t="str">
        <f t="shared" si="101"/>
        <v/>
      </c>
      <c r="AY141" s="222" t="str">
        <f t="shared" si="102"/>
        <v/>
      </c>
      <c r="AZ141" s="230" t="str">
        <f t="shared" si="103"/>
        <v/>
      </c>
      <c r="BA141" s="215" t="str">
        <f t="shared" si="104"/>
        <v/>
      </c>
      <c r="BB141" s="222" t="str">
        <f t="shared" si="105"/>
        <v/>
      </c>
      <c r="BC141" s="230" t="str">
        <f t="shared" si="106"/>
        <v/>
      </c>
      <c r="BD141" s="215" t="str">
        <f t="shared" si="107"/>
        <v/>
      </c>
      <c r="BE141" s="222" t="str">
        <f t="shared" si="108"/>
        <v/>
      </c>
      <c r="BF141" s="230" t="str">
        <f t="shared" si="109"/>
        <v/>
      </c>
      <c r="BG141" s="215" t="str">
        <f t="shared" si="110"/>
        <v/>
      </c>
      <c r="BH141" s="222" t="str">
        <f t="shared" si="111"/>
        <v/>
      </c>
      <c r="BI141" s="230" t="str">
        <f t="shared" si="112"/>
        <v/>
      </c>
      <c r="BJ141" s="215" t="str">
        <f t="shared" si="113"/>
        <v/>
      </c>
      <c r="BK141" s="222" t="str">
        <f t="shared" si="114"/>
        <v/>
      </c>
      <c r="BL141" s="222" t="str">
        <f t="shared" si="115"/>
        <v/>
      </c>
    </row>
    <row r="142" spans="1:64" x14ac:dyDescent="0.25">
      <c r="A142" s="48"/>
      <c r="B142" s="62" t="s">
        <v>20</v>
      </c>
      <c r="C142" s="63" t="s">
        <v>21</v>
      </c>
      <c r="D142" s="48"/>
      <c r="E142" s="140" t="s">
        <v>20</v>
      </c>
      <c r="F142" s="277" t="s">
        <v>21</v>
      </c>
      <c r="G142" s="48"/>
      <c r="H142" s="140" t="s">
        <v>20</v>
      </c>
      <c r="I142" s="277" t="s">
        <v>21</v>
      </c>
      <c r="J142" s="48"/>
      <c r="K142" s="140" t="s">
        <v>20</v>
      </c>
      <c r="L142" s="277" t="s">
        <v>21</v>
      </c>
      <c r="M142" s="48"/>
      <c r="N142" s="140" t="s">
        <v>20</v>
      </c>
      <c r="O142" s="277" t="s">
        <v>21</v>
      </c>
      <c r="P142" s="48"/>
      <c r="Q142" s="140" t="s">
        <v>20</v>
      </c>
      <c r="R142" s="277" t="s">
        <v>21</v>
      </c>
      <c r="S142" s="259"/>
      <c r="T142" s="2"/>
      <c r="U142" s="264">
        <v>138</v>
      </c>
      <c r="V142" s="16" t="str">
        <f t="shared" si="121"/>
        <v/>
      </c>
      <c r="W142" s="16" t="str">
        <f t="shared" si="122"/>
        <v/>
      </c>
      <c r="X142" s="16" t="str">
        <f t="shared" si="116"/>
        <v/>
      </c>
      <c r="Y142" s="16" t="str">
        <f t="shared" si="117"/>
        <v/>
      </c>
      <c r="Z142" s="16" t="str">
        <f t="shared" si="118"/>
        <v/>
      </c>
      <c r="AA142" s="16" t="str">
        <f t="shared" si="123"/>
        <v/>
      </c>
      <c r="AB142" s="16" t="str">
        <f t="shared" si="124"/>
        <v/>
      </c>
      <c r="AC142" s="29" t="str">
        <f t="shared" si="119"/>
        <v/>
      </c>
      <c r="AD142" s="29" t="str">
        <f t="shared" si="120"/>
        <v/>
      </c>
      <c r="AE142" s="2"/>
      <c r="AF142" s="2"/>
      <c r="AG142" s="2"/>
      <c r="AH142" s="2"/>
      <c r="AI142" s="2"/>
      <c r="AJ142" s="2"/>
      <c r="AK142" s="2"/>
      <c r="AL142" s="2"/>
      <c r="AM142" s="2"/>
      <c r="AN142" s="2"/>
      <c r="AO142" s="2"/>
      <c r="AP142" s="2"/>
      <c r="AQ142" s="2"/>
    </row>
    <row r="143" spans="1:64" x14ac:dyDescent="0.25">
      <c r="A143" s="260" t="str">
        <f t="shared" ref="A143:A174" si="125">IF($C$9&gt;=$U5,"#"&amp;$U5&amp;":","")</f>
        <v>#1:</v>
      </c>
      <c r="B143" s="143">
        <f t="shared" ref="B143:B174" si="126">$AC5</f>
        <v>82.272727272726797</v>
      </c>
      <c r="C143" s="144">
        <f t="shared" ref="C143:C174" si="127">$AD5</f>
        <v>1.8027756377319946</v>
      </c>
      <c r="D143" s="261" t="str">
        <f t="shared" ref="D143:D174" si="128">IF($C$9&gt;=$U55,"#"&amp;$U55&amp;":","")</f>
        <v/>
      </c>
      <c r="E143" s="143" t="str">
        <f t="shared" ref="E143:E174" si="129">$AC55</f>
        <v/>
      </c>
      <c r="F143" s="144" t="str">
        <f t="shared" ref="F143:F174" si="130">$AD55</f>
        <v/>
      </c>
      <c r="G143" s="261" t="str">
        <f t="shared" ref="G143:G174" si="131">IF($C$9&gt;=$U105,"#"&amp;$U105&amp;":","")</f>
        <v/>
      </c>
      <c r="H143" s="143" t="str">
        <f t="shared" ref="H143:H174" si="132">$AC105</f>
        <v/>
      </c>
      <c r="I143" s="144" t="str">
        <f t="shared" ref="I143:I174" si="133">$AD105</f>
        <v/>
      </c>
      <c r="J143" s="261" t="str">
        <f t="shared" ref="J143:J174" si="134">IF($C$9&gt;=$U155,"#"&amp;$U155&amp;":","")</f>
        <v/>
      </c>
      <c r="K143" s="143" t="str">
        <f t="shared" ref="K143:K174" si="135">$AC155</f>
        <v/>
      </c>
      <c r="L143" s="144" t="str">
        <f t="shared" ref="L143:L174" si="136">$AD155</f>
        <v/>
      </c>
      <c r="M143" s="261" t="str">
        <f t="shared" ref="M143:M174" si="137">IF($C$9&gt;=$U205,"#"&amp;$U205&amp;":","")</f>
        <v/>
      </c>
      <c r="N143" s="143" t="str">
        <f t="shared" ref="N143:N174" si="138">$AC205</f>
        <v/>
      </c>
      <c r="O143" s="144" t="str">
        <f t="shared" ref="O143:O174" si="139">$AD205</f>
        <v/>
      </c>
      <c r="P143" s="261" t="str">
        <f t="shared" ref="P143:P174" si="140">IF($C$9&gt;=$U255,"#"&amp;$U255&amp;":","")</f>
        <v/>
      </c>
      <c r="Q143" s="143" t="str">
        <f t="shared" ref="Q143:Q174" si="141">$AC255</f>
        <v/>
      </c>
      <c r="R143" s="144" t="str">
        <f t="shared" ref="R143:R174" si="142">$AD255</f>
        <v/>
      </c>
      <c r="S143" s="259"/>
      <c r="T143" s="2"/>
      <c r="U143" s="264">
        <v>139</v>
      </c>
      <c r="V143" s="16" t="str">
        <f t="shared" si="121"/>
        <v/>
      </c>
      <c r="W143" s="16" t="str">
        <f t="shared" si="122"/>
        <v/>
      </c>
      <c r="X143" s="16" t="str">
        <f t="shared" si="116"/>
        <v/>
      </c>
      <c r="Y143" s="16" t="str">
        <f t="shared" si="117"/>
        <v/>
      </c>
      <c r="Z143" s="16" t="str">
        <f t="shared" si="118"/>
        <v/>
      </c>
      <c r="AA143" s="16" t="str">
        <f t="shared" si="123"/>
        <v/>
      </c>
      <c r="AB143" s="16" t="str">
        <f t="shared" si="124"/>
        <v/>
      </c>
      <c r="AC143" s="29" t="str">
        <f t="shared" si="119"/>
        <v/>
      </c>
      <c r="AD143" s="29" t="str">
        <f t="shared" si="120"/>
        <v/>
      </c>
      <c r="AE143" s="2"/>
      <c r="AF143" s="2"/>
      <c r="AG143" s="2"/>
      <c r="AH143" s="2"/>
      <c r="AI143" s="2"/>
      <c r="AJ143" s="2"/>
      <c r="AK143" s="2"/>
      <c r="AL143" s="2"/>
      <c r="AM143" s="2"/>
      <c r="AN143" s="2"/>
      <c r="AO143" s="2"/>
      <c r="AP143" s="2"/>
      <c r="AQ143" s="2"/>
    </row>
    <row r="144" spans="1:64" x14ac:dyDescent="0.25">
      <c r="A144" s="260" t="str">
        <f t="shared" si="125"/>
        <v>#2:</v>
      </c>
      <c r="B144" s="147">
        <f t="shared" si="126"/>
        <v>81.767676767676306</v>
      </c>
      <c r="C144" s="148">
        <f t="shared" si="127"/>
        <v>1.8027756377319946</v>
      </c>
      <c r="D144" s="261" t="str">
        <f t="shared" si="128"/>
        <v/>
      </c>
      <c r="E144" s="147" t="str">
        <f t="shared" si="129"/>
        <v/>
      </c>
      <c r="F144" s="148" t="str">
        <f t="shared" si="130"/>
        <v/>
      </c>
      <c r="G144" s="261" t="str">
        <f t="shared" si="131"/>
        <v/>
      </c>
      <c r="H144" s="147" t="str">
        <f t="shared" si="132"/>
        <v/>
      </c>
      <c r="I144" s="148" t="str">
        <f t="shared" si="133"/>
        <v/>
      </c>
      <c r="J144" s="261" t="str">
        <f t="shared" si="134"/>
        <v/>
      </c>
      <c r="K144" s="147" t="str">
        <f t="shared" si="135"/>
        <v/>
      </c>
      <c r="L144" s="148" t="str">
        <f t="shared" si="136"/>
        <v/>
      </c>
      <c r="M144" s="261" t="str">
        <f t="shared" si="137"/>
        <v/>
      </c>
      <c r="N144" s="147" t="str">
        <f t="shared" si="138"/>
        <v/>
      </c>
      <c r="O144" s="148" t="str">
        <f t="shared" si="139"/>
        <v/>
      </c>
      <c r="P144" s="261" t="str">
        <f t="shared" si="140"/>
        <v/>
      </c>
      <c r="Q144" s="147" t="str">
        <f t="shared" si="141"/>
        <v/>
      </c>
      <c r="R144" s="148" t="str">
        <f t="shared" si="142"/>
        <v/>
      </c>
      <c r="S144" s="259"/>
      <c r="T144" s="2"/>
      <c r="U144" s="264">
        <v>140</v>
      </c>
      <c r="V144" s="16" t="str">
        <f t="shared" si="121"/>
        <v/>
      </c>
      <c r="W144" s="16" t="str">
        <f t="shared" si="122"/>
        <v/>
      </c>
      <c r="X144" s="16" t="str">
        <f t="shared" si="116"/>
        <v/>
      </c>
      <c r="Y144" s="16" t="str">
        <f t="shared" si="117"/>
        <v/>
      </c>
      <c r="Z144" s="16" t="str">
        <f t="shared" si="118"/>
        <v/>
      </c>
      <c r="AA144" s="16" t="str">
        <f t="shared" si="123"/>
        <v/>
      </c>
      <c r="AB144" s="16" t="str">
        <f t="shared" si="124"/>
        <v/>
      </c>
      <c r="AC144" s="29" t="str">
        <f t="shared" si="119"/>
        <v/>
      </c>
      <c r="AD144" s="29" t="str">
        <f t="shared" si="120"/>
        <v/>
      </c>
      <c r="AE144" s="2"/>
      <c r="AF144" s="2"/>
      <c r="AG144" s="2"/>
      <c r="AH144" s="2"/>
      <c r="AI144" s="2"/>
      <c r="AJ144" s="2"/>
      <c r="AK144" s="2"/>
      <c r="AL144" s="2"/>
      <c r="AM144" s="2"/>
      <c r="AN144" s="2"/>
      <c r="AO144" s="2"/>
      <c r="AP144" s="2"/>
      <c r="AQ144" s="2"/>
    </row>
    <row r="145" spans="1:43" x14ac:dyDescent="0.25">
      <c r="A145" s="260" t="str">
        <f t="shared" si="125"/>
        <v>#3:</v>
      </c>
      <c r="B145" s="147">
        <f t="shared" si="126"/>
        <v>81.262626262625801</v>
      </c>
      <c r="C145" s="148">
        <f t="shared" si="127"/>
        <v>1.8027756377319946</v>
      </c>
      <c r="D145" s="261" t="str">
        <f t="shared" si="128"/>
        <v/>
      </c>
      <c r="E145" s="147" t="str">
        <f t="shared" si="129"/>
        <v/>
      </c>
      <c r="F145" s="148" t="str">
        <f t="shared" si="130"/>
        <v/>
      </c>
      <c r="G145" s="261" t="str">
        <f t="shared" si="131"/>
        <v/>
      </c>
      <c r="H145" s="147" t="str">
        <f t="shared" si="132"/>
        <v/>
      </c>
      <c r="I145" s="148" t="str">
        <f t="shared" si="133"/>
        <v/>
      </c>
      <c r="J145" s="261" t="str">
        <f t="shared" si="134"/>
        <v/>
      </c>
      <c r="K145" s="147" t="str">
        <f t="shared" si="135"/>
        <v/>
      </c>
      <c r="L145" s="148" t="str">
        <f t="shared" si="136"/>
        <v/>
      </c>
      <c r="M145" s="261" t="str">
        <f t="shared" si="137"/>
        <v/>
      </c>
      <c r="N145" s="147" t="str">
        <f t="shared" si="138"/>
        <v/>
      </c>
      <c r="O145" s="148" t="str">
        <f t="shared" si="139"/>
        <v/>
      </c>
      <c r="P145" s="261" t="str">
        <f t="shared" si="140"/>
        <v/>
      </c>
      <c r="Q145" s="147" t="str">
        <f t="shared" si="141"/>
        <v/>
      </c>
      <c r="R145" s="148" t="str">
        <f t="shared" si="142"/>
        <v/>
      </c>
      <c r="S145" s="259"/>
      <c r="T145" s="2"/>
      <c r="U145" s="264">
        <v>141</v>
      </c>
      <c r="V145" s="16" t="str">
        <f t="shared" si="121"/>
        <v/>
      </c>
      <c r="W145" s="16" t="str">
        <f t="shared" si="122"/>
        <v/>
      </c>
      <c r="X145" s="16" t="str">
        <f t="shared" si="116"/>
        <v/>
      </c>
      <c r="Y145" s="16" t="str">
        <f t="shared" si="117"/>
        <v/>
      </c>
      <c r="Z145" s="16" t="str">
        <f t="shared" si="118"/>
        <v/>
      </c>
      <c r="AA145" s="16" t="str">
        <f t="shared" si="123"/>
        <v/>
      </c>
      <c r="AB145" s="16" t="str">
        <f t="shared" si="124"/>
        <v/>
      </c>
      <c r="AC145" s="29" t="str">
        <f t="shared" si="119"/>
        <v/>
      </c>
      <c r="AD145" s="29" t="str">
        <f t="shared" si="120"/>
        <v/>
      </c>
      <c r="AE145" s="2"/>
      <c r="AF145" s="2"/>
      <c r="AG145" s="2"/>
      <c r="AH145" s="2"/>
      <c r="AI145" s="2"/>
      <c r="AJ145" s="2"/>
      <c r="AK145" s="2"/>
      <c r="AL145" s="2"/>
      <c r="AM145" s="2"/>
      <c r="AN145" s="2"/>
      <c r="AO145" s="2"/>
      <c r="AP145" s="2"/>
      <c r="AQ145" s="2"/>
    </row>
    <row r="146" spans="1:43" x14ac:dyDescent="0.25">
      <c r="A146" s="260" t="str">
        <f t="shared" si="125"/>
        <v>#4:</v>
      </c>
      <c r="B146" s="147">
        <f t="shared" si="126"/>
        <v>80.75757575757531</v>
      </c>
      <c r="C146" s="148">
        <f t="shared" si="127"/>
        <v>1.8027756377319946</v>
      </c>
      <c r="D146" s="261" t="str">
        <f t="shared" si="128"/>
        <v/>
      </c>
      <c r="E146" s="147" t="str">
        <f t="shared" si="129"/>
        <v/>
      </c>
      <c r="F146" s="148" t="str">
        <f t="shared" si="130"/>
        <v/>
      </c>
      <c r="G146" s="261" t="str">
        <f t="shared" si="131"/>
        <v/>
      </c>
      <c r="H146" s="147" t="str">
        <f t="shared" si="132"/>
        <v/>
      </c>
      <c r="I146" s="148" t="str">
        <f t="shared" si="133"/>
        <v/>
      </c>
      <c r="J146" s="261" t="str">
        <f t="shared" si="134"/>
        <v/>
      </c>
      <c r="K146" s="147" t="str">
        <f t="shared" si="135"/>
        <v/>
      </c>
      <c r="L146" s="148" t="str">
        <f t="shared" si="136"/>
        <v/>
      </c>
      <c r="M146" s="261" t="str">
        <f t="shared" si="137"/>
        <v/>
      </c>
      <c r="N146" s="147" t="str">
        <f t="shared" si="138"/>
        <v/>
      </c>
      <c r="O146" s="148" t="str">
        <f t="shared" si="139"/>
        <v/>
      </c>
      <c r="P146" s="261" t="str">
        <f t="shared" si="140"/>
        <v/>
      </c>
      <c r="Q146" s="147" t="str">
        <f t="shared" si="141"/>
        <v/>
      </c>
      <c r="R146" s="148" t="str">
        <f t="shared" si="142"/>
        <v/>
      </c>
      <c r="S146" s="259"/>
      <c r="T146" s="2"/>
      <c r="U146" s="264">
        <v>142</v>
      </c>
      <c r="V146" s="16" t="str">
        <f t="shared" si="121"/>
        <v/>
      </c>
      <c r="W146" s="16" t="str">
        <f t="shared" si="122"/>
        <v/>
      </c>
      <c r="X146" s="16" t="str">
        <f t="shared" si="116"/>
        <v/>
      </c>
      <c r="Y146" s="16" t="str">
        <f t="shared" si="117"/>
        <v/>
      </c>
      <c r="Z146" s="16" t="str">
        <f t="shared" si="118"/>
        <v/>
      </c>
      <c r="AA146" s="16" t="str">
        <f t="shared" si="123"/>
        <v/>
      </c>
      <c r="AB146" s="16" t="str">
        <f t="shared" si="124"/>
        <v/>
      </c>
      <c r="AC146" s="29" t="str">
        <f t="shared" si="119"/>
        <v/>
      </c>
      <c r="AD146" s="29" t="str">
        <f t="shared" si="120"/>
        <v/>
      </c>
      <c r="AE146" s="2"/>
      <c r="AF146" s="2"/>
      <c r="AG146" s="2"/>
      <c r="AH146" s="2"/>
      <c r="AI146" s="2"/>
      <c r="AJ146" s="2"/>
      <c r="AK146" s="2"/>
      <c r="AL146" s="2"/>
      <c r="AM146" s="2"/>
      <c r="AN146" s="2"/>
      <c r="AO146" s="2"/>
      <c r="AP146" s="2"/>
      <c r="AQ146" s="2"/>
    </row>
    <row r="147" spans="1:43" x14ac:dyDescent="0.25">
      <c r="A147" s="260" t="str">
        <f t="shared" si="125"/>
        <v>#5:</v>
      </c>
      <c r="B147" s="147">
        <f t="shared" si="126"/>
        <v>80.252525252524805</v>
      </c>
      <c r="C147" s="148">
        <f t="shared" si="127"/>
        <v>1.8027756377319946</v>
      </c>
      <c r="D147" s="261" t="str">
        <f t="shared" si="128"/>
        <v/>
      </c>
      <c r="E147" s="147" t="str">
        <f t="shared" si="129"/>
        <v/>
      </c>
      <c r="F147" s="148" t="str">
        <f t="shared" si="130"/>
        <v/>
      </c>
      <c r="G147" s="261" t="str">
        <f t="shared" si="131"/>
        <v/>
      </c>
      <c r="H147" s="147" t="str">
        <f t="shared" si="132"/>
        <v/>
      </c>
      <c r="I147" s="148" t="str">
        <f t="shared" si="133"/>
        <v/>
      </c>
      <c r="J147" s="261" t="str">
        <f t="shared" si="134"/>
        <v/>
      </c>
      <c r="K147" s="147" t="str">
        <f t="shared" si="135"/>
        <v/>
      </c>
      <c r="L147" s="148" t="str">
        <f t="shared" si="136"/>
        <v/>
      </c>
      <c r="M147" s="261" t="str">
        <f t="shared" si="137"/>
        <v/>
      </c>
      <c r="N147" s="147" t="str">
        <f t="shared" si="138"/>
        <v/>
      </c>
      <c r="O147" s="148" t="str">
        <f t="shared" si="139"/>
        <v/>
      </c>
      <c r="P147" s="261" t="str">
        <f t="shared" si="140"/>
        <v/>
      </c>
      <c r="Q147" s="147" t="str">
        <f t="shared" si="141"/>
        <v/>
      </c>
      <c r="R147" s="148" t="str">
        <f t="shared" si="142"/>
        <v/>
      </c>
      <c r="S147" s="259"/>
      <c r="T147" s="2"/>
      <c r="U147" s="264">
        <v>143</v>
      </c>
      <c r="V147" s="16" t="str">
        <f t="shared" si="121"/>
        <v/>
      </c>
      <c r="W147" s="16" t="str">
        <f t="shared" si="122"/>
        <v/>
      </c>
      <c r="X147" s="16" t="str">
        <f t="shared" si="116"/>
        <v/>
      </c>
      <c r="Y147" s="16" t="str">
        <f t="shared" si="117"/>
        <v/>
      </c>
      <c r="Z147" s="16" t="str">
        <f t="shared" si="118"/>
        <v/>
      </c>
      <c r="AA147" s="16" t="str">
        <f t="shared" si="123"/>
        <v/>
      </c>
      <c r="AB147" s="16" t="str">
        <f t="shared" si="124"/>
        <v/>
      </c>
      <c r="AC147" s="29" t="str">
        <f t="shared" si="119"/>
        <v/>
      </c>
      <c r="AD147" s="29" t="str">
        <f t="shared" si="120"/>
        <v/>
      </c>
      <c r="AE147" s="2"/>
      <c r="AF147" s="2"/>
      <c r="AG147" s="2"/>
      <c r="AH147" s="2"/>
      <c r="AI147" s="2"/>
      <c r="AJ147" s="2"/>
      <c r="AK147" s="2"/>
      <c r="AL147" s="2"/>
      <c r="AM147" s="2"/>
      <c r="AN147" s="2"/>
      <c r="AO147" s="2"/>
      <c r="AP147" s="2"/>
      <c r="AQ147" s="2"/>
    </row>
    <row r="148" spans="1:43" x14ac:dyDescent="0.25">
      <c r="A148" s="260" t="str">
        <f t="shared" si="125"/>
        <v>#6:</v>
      </c>
      <c r="B148" s="147">
        <f t="shared" si="126"/>
        <v>79.747474747474314</v>
      </c>
      <c r="C148" s="148">
        <f t="shared" si="127"/>
        <v>1.8027756377319946</v>
      </c>
      <c r="D148" s="261" t="str">
        <f t="shared" si="128"/>
        <v/>
      </c>
      <c r="E148" s="147" t="str">
        <f t="shared" si="129"/>
        <v/>
      </c>
      <c r="F148" s="148" t="str">
        <f t="shared" si="130"/>
        <v/>
      </c>
      <c r="G148" s="261" t="str">
        <f t="shared" si="131"/>
        <v/>
      </c>
      <c r="H148" s="147" t="str">
        <f t="shared" si="132"/>
        <v/>
      </c>
      <c r="I148" s="148" t="str">
        <f t="shared" si="133"/>
        <v/>
      </c>
      <c r="J148" s="261" t="str">
        <f t="shared" si="134"/>
        <v/>
      </c>
      <c r="K148" s="147" t="str">
        <f t="shared" si="135"/>
        <v/>
      </c>
      <c r="L148" s="148" t="str">
        <f t="shared" si="136"/>
        <v/>
      </c>
      <c r="M148" s="261" t="str">
        <f t="shared" si="137"/>
        <v/>
      </c>
      <c r="N148" s="147" t="str">
        <f t="shared" si="138"/>
        <v/>
      </c>
      <c r="O148" s="148" t="str">
        <f t="shared" si="139"/>
        <v/>
      </c>
      <c r="P148" s="261" t="str">
        <f t="shared" si="140"/>
        <v/>
      </c>
      <c r="Q148" s="147" t="str">
        <f t="shared" si="141"/>
        <v/>
      </c>
      <c r="R148" s="148" t="str">
        <f t="shared" si="142"/>
        <v/>
      </c>
      <c r="S148" s="259"/>
      <c r="T148" s="2"/>
      <c r="U148" s="264">
        <v>144</v>
      </c>
      <c r="V148" s="16" t="str">
        <f t="shared" si="121"/>
        <v/>
      </c>
      <c r="W148" s="16" t="str">
        <f t="shared" si="122"/>
        <v/>
      </c>
      <c r="X148" s="16" t="str">
        <f t="shared" si="116"/>
        <v/>
      </c>
      <c r="Y148" s="16" t="str">
        <f t="shared" si="117"/>
        <v/>
      </c>
      <c r="Z148" s="16" t="str">
        <f t="shared" si="118"/>
        <v/>
      </c>
      <c r="AA148" s="16" t="str">
        <f t="shared" si="123"/>
        <v/>
      </c>
      <c r="AB148" s="16" t="str">
        <f t="shared" si="124"/>
        <v/>
      </c>
      <c r="AC148" s="29" t="str">
        <f t="shared" si="119"/>
        <v/>
      </c>
      <c r="AD148" s="29" t="str">
        <f t="shared" si="120"/>
        <v/>
      </c>
      <c r="AE148" s="2"/>
      <c r="AF148" s="2"/>
      <c r="AG148" s="2"/>
      <c r="AH148" s="2"/>
      <c r="AI148" s="2"/>
      <c r="AJ148" s="2"/>
      <c r="AK148" s="2"/>
      <c r="AL148" s="2"/>
      <c r="AM148" s="2"/>
      <c r="AN148" s="2"/>
      <c r="AO148" s="2"/>
      <c r="AP148" s="2"/>
      <c r="AQ148" s="2"/>
    </row>
    <row r="149" spans="1:43" x14ac:dyDescent="0.25">
      <c r="A149" s="260" t="str">
        <f t="shared" si="125"/>
        <v>#7:</v>
      </c>
      <c r="B149" s="147">
        <f t="shared" si="126"/>
        <v>79.242424242423809</v>
      </c>
      <c r="C149" s="148">
        <f t="shared" si="127"/>
        <v>1.8027756377319946</v>
      </c>
      <c r="D149" s="261" t="str">
        <f t="shared" si="128"/>
        <v/>
      </c>
      <c r="E149" s="147" t="str">
        <f t="shared" si="129"/>
        <v/>
      </c>
      <c r="F149" s="148" t="str">
        <f t="shared" si="130"/>
        <v/>
      </c>
      <c r="G149" s="261" t="str">
        <f t="shared" si="131"/>
        <v/>
      </c>
      <c r="H149" s="147" t="str">
        <f t="shared" si="132"/>
        <v/>
      </c>
      <c r="I149" s="148" t="str">
        <f t="shared" si="133"/>
        <v/>
      </c>
      <c r="J149" s="261" t="str">
        <f t="shared" si="134"/>
        <v/>
      </c>
      <c r="K149" s="147" t="str">
        <f t="shared" si="135"/>
        <v/>
      </c>
      <c r="L149" s="148" t="str">
        <f t="shared" si="136"/>
        <v/>
      </c>
      <c r="M149" s="261" t="str">
        <f t="shared" si="137"/>
        <v/>
      </c>
      <c r="N149" s="147" t="str">
        <f t="shared" si="138"/>
        <v/>
      </c>
      <c r="O149" s="148" t="str">
        <f t="shared" si="139"/>
        <v/>
      </c>
      <c r="P149" s="261" t="str">
        <f t="shared" si="140"/>
        <v/>
      </c>
      <c r="Q149" s="147" t="str">
        <f t="shared" si="141"/>
        <v/>
      </c>
      <c r="R149" s="148" t="str">
        <f t="shared" si="142"/>
        <v/>
      </c>
      <c r="S149" s="259"/>
      <c r="T149" s="2"/>
      <c r="U149" s="264">
        <v>145</v>
      </c>
      <c r="V149" s="16" t="str">
        <f t="shared" si="121"/>
        <v/>
      </c>
      <c r="W149" s="16" t="str">
        <f t="shared" si="122"/>
        <v/>
      </c>
      <c r="X149" s="16" t="str">
        <f t="shared" si="116"/>
        <v/>
      </c>
      <c r="Y149" s="16" t="str">
        <f t="shared" si="117"/>
        <v/>
      </c>
      <c r="Z149" s="16" t="str">
        <f t="shared" si="118"/>
        <v/>
      </c>
      <c r="AA149" s="16" t="str">
        <f t="shared" si="123"/>
        <v/>
      </c>
      <c r="AB149" s="16" t="str">
        <f t="shared" si="124"/>
        <v/>
      </c>
      <c r="AC149" s="29" t="str">
        <f t="shared" si="119"/>
        <v/>
      </c>
      <c r="AD149" s="29" t="str">
        <f t="shared" si="120"/>
        <v/>
      </c>
      <c r="AE149" s="2"/>
      <c r="AF149" s="2"/>
      <c r="AG149" s="2"/>
      <c r="AH149" s="2"/>
      <c r="AI149" s="2"/>
      <c r="AJ149" s="2"/>
      <c r="AK149" s="2"/>
      <c r="AL149" s="2"/>
      <c r="AM149" s="2"/>
      <c r="AN149" s="2"/>
      <c r="AO149" s="2"/>
      <c r="AP149" s="2"/>
      <c r="AQ149" s="2"/>
    </row>
    <row r="150" spans="1:43" x14ac:dyDescent="0.25">
      <c r="A150" s="260" t="str">
        <f t="shared" si="125"/>
        <v>#8:</v>
      </c>
      <c r="B150" s="147">
        <f t="shared" si="126"/>
        <v>78.737373737373318</v>
      </c>
      <c r="C150" s="148">
        <f t="shared" si="127"/>
        <v>1.8027756377319946</v>
      </c>
      <c r="D150" s="261" t="str">
        <f t="shared" si="128"/>
        <v/>
      </c>
      <c r="E150" s="147" t="str">
        <f t="shared" si="129"/>
        <v/>
      </c>
      <c r="F150" s="148" t="str">
        <f t="shared" si="130"/>
        <v/>
      </c>
      <c r="G150" s="261" t="str">
        <f t="shared" si="131"/>
        <v/>
      </c>
      <c r="H150" s="147" t="str">
        <f t="shared" si="132"/>
        <v/>
      </c>
      <c r="I150" s="148" t="str">
        <f t="shared" si="133"/>
        <v/>
      </c>
      <c r="J150" s="261" t="str">
        <f t="shared" si="134"/>
        <v/>
      </c>
      <c r="K150" s="147" t="str">
        <f t="shared" si="135"/>
        <v/>
      </c>
      <c r="L150" s="148" t="str">
        <f t="shared" si="136"/>
        <v/>
      </c>
      <c r="M150" s="261" t="str">
        <f t="shared" si="137"/>
        <v/>
      </c>
      <c r="N150" s="147" t="str">
        <f t="shared" si="138"/>
        <v/>
      </c>
      <c r="O150" s="148" t="str">
        <f t="shared" si="139"/>
        <v/>
      </c>
      <c r="P150" s="261" t="str">
        <f t="shared" si="140"/>
        <v/>
      </c>
      <c r="Q150" s="147" t="str">
        <f t="shared" si="141"/>
        <v/>
      </c>
      <c r="R150" s="148" t="str">
        <f t="shared" si="142"/>
        <v/>
      </c>
      <c r="S150" s="259"/>
      <c r="T150" s="2"/>
      <c r="U150" s="264">
        <v>146</v>
      </c>
      <c r="V150" s="16" t="str">
        <f t="shared" si="121"/>
        <v/>
      </c>
      <c r="W150" s="16" t="str">
        <f t="shared" si="122"/>
        <v/>
      </c>
      <c r="X150" s="16" t="str">
        <f t="shared" si="116"/>
        <v/>
      </c>
      <c r="Y150" s="16" t="str">
        <f t="shared" si="117"/>
        <v/>
      </c>
      <c r="Z150" s="16" t="str">
        <f t="shared" si="118"/>
        <v/>
      </c>
      <c r="AA150" s="16" t="str">
        <f t="shared" si="123"/>
        <v/>
      </c>
      <c r="AB150" s="16" t="str">
        <f t="shared" si="124"/>
        <v/>
      </c>
      <c r="AC150" s="29" t="str">
        <f t="shared" si="119"/>
        <v/>
      </c>
      <c r="AD150" s="29" t="str">
        <f t="shared" si="120"/>
        <v/>
      </c>
      <c r="AE150" s="2"/>
      <c r="AF150" s="2"/>
      <c r="AG150" s="2"/>
      <c r="AH150" s="2"/>
      <c r="AI150" s="2"/>
      <c r="AJ150" s="2"/>
      <c r="AK150" s="2"/>
      <c r="AL150" s="2"/>
      <c r="AM150" s="2"/>
      <c r="AN150" s="2"/>
      <c r="AO150" s="2"/>
      <c r="AP150" s="2"/>
      <c r="AQ150" s="2"/>
    </row>
    <row r="151" spans="1:43" x14ac:dyDescent="0.25">
      <c r="A151" s="260" t="str">
        <f t="shared" si="125"/>
        <v>#9:</v>
      </c>
      <c r="B151" s="147">
        <f t="shared" si="126"/>
        <v>78.232323232322813</v>
      </c>
      <c r="C151" s="148">
        <f t="shared" si="127"/>
        <v>1.8027756377319946</v>
      </c>
      <c r="D151" s="261" t="str">
        <f t="shared" si="128"/>
        <v/>
      </c>
      <c r="E151" s="147" t="str">
        <f t="shared" si="129"/>
        <v/>
      </c>
      <c r="F151" s="148" t="str">
        <f t="shared" si="130"/>
        <v/>
      </c>
      <c r="G151" s="261" t="str">
        <f t="shared" si="131"/>
        <v/>
      </c>
      <c r="H151" s="147" t="str">
        <f t="shared" si="132"/>
        <v/>
      </c>
      <c r="I151" s="148" t="str">
        <f t="shared" si="133"/>
        <v/>
      </c>
      <c r="J151" s="261" t="str">
        <f t="shared" si="134"/>
        <v/>
      </c>
      <c r="K151" s="147" t="str">
        <f t="shared" si="135"/>
        <v/>
      </c>
      <c r="L151" s="148" t="str">
        <f t="shared" si="136"/>
        <v/>
      </c>
      <c r="M151" s="261" t="str">
        <f t="shared" si="137"/>
        <v/>
      </c>
      <c r="N151" s="147" t="str">
        <f t="shared" si="138"/>
        <v/>
      </c>
      <c r="O151" s="148" t="str">
        <f t="shared" si="139"/>
        <v/>
      </c>
      <c r="P151" s="261" t="str">
        <f t="shared" si="140"/>
        <v/>
      </c>
      <c r="Q151" s="147" t="str">
        <f t="shared" si="141"/>
        <v/>
      </c>
      <c r="R151" s="148" t="str">
        <f t="shared" si="142"/>
        <v/>
      </c>
      <c r="S151" s="259"/>
      <c r="T151" s="2"/>
      <c r="U151" s="264">
        <v>147</v>
      </c>
      <c r="V151" s="16" t="str">
        <f t="shared" si="121"/>
        <v/>
      </c>
      <c r="W151" s="16" t="str">
        <f t="shared" si="122"/>
        <v/>
      </c>
      <c r="X151" s="16" t="str">
        <f t="shared" si="116"/>
        <v/>
      </c>
      <c r="Y151" s="16" t="str">
        <f t="shared" si="117"/>
        <v/>
      </c>
      <c r="Z151" s="16" t="str">
        <f t="shared" si="118"/>
        <v/>
      </c>
      <c r="AA151" s="16" t="str">
        <f t="shared" si="123"/>
        <v/>
      </c>
      <c r="AB151" s="16" t="str">
        <f t="shared" si="124"/>
        <v/>
      </c>
      <c r="AC151" s="29" t="str">
        <f t="shared" si="119"/>
        <v/>
      </c>
      <c r="AD151" s="29" t="str">
        <f t="shared" si="120"/>
        <v/>
      </c>
      <c r="AE151" s="2"/>
      <c r="AF151" s="2"/>
      <c r="AG151" s="2"/>
      <c r="AH151" s="2"/>
      <c r="AI151" s="2"/>
      <c r="AJ151" s="2"/>
      <c r="AK151" s="2"/>
      <c r="AL151" s="2"/>
      <c r="AM151" s="2"/>
      <c r="AN151" s="2"/>
      <c r="AO151" s="2"/>
      <c r="AP151" s="2"/>
      <c r="AQ151" s="2"/>
    </row>
    <row r="152" spans="1:43" x14ac:dyDescent="0.25">
      <c r="A152" s="260" t="str">
        <f t="shared" si="125"/>
        <v>#10:</v>
      </c>
      <c r="B152" s="147">
        <f t="shared" si="126"/>
        <v>77.727272727272322</v>
      </c>
      <c r="C152" s="148">
        <f t="shared" si="127"/>
        <v>1.8027756377319946</v>
      </c>
      <c r="D152" s="261" t="str">
        <f t="shared" si="128"/>
        <v/>
      </c>
      <c r="E152" s="147" t="str">
        <f t="shared" si="129"/>
        <v/>
      </c>
      <c r="F152" s="148" t="str">
        <f t="shared" si="130"/>
        <v/>
      </c>
      <c r="G152" s="261" t="str">
        <f t="shared" si="131"/>
        <v/>
      </c>
      <c r="H152" s="147" t="str">
        <f t="shared" si="132"/>
        <v/>
      </c>
      <c r="I152" s="148" t="str">
        <f t="shared" si="133"/>
        <v/>
      </c>
      <c r="J152" s="261" t="str">
        <f t="shared" si="134"/>
        <v/>
      </c>
      <c r="K152" s="147" t="str">
        <f t="shared" si="135"/>
        <v/>
      </c>
      <c r="L152" s="148" t="str">
        <f t="shared" si="136"/>
        <v/>
      </c>
      <c r="M152" s="261" t="str">
        <f t="shared" si="137"/>
        <v/>
      </c>
      <c r="N152" s="147" t="str">
        <f t="shared" si="138"/>
        <v/>
      </c>
      <c r="O152" s="148" t="str">
        <f t="shared" si="139"/>
        <v/>
      </c>
      <c r="P152" s="261" t="str">
        <f t="shared" si="140"/>
        <v/>
      </c>
      <c r="Q152" s="147" t="str">
        <f t="shared" si="141"/>
        <v/>
      </c>
      <c r="R152" s="148" t="str">
        <f t="shared" si="142"/>
        <v/>
      </c>
      <c r="S152" s="259"/>
      <c r="T152" s="2"/>
      <c r="U152" s="264">
        <v>148</v>
      </c>
      <c r="V152" s="16" t="str">
        <f t="shared" si="121"/>
        <v/>
      </c>
      <c r="W152" s="16" t="str">
        <f t="shared" si="122"/>
        <v/>
      </c>
      <c r="X152" s="16" t="str">
        <f t="shared" si="116"/>
        <v/>
      </c>
      <c r="Y152" s="16" t="str">
        <f t="shared" si="117"/>
        <v/>
      </c>
      <c r="Z152" s="16" t="str">
        <f t="shared" si="118"/>
        <v/>
      </c>
      <c r="AA152" s="16" t="str">
        <f t="shared" si="123"/>
        <v/>
      </c>
      <c r="AB152" s="16" t="str">
        <f t="shared" si="124"/>
        <v/>
      </c>
      <c r="AC152" s="29" t="str">
        <f t="shared" si="119"/>
        <v/>
      </c>
      <c r="AD152" s="29" t="str">
        <f t="shared" si="120"/>
        <v/>
      </c>
      <c r="AE152" s="2"/>
      <c r="AF152" s="2"/>
      <c r="AG152" s="2"/>
      <c r="AH152" s="2"/>
      <c r="AI152" s="2"/>
      <c r="AJ152" s="2"/>
      <c r="AK152" s="2"/>
      <c r="AL152" s="2"/>
      <c r="AM152" s="2"/>
      <c r="AN152" s="2"/>
      <c r="AO152" s="2"/>
      <c r="AP152" s="2"/>
      <c r="AQ152" s="2"/>
    </row>
    <row r="153" spans="1:43" x14ac:dyDescent="0.25">
      <c r="A153" s="260" t="str">
        <f t="shared" si="125"/>
        <v>#11:</v>
      </c>
      <c r="B153" s="147">
        <f t="shared" si="126"/>
        <v>78.939393939393753</v>
      </c>
      <c r="C153" s="148">
        <f t="shared" si="127"/>
        <v>1.8027756377319946</v>
      </c>
      <c r="D153" s="261" t="str">
        <f t="shared" si="128"/>
        <v/>
      </c>
      <c r="E153" s="147" t="str">
        <f t="shared" si="129"/>
        <v/>
      </c>
      <c r="F153" s="148" t="str">
        <f t="shared" si="130"/>
        <v/>
      </c>
      <c r="G153" s="261" t="str">
        <f t="shared" si="131"/>
        <v/>
      </c>
      <c r="H153" s="147" t="str">
        <f t="shared" si="132"/>
        <v/>
      </c>
      <c r="I153" s="148" t="str">
        <f t="shared" si="133"/>
        <v/>
      </c>
      <c r="J153" s="261" t="str">
        <f t="shared" si="134"/>
        <v/>
      </c>
      <c r="K153" s="147" t="str">
        <f t="shared" si="135"/>
        <v/>
      </c>
      <c r="L153" s="148" t="str">
        <f t="shared" si="136"/>
        <v/>
      </c>
      <c r="M153" s="261" t="str">
        <f t="shared" si="137"/>
        <v/>
      </c>
      <c r="N153" s="147" t="str">
        <f t="shared" si="138"/>
        <v/>
      </c>
      <c r="O153" s="148" t="str">
        <f t="shared" si="139"/>
        <v/>
      </c>
      <c r="P153" s="261" t="str">
        <f t="shared" si="140"/>
        <v/>
      </c>
      <c r="Q153" s="147" t="str">
        <f t="shared" si="141"/>
        <v/>
      </c>
      <c r="R153" s="148" t="str">
        <f t="shared" si="142"/>
        <v/>
      </c>
      <c r="S153" s="259"/>
      <c r="T153" s="2"/>
      <c r="U153" s="264">
        <v>149</v>
      </c>
      <c r="V153" s="16" t="str">
        <f t="shared" si="121"/>
        <v/>
      </c>
      <c r="W153" s="16" t="str">
        <f t="shared" si="122"/>
        <v/>
      </c>
      <c r="X153" s="16" t="str">
        <f t="shared" si="116"/>
        <v/>
      </c>
      <c r="Y153" s="16" t="str">
        <f t="shared" si="117"/>
        <v/>
      </c>
      <c r="Z153" s="16" t="str">
        <f t="shared" si="118"/>
        <v/>
      </c>
      <c r="AA153" s="16" t="str">
        <f t="shared" si="123"/>
        <v/>
      </c>
      <c r="AB153" s="16" t="str">
        <f t="shared" si="124"/>
        <v/>
      </c>
      <c r="AC153" s="29" t="str">
        <f t="shared" si="119"/>
        <v/>
      </c>
      <c r="AD153" s="29" t="str">
        <f t="shared" si="120"/>
        <v/>
      </c>
      <c r="AE153" s="2"/>
      <c r="AF153" s="2"/>
      <c r="AG153" s="2"/>
      <c r="AH153" s="2"/>
      <c r="AI153" s="2"/>
      <c r="AJ153" s="2"/>
      <c r="AK153" s="2"/>
      <c r="AL153" s="2"/>
      <c r="AM153" s="2"/>
      <c r="AN153" s="2"/>
      <c r="AO153" s="2"/>
      <c r="AP153" s="2"/>
      <c r="AQ153" s="2"/>
    </row>
    <row r="154" spans="1:43" x14ac:dyDescent="0.25">
      <c r="A154" s="260" t="str">
        <f t="shared" si="125"/>
        <v>#12:</v>
      </c>
      <c r="B154" s="147">
        <f t="shared" si="126"/>
        <v>78.434343434343262</v>
      </c>
      <c r="C154" s="148">
        <f t="shared" si="127"/>
        <v>1.8027756377319946</v>
      </c>
      <c r="D154" s="261" t="str">
        <f t="shared" si="128"/>
        <v/>
      </c>
      <c r="E154" s="147" t="str">
        <f t="shared" si="129"/>
        <v/>
      </c>
      <c r="F154" s="148" t="str">
        <f t="shared" si="130"/>
        <v/>
      </c>
      <c r="G154" s="261" t="str">
        <f t="shared" si="131"/>
        <v/>
      </c>
      <c r="H154" s="147" t="str">
        <f t="shared" si="132"/>
        <v/>
      </c>
      <c r="I154" s="148" t="str">
        <f t="shared" si="133"/>
        <v/>
      </c>
      <c r="J154" s="261" t="str">
        <f t="shared" si="134"/>
        <v/>
      </c>
      <c r="K154" s="147" t="str">
        <f t="shared" si="135"/>
        <v/>
      </c>
      <c r="L154" s="148" t="str">
        <f t="shared" si="136"/>
        <v/>
      </c>
      <c r="M154" s="261" t="str">
        <f t="shared" si="137"/>
        <v/>
      </c>
      <c r="N154" s="147" t="str">
        <f t="shared" si="138"/>
        <v/>
      </c>
      <c r="O154" s="148" t="str">
        <f t="shared" si="139"/>
        <v/>
      </c>
      <c r="P154" s="261" t="str">
        <f t="shared" si="140"/>
        <v/>
      </c>
      <c r="Q154" s="147" t="str">
        <f t="shared" si="141"/>
        <v/>
      </c>
      <c r="R154" s="148" t="str">
        <f t="shared" si="142"/>
        <v/>
      </c>
      <c r="S154" s="259"/>
      <c r="T154" s="2"/>
      <c r="U154" s="264">
        <v>150</v>
      </c>
      <c r="V154" s="16" t="str">
        <f t="shared" si="121"/>
        <v/>
      </c>
      <c r="W154" s="16" t="str">
        <f t="shared" si="122"/>
        <v/>
      </c>
      <c r="X154" s="16" t="str">
        <f t="shared" si="116"/>
        <v/>
      </c>
      <c r="Y154" s="16" t="str">
        <f t="shared" si="117"/>
        <v/>
      </c>
      <c r="Z154" s="16" t="str">
        <f t="shared" si="118"/>
        <v/>
      </c>
      <c r="AA154" s="16" t="str">
        <f t="shared" si="123"/>
        <v/>
      </c>
      <c r="AB154" s="16" t="str">
        <f t="shared" si="124"/>
        <v/>
      </c>
      <c r="AC154" s="29" t="str">
        <f t="shared" si="119"/>
        <v/>
      </c>
      <c r="AD154" s="29" t="str">
        <f t="shared" si="120"/>
        <v/>
      </c>
      <c r="AE154" s="2"/>
      <c r="AF154" s="2"/>
      <c r="AG154" s="2"/>
      <c r="AH154" s="2"/>
      <c r="AI154" s="2"/>
      <c r="AJ154" s="2"/>
      <c r="AK154" s="2"/>
      <c r="AL154" s="2"/>
      <c r="AM154" s="2"/>
      <c r="AN154" s="2"/>
      <c r="AO154" s="2"/>
      <c r="AP154" s="2"/>
      <c r="AQ154" s="2"/>
    </row>
    <row r="155" spans="1:43" x14ac:dyDescent="0.25">
      <c r="A155" s="260" t="str">
        <f t="shared" si="125"/>
        <v>#13:</v>
      </c>
      <c r="B155" s="147">
        <f t="shared" si="126"/>
        <v>77.929292929292757</v>
      </c>
      <c r="C155" s="148">
        <f t="shared" si="127"/>
        <v>1.8027756377319946</v>
      </c>
      <c r="D155" s="261" t="str">
        <f t="shared" si="128"/>
        <v/>
      </c>
      <c r="E155" s="147" t="str">
        <f t="shared" si="129"/>
        <v/>
      </c>
      <c r="F155" s="148" t="str">
        <f t="shared" si="130"/>
        <v/>
      </c>
      <c r="G155" s="261" t="str">
        <f t="shared" si="131"/>
        <v/>
      </c>
      <c r="H155" s="147" t="str">
        <f t="shared" si="132"/>
        <v/>
      </c>
      <c r="I155" s="148" t="str">
        <f t="shared" si="133"/>
        <v/>
      </c>
      <c r="J155" s="261" t="str">
        <f t="shared" si="134"/>
        <v/>
      </c>
      <c r="K155" s="147" t="str">
        <f t="shared" si="135"/>
        <v/>
      </c>
      <c r="L155" s="148" t="str">
        <f t="shared" si="136"/>
        <v/>
      </c>
      <c r="M155" s="261" t="str">
        <f t="shared" si="137"/>
        <v/>
      </c>
      <c r="N155" s="147" t="str">
        <f t="shared" si="138"/>
        <v/>
      </c>
      <c r="O155" s="148" t="str">
        <f t="shared" si="139"/>
        <v/>
      </c>
      <c r="P155" s="261" t="str">
        <f t="shared" si="140"/>
        <v/>
      </c>
      <c r="Q155" s="147" t="str">
        <f t="shared" si="141"/>
        <v/>
      </c>
      <c r="R155" s="148" t="str">
        <f t="shared" si="142"/>
        <v/>
      </c>
      <c r="S155" s="259"/>
      <c r="T155" s="2"/>
      <c r="U155" s="264">
        <v>151</v>
      </c>
      <c r="V155" s="16" t="str">
        <f t="shared" ref="V155:V186" si="143">IF($C$9&gt;=$U155,$L13+0.000001-$V$310,"")</f>
        <v/>
      </c>
      <c r="W155" s="16" t="str">
        <f t="shared" ref="W155:W186" si="144">IF($C$9&gt;=$U155,$K13+0.000001-$V$309,"")</f>
        <v/>
      </c>
      <c r="X155" s="16" t="str">
        <f t="shared" si="116"/>
        <v/>
      </c>
      <c r="Y155" s="16" t="str">
        <f t="shared" si="117"/>
        <v/>
      </c>
      <c r="Z155" s="16" t="str">
        <f t="shared" si="118"/>
        <v/>
      </c>
      <c r="AA155" s="16" t="str">
        <f t="shared" ref="AA155:AA186" si="145">IF($C$9&gt;=$U155,$K13-$V$309,"")</f>
        <v/>
      </c>
      <c r="AB155" s="16" t="str">
        <f t="shared" ref="AB155:AB186" si="146">IF($C$9&gt;=$U155,$L13-$V$310,"")</f>
        <v/>
      </c>
      <c r="AC155" s="29" t="str">
        <f t="shared" si="119"/>
        <v/>
      </c>
      <c r="AD155" s="29" t="str">
        <f t="shared" si="120"/>
        <v/>
      </c>
      <c r="AE155" s="2"/>
      <c r="AF155" s="2"/>
      <c r="AG155" s="2"/>
      <c r="AH155" s="2"/>
      <c r="AI155" s="2"/>
      <c r="AJ155" s="2"/>
      <c r="AK155" s="2"/>
      <c r="AL155" s="2"/>
      <c r="AM155" s="2"/>
      <c r="AN155" s="2"/>
      <c r="AO155" s="2"/>
      <c r="AP155" s="2"/>
      <c r="AQ155" s="2"/>
    </row>
    <row r="156" spans="1:43" x14ac:dyDescent="0.25">
      <c r="A156" s="260" t="str">
        <f t="shared" si="125"/>
        <v>#14:</v>
      </c>
      <c r="B156" s="147">
        <f t="shared" si="126"/>
        <v>77.424242424242266</v>
      </c>
      <c r="C156" s="148">
        <f t="shared" si="127"/>
        <v>1.8027756377319946</v>
      </c>
      <c r="D156" s="261" t="str">
        <f t="shared" si="128"/>
        <v/>
      </c>
      <c r="E156" s="147" t="str">
        <f t="shared" si="129"/>
        <v/>
      </c>
      <c r="F156" s="148" t="str">
        <f t="shared" si="130"/>
        <v/>
      </c>
      <c r="G156" s="261" t="str">
        <f t="shared" si="131"/>
        <v/>
      </c>
      <c r="H156" s="147" t="str">
        <f t="shared" si="132"/>
        <v/>
      </c>
      <c r="I156" s="148" t="str">
        <f t="shared" si="133"/>
        <v/>
      </c>
      <c r="J156" s="261" t="str">
        <f t="shared" si="134"/>
        <v/>
      </c>
      <c r="K156" s="147" t="str">
        <f t="shared" si="135"/>
        <v/>
      </c>
      <c r="L156" s="148" t="str">
        <f t="shared" si="136"/>
        <v/>
      </c>
      <c r="M156" s="261" t="str">
        <f t="shared" si="137"/>
        <v/>
      </c>
      <c r="N156" s="147" t="str">
        <f t="shared" si="138"/>
        <v/>
      </c>
      <c r="O156" s="148" t="str">
        <f t="shared" si="139"/>
        <v/>
      </c>
      <c r="P156" s="261" t="str">
        <f t="shared" si="140"/>
        <v/>
      </c>
      <c r="Q156" s="147" t="str">
        <f t="shared" si="141"/>
        <v/>
      </c>
      <c r="R156" s="148" t="str">
        <f t="shared" si="142"/>
        <v/>
      </c>
      <c r="S156" s="259"/>
      <c r="T156" s="2"/>
      <c r="U156" s="264">
        <v>152</v>
      </c>
      <c r="V156" s="16" t="str">
        <f t="shared" si="143"/>
        <v/>
      </c>
      <c r="W156" s="16" t="str">
        <f t="shared" si="144"/>
        <v/>
      </c>
      <c r="X156" s="16" t="str">
        <f t="shared" si="116"/>
        <v/>
      </c>
      <c r="Y156" s="16" t="str">
        <f t="shared" si="117"/>
        <v/>
      </c>
      <c r="Z156" s="16" t="str">
        <f t="shared" si="118"/>
        <v/>
      </c>
      <c r="AA156" s="16" t="str">
        <f t="shared" si="145"/>
        <v/>
      </c>
      <c r="AB156" s="16" t="str">
        <f t="shared" si="146"/>
        <v/>
      </c>
      <c r="AC156" s="29" t="str">
        <f t="shared" si="119"/>
        <v/>
      </c>
      <c r="AD156" s="29" t="str">
        <f t="shared" si="120"/>
        <v/>
      </c>
      <c r="AE156" s="2"/>
      <c r="AF156" s="2"/>
      <c r="AG156" s="2"/>
      <c r="AH156" s="2"/>
      <c r="AI156" s="2"/>
      <c r="AJ156" s="2"/>
      <c r="AK156" s="2"/>
      <c r="AL156" s="2"/>
      <c r="AM156" s="2"/>
      <c r="AN156" s="2"/>
      <c r="AO156" s="2"/>
      <c r="AP156" s="2"/>
      <c r="AQ156" s="2"/>
    </row>
    <row r="157" spans="1:43" x14ac:dyDescent="0.25">
      <c r="A157" s="260" t="str">
        <f t="shared" si="125"/>
        <v>#15:</v>
      </c>
      <c r="B157" s="147">
        <f t="shared" si="126"/>
        <v>76.919191919191761</v>
      </c>
      <c r="C157" s="148">
        <f t="shared" si="127"/>
        <v>1.8027756377319946</v>
      </c>
      <c r="D157" s="261" t="str">
        <f t="shared" si="128"/>
        <v/>
      </c>
      <c r="E157" s="147" t="str">
        <f t="shared" si="129"/>
        <v/>
      </c>
      <c r="F157" s="148" t="str">
        <f t="shared" si="130"/>
        <v/>
      </c>
      <c r="G157" s="261" t="str">
        <f t="shared" si="131"/>
        <v/>
      </c>
      <c r="H157" s="147" t="str">
        <f t="shared" si="132"/>
        <v/>
      </c>
      <c r="I157" s="148" t="str">
        <f t="shared" si="133"/>
        <v/>
      </c>
      <c r="J157" s="261" t="str">
        <f t="shared" si="134"/>
        <v/>
      </c>
      <c r="K157" s="147" t="str">
        <f t="shared" si="135"/>
        <v/>
      </c>
      <c r="L157" s="148" t="str">
        <f t="shared" si="136"/>
        <v/>
      </c>
      <c r="M157" s="261" t="str">
        <f t="shared" si="137"/>
        <v/>
      </c>
      <c r="N157" s="147" t="str">
        <f t="shared" si="138"/>
        <v/>
      </c>
      <c r="O157" s="148" t="str">
        <f t="shared" si="139"/>
        <v/>
      </c>
      <c r="P157" s="261" t="str">
        <f t="shared" si="140"/>
        <v/>
      </c>
      <c r="Q157" s="147" t="str">
        <f t="shared" si="141"/>
        <v/>
      </c>
      <c r="R157" s="148" t="str">
        <f t="shared" si="142"/>
        <v/>
      </c>
      <c r="S157" s="259"/>
      <c r="T157" s="2"/>
      <c r="U157" s="264">
        <v>153</v>
      </c>
      <c r="V157" s="16" t="str">
        <f t="shared" si="143"/>
        <v/>
      </c>
      <c r="W157" s="16" t="str">
        <f t="shared" si="144"/>
        <v/>
      </c>
      <c r="X157" s="16" t="str">
        <f t="shared" si="116"/>
        <v/>
      </c>
      <c r="Y157" s="16" t="str">
        <f t="shared" si="117"/>
        <v/>
      </c>
      <c r="Z157" s="16" t="str">
        <f t="shared" si="118"/>
        <v/>
      </c>
      <c r="AA157" s="16" t="str">
        <f t="shared" si="145"/>
        <v/>
      </c>
      <c r="AB157" s="16" t="str">
        <f t="shared" si="146"/>
        <v/>
      </c>
      <c r="AC157" s="29" t="str">
        <f t="shared" si="119"/>
        <v/>
      </c>
      <c r="AD157" s="29" t="str">
        <f t="shared" si="120"/>
        <v/>
      </c>
      <c r="AE157" s="2"/>
      <c r="AF157" s="2"/>
      <c r="AG157" s="2"/>
      <c r="AH157" s="2"/>
      <c r="AI157" s="2"/>
      <c r="AJ157" s="2"/>
      <c r="AK157" s="2"/>
      <c r="AL157" s="2"/>
      <c r="AM157" s="2"/>
      <c r="AN157" s="2"/>
      <c r="AO157" s="2"/>
      <c r="AP157" s="2"/>
      <c r="AQ157" s="2"/>
    </row>
    <row r="158" spans="1:43" x14ac:dyDescent="0.25">
      <c r="A158" s="260" t="str">
        <f t="shared" si="125"/>
        <v>#16:</v>
      </c>
      <c r="B158" s="147">
        <f t="shared" si="126"/>
        <v>76.41414141414127</v>
      </c>
      <c r="C158" s="148">
        <f t="shared" si="127"/>
        <v>1.8027756377319946</v>
      </c>
      <c r="D158" s="261" t="str">
        <f t="shared" si="128"/>
        <v/>
      </c>
      <c r="E158" s="147" t="str">
        <f t="shared" si="129"/>
        <v/>
      </c>
      <c r="F158" s="148" t="str">
        <f t="shared" si="130"/>
        <v/>
      </c>
      <c r="G158" s="261" t="str">
        <f t="shared" si="131"/>
        <v/>
      </c>
      <c r="H158" s="147" t="str">
        <f t="shared" si="132"/>
        <v/>
      </c>
      <c r="I158" s="148" t="str">
        <f t="shared" si="133"/>
        <v/>
      </c>
      <c r="J158" s="261" t="str">
        <f t="shared" si="134"/>
        <v/>
      </c>
      <c r="K158" s="147" t="str">
        <f t="shared" si="135"/>
        <v/>
      </c>
      <c r="L158" s="148" t="str">
        <f t="shared" si="136"/>
        <v/>
      </c>
      <c r="M158" s="261" t="str">
        <f t="shared" si="137"/>
        <v/>
      </c>
      <c r="N158" s="147" t="str">
        <f t="shared" si="138"/>
        <v/>
      </c>
      <c r="O158" s="148" t="str">
        <f t="shared" si="139"/>
        <v/>
      </c>
      <c r="P158" s="261" t="str">
        <f t="shared" si="140"/>
        <v/>
      </c>
      <c r="Q158" s="147" t="str">
        <f t="shared" si="141"/>
        <v/>
      </c>
      <c r="R158" s="148" t="str">
        <f t="shared" si="142"/>
        <v/>
      </c>
      <c r="S158" s="259"/>
      <c r="T158" s="2"/>
      <c r="U158" s="264">
        <v>154</v>
      </c>
      <c r="V158" s="16" t="str">
        <f t="shared" si="143"/>
        <v/>
      </c>
      <c r="W158" s="16" t="str">
        <f t="shared" si="144"/>
        <v/>
      </c>
      <c r="X158" s="16" t="str">
        <f t="shared" si="116"/>
        <v/>
      </c>
      <c r="Y158" s="16" t="str">
        <f t="shared" si="117"/>
        <v/>
      </c>
      <c r="Z158" s="16" t="str">
        <f t="shared" si="118"/>
        <v/>
      </c>
      <c r="AA158" s="16" t="str">
        <f t="shared" si="145"/>
        <v/>
      </c>
      <c r="AB158" s="16" t="str">
        <f t="shared" si="146"/>
        <v/>
      </c>
      <c r="AC158" s="29" t="str">
        <f t="shared" si="119"/>
        <v/>
      </c>
      <c r="AD158" s="29" t="str">
        <f t="shared" si="120"/>
        <v/>
      </c>
      <c r="AE158" s="2"/>
      <c r="AF158" s="2"/>
      <c r="AG158" s="2"/>
      <c r="AH158" s="2"/>
      <c r="AI158" s="2"/>
      <c r="AJ158" s="2"/>
      <c r="AK158" s="2"/>
      <c r="AL158" s="2"/>
      <c r="AM158" s="2"/>
      <c r="AN158" s="2"/>
      <c r="AO158" s="2"/>
      <c r="AP158" s="2"/>
      <c r="AQ158" s="2"/>
    </row>
    <row r="159" spans="1:43" x14ac:dyDescent="0.25">
      <c r="A159" s="260" t="str">
        <f t="shared" si="125"/>
        <v>#17:</v>
      </c>
      <c r="B159" s="147">
        <f t="shared" si="126"/>
        <v>75.909090909090764</v>
      </c>
      <c r="C159" s="148">
        <f t="shared" si="127"/>
        <v>1.8027756377319946</v>
      </c>
      <c r="D159" s="261" t="str">
        <f t="shared" si="128"/>
        <v/>
      </c>
      <c r="E159" s="147" t="str">
        <f t="shared" si="129"/>
        <v/>
      </c>
      <c r="F159" s="148" t="str">
        <f t="shared" si="130"/>
        <v/>
      </c>
      <c r="G159" s="261" t="str">
        <f t="shared" si="131"/>
        <v/>
      </c>
      <c r="H159" s="147" t="str">
        <f t="shared" si="132"/>
        <v/>
      </c>
      <c r="I159" s="148" t="str">
        <f t="shared" si="133"/>
        <v/>
      </c>
      <c r="J159" s="261" t="str">
        <f t="shared" si="134"/>
        <v/>
      </c>
      <c r="K159" s="147" t="str">
        <f t="shared" si="135"/>
        <v/>
      </c>
      <c r="L159" s="148" t="str">
        <f t="shared" si="136"/>
        <v/>
      </c>
      <c r="M159" s="261" t="str">
        <f t="shared" si="137"/>
        <v/>
      </c>
      <c r="N159" s="147" t="str">
        <f t="shared" si="138"/>
        <v/>
      </c>
      <c r="O159" s="148" t="str">
        <f t="shared" si="139"/>
        <v/>
      </c>
      <c r="P159" s="261" t="str">
        <f t="shared" si="140"/>
        <v/>
      </c>
      <c r="Q159" s="147" t="str">
        <f t="shared" si="141"/>
        <v/>
      </c>
      <c r="R159" s="148" t="str">
        <f t="shared" si="142"/>
        <v/>
      </c>
      <c r="S159" s="259"/>
      <c r="T159" s="2"/>
      <c r="U159" s="264">
        <v>155</v>
      </c>
      <c r="V159" s="16" t="str">
        <f t="shared" si="143"/>
        <v/>
      </c>
      <c r="W159" s="16" t="str">
        <f t="shared" si="144"/>
        <v/>
      </c>
      <c r="X159" s="16" t="str">
        <f t="shared" si="116"/>
        <v/>
      </c>
      <c r="Y159" s="16" t="str">
        <f t="shared" si="117"/>
        <v/>
      </c>
      <c r="Z159" s="16" t="str">
        <f t="shared" si="118"/>
        <v/>
      </c>
      <c r="AA159" s="16" t="str">
        <f t="shared" si="145"/>
        <v/>
      </c>
      <c r="AB159" s="16" t="str">
        <f t="shared" si="146"/>
        <v/>
      </c>
      <c r="AC159" s="29" t="str">
        <f t="shared" si="119"/>
        <v/>
      </c>
      <c r="AD159" s="29" t="str">
        <f t="shared" si="120"/>
        <v/>
      </c>
      <c r="AE159" s="2"/>
      <c r="AF159" s="2"/>
      <c r="AG159" s="2"/>
      <c r="AH159" s="2"/>
      <c r="AI159" s="2"/>
      <c r="AJ159" s="2"/>
      <c r="AK159" s="2"/>
      <c r="AL159" s="2"/>
      <c r="AM159" s="2"/>
      <c r="AN159" s="2"/>
      <c r="AO159" s="2"/>
      <c r="AP159" s="2"/>
      <c r="AQ159" s="2"/>
    </row>
    <row r="160" spans="1:43" x14ac:dyDescent="0.25">
      <c r="A160" s="260" t="str">
        <f t="shared" si="125"/>
        <v>#18:</v>
      </c>
      <c r="B160" s="147">
        <f t="shared" si="126"/>
        <v>75.404040404040273</v>
      </c>
      <c r="C160" s="148">
        <f t="shared" si="127"/>
        <v>1.8027756377319946</v>
      </c>
      <c r="D160" s="261" t="str">
        <f t="shared" si="128"/>
        <v/>
      </c>
      <c r="E160" s="147" t="str">
        <f t="shared" si="129"/>
        <v/>
      </c>
      <c r="F160" s="148" t="str">
        <f t="shared" si="130"/>
        <v/>
      </c>
      <c r="G160" s="261" t="str">
        <f t="shared" si="131"/>
        <v/>
      </c>
      <c r="H160" s="147" t="str">
        <f t="shared" si="132"/>
        <v/>
      </c>
      <c r="I160" s="148" t="str">
        <f t="shared" si="133"/>
        <v/>
      </c>
      <c r="J160" s="261" t="str">
        <f t="shared" si="134"/>
        <v/>
      </c>
      <c r="K160" s="147" t="str">
        <f t="shared" si="135"/>
        <v/>
      </c>
      <c r="L160" s="148" t="str">
        <f t="shared" si="136"/>
        <v/>
      </c>
      <c r="M160" s="261" t="str">
        <f t="shared" si="137"/>
        <v/>
      </c>
      <c r="N160" s="147" t="str">
        <f t="shared" si="138"/>
        <v/>
      </c>
      <c r="O160" s="148" t="str">
        <f t="shared" si="139"/>
        <v/>
      </c>
      <c r="P160" s="261" t="str">
        <f t="shared" si="140"/>
        <v/>
      </c>
      <c r="Q160" s="147" t="str">
        <f t="shared" si="141"/>
        <v/>
      </c>
      <c r="R160" s="148" t="str">
        <f t="shared" si="142"/>
        <v/>
      </c>
      <c r="S160" s="259"/>
      <c r="T160" s="2"/>
      <c r="U160" s="264">
        <v>156</v>
      </c>
      <c r="V160" s="16" t="str">
        <f t="shared" si="143"/>
        <v/>
      </c>
      <c r="W160" s="16" t="str">
        <f t="shared" si="144"/>
        <v/>
      </c>
      <c r="X160" s="16" t="str">
        <f t="shared" si="116"/>
        <v/>
      </c>
      <c r="Y160" s="16" t="str">
        <f t="shared" si="117"/>
        <v/>
      </c>
      <c r="Z160" s="16" t="str">
        <f t="shared" si="118"/>
        <v/>
      </c>
      <c r="AA160" s="16" t="str">
        <f t="shared" si="145"/>
        <v/>
      </c>
      <c r="AB160" s="16" t="str">
        <f t="shared" si="146"/>
        <v/>
      </c>
      <c r="AC160" s="29" t="str">
        <f t="shared" si="119"/>
        <v/>
      </c>
      <c r="AD160" s="29" t="str">
        <f t="shared" si="120"/>
        <v/>
      </c>
      <c r="AE160" s="2"/>
      <c r="AF160" s="2"/>
      <c r="AG160" s="2"/>
      <c r="AH160" s="2"/>
      <c r="AI160" s="2"/>
      <c r="AJ160" s="2"/>
      <c r="AK160" s="2"/>
      <c r="AL160" s="2"/>
      <c r="AM160" s="2"/>
      <c r="AN160" s="2"/>
      <c r="AO160" s="2"/>
      <c r="AP160" s="2"/>
      <c r="AQ160" s="2"/>
    </row>
    <row r="161" spans="1:43" x14ac:dyDescent="0.25">
      <c r="A161" s="260" t="str">
        <f t="shared" si="125"/>
        <v>#19:</v>
      </c>
      <c r="B161" s="147">
        <f t="shared" si="126"/>
        <v>74.898989898989768</v>
      </c>
      <c r="C161" s="148">
        <f t="shared" si="127"/>
        <v>1.8027756377319946</v>
      </c>
      <c r="D161" s="261" t="str">
        <f t="shared" si="128"/>
        <v/>
      </c>
      <c r="E161" s="147" t="str">
        <f t="shared" si="129"/>
        <v/>
      </c>
      <c r="F161" s="148" t="str">
        <f t="shared" si="130"/>
        <v/>
      </c>
      <c r="G161" s="261" t="str">
        <f t="shared" si="131"/>
        <v/>
      </c>
      <c r="H161" s="147" t="str">
        <f t="shared" si="132"/>
        <v/>
      </c>
      <c r="I161" s="148" t="str">
        <f t="shared" si="133"/>
        <v/>
      </c>
      <c r="J161" s="261" t="str">
        <f t="shared" si="134"/>
        <v/>
      </c>
      <c r="K161" s="147" t="str">
        <f t="shared" si="135"/>
        <v/>
      </c>
      <c r="L161" s="148" t="str">
        <f t="shared" si="136"/>
        <v/>
      </c>
      <c r="M161" s="261" t="str">
        <f t="shared" si="137"/>
        <v/>
      </c>
      <c r="N161" s="147" t="str">
        <f t="shared" si="138"/>
        <v/>
      </c>
      <c r="O161" s="148" t="str">
        <f t="shared" si="139"/>
        <v/>
      </c>
      <c r="P161" s="261" t="str">
        <f t="shared" si="140"/>
        <v/>
      </c>
      <c r="Q161" s="147" t="str">
        <f t="shared" si="141"/>
        <v/>
      </c>
      <c r="R161" s="148" t="str">
        <f t="shared" si="142"/>
        <v/>
      </c>
      <c r="S161" s="259"/>
      <c r="T161" s="2"/>
      <c r="U161" s="264">
        <v>157</v>
      </c>
      <c r="V161" s="16" t="str">
        <f t="shared" si="143"/>
        <v/>
      </c>
      <c r="W161" s="16" t="str">
        <f t="shared" si="144"/>
        <v/>
      </c>
      <c r="X161" s="16" t="str">
        <f t="shared" si="116"/>
        <v/>
      </c>
      <c r="Y161" s="16" t="str">
        <f t="shared" si="117"/>
        <v/>
      </c>
      <c r="Z161" s="16" t="str">
        <f t="shared" si="118"/>
        <v/>
      </c>
      <c r="AA161" s="16" t="str">
        <f t="shared" si="145"/>
        <v/>
      </c>
      <c r="AB161" s="16" t="str">
        <f t="shared" si="146"/>
        <v/>
      </c>
      <c r="AC161" s="29" t="str">
        <f t="shared" si="119"/>
        <v/>
      </c>
      <c r="AD161" s="29" t="str">
        <f t="shared" si="120"/>
        <v/>
      </c>
      <c r="AE161" s="2"/>
      <c r="AF161" s="2"/>
      <c r="AG161" s="2"/>
      <c r="AH161" s="2"/>
      <c r="AI161" s="2"/>
      <c r="AJ161" s="2"/>
      <c r="AK161" s="2"/>
      <c r="AL161" s="2"/>
      <c r="AM161" s="2"/>
      <c r="AN161" s="2"/>
      <c r="AO161" s="2"/>
      <c r="AP161" s="2"/>
      <c r="AQ161" s="2"/>
    </row>
    <row r="162" spans="1:43" x14ac:dyDescent="0.25">
      <c r="A162" s="260" t="str">
        <f t="shared" si="125"/>
        <v>#20:</v>
      </c>
      <c r="B162" s="147">
        <f t="shared" si="126"/>
        <v>74.393939393939277</v>
      </c>
      <c r="C162" s="148">
        <f t="shared" si="127"/>
        <v>1.8027756377319946</v>
      </c>
      <c r="D162" s="261" t="str">
        <f t="shared" si="128"/>
        <v/>
      </c>
      <c r="E162" s="147" t="str">
        <f t="shared" si="129"/>
        <v/>
      </c>
      <c r="F162" s="148" t="str">
        <f t="shared" si="130"/>
        <v/>
      </c>
      <c r="G162" s="261" t="str">
        <f t="shared" si="131"/>
        <v/>
      </c>
      <c r="H162" s="147" t="str">
        <f t="shared" si="132"/>
        <v/>
      </c>
      <c r="I162" s="148" t="str">
        <f t="shared" si="133"/>
        <v/>
      </c>
      <c r="J162" s="261" t="str">
        <f t="shared" si="134"/>
        <v/>
      </c>
      <c r="K162" s="147" t="str">
        <f t="shared" si="135"/>
        <v/>
      </c>
      <c r="L162" s="148" t="str">
        <f t="shared" si="136"/>
        <v/>
      </c>
      <c r="M162" s="261" t="str">
        <f t="shared" si="137"/>
        <v/>
      </c>
      <c r="N162" s="147" t="str">
        <f t="shared" si="138"/>
        <v/>
      </c>
      <c r="O162" s="148" t="str">
        <f t="shared" si="139"/>
        <v/>
      </c>
      <c r="P162" s="261" t="str">
        <f t="shared" si="140"/>
        <v/>
      </c>
      <c r="Q162" s="147" t="str">
        <f t="shared" si="141"/>
        <v/>
      </c>
      <c r="R162" s="148" t="str">
        <f t="shared" si="142"/>
        <v/>
      </c>
      <c r="S162" s="259"/>
      <c r="T162" s="2"/>
      <c r="U162" s="264">
        <v>158</v>
      </c>
      <c r="V162" s="16" t="str">
        <f t="shared" si="143"/>
        <v/>
      </c>
      <c r="W162" s="16" t="str">
        <f t="shared" si="144"/>
        <v/>
      </c>
      <c r="X162" s="16" t="str">
        <f t="shared" si="116"/>
        <v/>
      </c>
      <c r="Y162" s="16" t="str">
        <f t="shared" si="117"/>
        <v/>
      </c>
      <c r="Z162" s="16" t="str">
        <f t="shared" si="118"/>
        <v/>
      </c>
      <c r="AA162" s="16" t="str">
        <f t="shared" si="145"/>
        <v/>
      </c>
      <c r="AB162" s="16" t="str">
        <f t="shared" si="146"/>
        <v/>
      </c>
      <c r="AC162" s="29" t="str">
        <f t="shared" si="119"/>
        <v/>
      </c>
      <c r="AD162" s="29" t="str">
        <f t="shared" si="120"/>
        <v/>
      </c>
      <c r="AE162" s="2"/>
      <c r="AF162" s="2"/>
      <c r="AG162" s="2"/>
      <c r="AH162" s="2"/>
      <c r="AI162" s="2"/>
      <c r="AJ162" s="2"/>
      <c r="AK162" s="2"/>
      <c r="AL162" s="2"/>
      <c r="AM162" s="2"/>
      <c r="AN162" s="2"/>
      <c r="AO162" s="2"/>
      <c r="AP162" s="2"/>
      <c r="AQ162" s="2"/>
    </row>
    <row r="163" spans="1:43" x14ac:dyDescent="0.25">
      <c r="A163" s="260" t="str">
        <f t="shared" si="125"/>
        <v>#21:</v>
      </c>
      <c r="B163" s="147">
        <f t="shared" si="126"/>
        <v>75.606060606060723</v>
      </c>
      <c r="C163" s="148">
        <f t="shared" si="127"/>
        <v>1.8027756377319946</v>
      </c>
      <c r="D163" s="261" t="str">
        <f t="shared" si="128"/>
        <v/>
      </c>
      <c r="E163" s="147" t="str">
        <f t="shared" si="129"/>
        <v/>
      </c>
      <c r="F163" s="148" t="str">
        <f t="shared" si="130"/>
        <v/>
      </c>
      <c r="G163" s="261" t="str">
        <f t="shared" si="131"/>
        <v/>
      </c>
      <c r="H163" s="147" t="str">
        <f t="shared" si="132"/>
        <v/>
      </c>
      <c r="I163" s="148" t="str">
        <f t="shared" si="133"/>
        <v/>
      </c>
      <c r="J163" s="261" t="str">
        <f t="shared" si="134"/>
        <v/>
      </c>
      <c r="K163" s="147" t="str">
        <f t="shared" si="135"/>
        <v/>
      </c>
      <c r="L163" s="148" t="str">
        <f t="shared" si="136"/>
        <v/>
      </c>
      <c r="M163" s="261" t="str">
        <f t="shared" si="137"/>
        <v/>
      </c>
      <c r="N163" s="147" t="str">
        <f t="shared" si="138"/>
        <v/>
      </c>
      <c r="O163" s="148" t="str">
        <f t="shared" si="139"/>
        <v/>
      </c>
      <c r="P163" s="261" t="str">
        <f t="shared" si="140"/>
        <v/>
      </c>
      <c r="Q163" s="147" t="str">
        <f t="shared" si="141"/>
        <v/>
      </c>
      <c r="R163" s="148" t="str">
        <f t="shared" si="142"/>
        <v/>
      </c>
      <c r="S163" s="259"/>
      <c r="T163" s="2"/>
      <c r="U163" s="264">
        <v>159</v>
      </c>
      <c r="V163" s="16" t="str">
        <f t="shared" si="143"/>
        <v/>
      </c>
      <c r="W163" s="16" t="str">
        <f t="shared" si="144"/>
        <v/>
      </c>
      <c r="X163" s="16" t="str">
        <f t="shared" si="116"/>
        <v/>
      </c>
      <c r="Y163" s="16" t="str">
        <f t="shared" si="117"/>
        <v/>
      </c>
      <c r="Z163" s="16" t="str">
        <f t="shared" si="118"/>
        <v/>
      </c>
      <c r="AA163" s="16" t="str">
        <f t="shared" si="145"/>
        <v/>
      </c>
      <c r="AB163" s="16" t="str">
        <f t="shared" si="146"/>
        <v/>
      </c>
      <c r="AC163" s="29" t="str">
        <f t="shared" si="119"/>
        <v/>
      </c>
      <c r="AD163" s="29" t="str">
        <f t="shared" si="120"/>
        <v/>
      </c>
      <c r="AE163" s="2"/>
      <c r="AF163" s="2"/>
      <c r="AG163" s="2"/>
      <c r="AH163" s="2"/>
      <c r="AI163" s="2"/>
      <c r="AJ163" s="2"/>
      <c r="AK163" s="2"/>
      <c r="AL163" s="2"/>
      <c r="AM163" s="2"/>
      <c r="AN163" s="2"/>
      <c r="AO163" s="2"/>
      <c r="AP163" s="2"/>
      <c r="AQ163" s="2"/>
    </row>
    <row r="164" spans="1:43" x14ac:dyDescent="0.25">
      <c r="A164" s="260" t="str">
        <f t="shared" si="125"/>
        <v>#22:</v>
      </c>
      <c r="B164" s="147">
        <f t="shared" si="126"/>
        <v>75.101010101010232</v>
      </c>
      <c r="C164" s="148">
        <f t="shared" si="127"/>
        <v>1.8027756377319946</v>
      </c>
      <c r="D164" s="261" t="str">
        <f t="shared" si="128"/>
        <v/>
      </c>
      <c r="E164" s="147" t="str">
        <f t="shared" si="129"/>
        <v/>
      </c>
      <c r="F164" s="148" t="str">
        <f t="shared" si="130"/>
        <v/>
      </c>
      <c r="G164" s="261" t="str">
        <f t="shared" si="131"/>
        <v/>
      </c>
      <c r="H164" s="147" t="str">
        <f t="shared" si="132"/>
        <v/>
      </c>
      <c r="I164" s="148" t="str">
        <f t="shared" si="133"/>
        <v/>
      </c>
      <c r="J164" s="261" t="str">
        <f t="shared" si="134"/>
        <v/>
      </c>
      <c r="K164" s="147" t="str">
        <f t="shared" si="135"/>
        <v/>
      </c>
      <c r="L164" s="148" t="str">
        <f t="shared" si="136"/>
        <v/>
      </c>
      <c r="M164" s="261" t="str">
        <f t="shared" si="137"/>
        <v/>
      </c>
      <c r="N164" s="147" t="str">
        <f t="shared" si="138"/>
        <v/>
      </c>
      <c r="O164" s="148" t="str">
        <f t="shared" si="139"/>
        <v/>
      </c>
      <c r="P164" s="261" t="str">
        <f t="shared" si="140"/>
        <v/>
      </c>
      <c r="Q164" s="147" t="str">
        <f t="shared" si="141"/>
        <v/>
      </c>
      <c r="R164" s="148" t="str">
        <f t="shared" si="142"/>
        <v/>
      </c>
      <c r="S164" s="259"/>
      <c r="T164" s="2"/>
      <c r="U164" s="264">
        <v>160</v>
      </c>
      <c r="V164" s="16" t="str">
        <f t="shared" si="143"/>
        <v/>
      </c>
      <c r="W164" s="16" t="str">
        <f t="shared" si="144"/>
        <v/>
      </c>
      <c r="X164" s="16" t="str">
        <f t="shared" si="116"/>
        <v/>
      </c>
      <c r="Y164" s="16" t="str">
        <f t="shared" si="117"/>
        <v/>
      </c>
      <c r="Z164" s="16" t="str">
        <f t="shared" si="118"/>
        <v/>
      </c>
      <c r="AA164" s="16" t="str">
        <f t="shared" si="145"/>
        <v/>
      </c>
      <c r="AB164" s="16" t="str">
        <f t="shared" si="146"/>
        <v/>
      </c>
      <c r="AC164" s="29" t="str">
        <f t="shared" si="119"/>
        <v/>
      </c>
      <c r="AD164" s="29" t="str">
        <f t="shared" si="120"/>
        <v/>
      </c>
      <c r="AE164" s="2"/>
      <c r="AF164" s="2"/>
      <c r="AG164" s="2"/>
      <c r="AH164" s="2"/>
      <c r="AI164" s="2"/>
      <c r="AJ164" s="2"/>
      <c r="AK164" s="2"/>
      <c r="AL164" s="2"/>
      <c r="AM164" s="2"/>
      <c r="AN164" s="2"/>
      <c r="AO164" s="2"/>
      <c r="AP164" s="2"/>
      <c r="AQ164" s="2"/>
    </row>
    <row r="165" spans="1:43" x14ac:dyDescent="0.25">
      <c r="A165" s="260" t="str">
        <f t="shared" si="125"/>
        <v>#23:</v>
      </c>
      <c r="B165" s="147">
        <f t="shared" si="126"/>
        <v>74.595959595959727</v>
      </c>
      <c r="C165" s="148">
        <f t="shared" si="127"/>
        <v>1.8027756377319946</v>
      </c>
      <c r="D165" s="261" t="str">
        <f t="shared" si="128"/>
        <v/>
      </c>
      <c r="E165" s="147" t="str">
        <f t="shared" si="129"/>
        <v/>
      </c>
      <c r="F165" s="148" t="str">
        <f t="shared" si="130"/>
        <v/>
      </c>
      <c r="G165" s="261" t="str">
        <f t="shared" si="131"/>
        <v/>
      </c>
      <c r="H165" s="147" t="str">
        <f t="shared" si="132"/>
        <v/>
      </c>
      <c r="I165" s="148" t="str">
        <f t="shared" si="133"/>
        <v/>
      </c>
      <c r="J165" s="261" t="str">
        <f t="shared" si="134"/>
        <v/>
      </c>
      <c r="K165" s="147" t="str">
        <f t="shared" si="135"/>
        <v/>
      </c>
      <c r="L165" s="148" t="str">
        <f t="shared" si="136"/>
        <v/>
      </c>
      <c r="M165" s="261" t="str">
        <f t="shared" si="137"/>
        <v/>
      </c>
      <c r="N165" s="147" t="str">
        <f t="shared" si="138"/>
        <v/>
      </c>
      <c r="O165" s="148" t="str">
        <f t="shared" si="139"/>
        <v/>
      </c>
      <c r="P165" s="261" t="str">
        <f t="shared" si="140"/>
        <v/>
      </c>
      <c r="Q165" s="147" t="str">
        <f t="shared" si="141"/>
        <v/>
      </c>
      <c r="R165" s="148" t="str">
        <f t="shared" si="142"/>
        <v/>
      </c>
      <c r="S165" s="259"/>
      <c r="T165" s="2"/>
      <c r="U165" s="264">
        <v>161</v>
      </c>
      <c r="V165" s="16" t="str">
        <f t="shared" si="143"/>
        <v/>
      </c>
      <c r="W165" s="16" t="str">
        <f t="shared" si="144"/>
        <v/>
      </c>
      <c r="X165" s="16" t="str">
        <f t="shared" si="116"/>
        <v/>
      </c>
      <c r="Y165" s="16" t="str">
        <f t="shared" si="117"/>
        <v/>
      </c>
      <c r="Z165" s="16" t="str">
        <f t="shared" si="118"/>
        <v/>
      </c>
      <c r="AA165" s="16" t="str">
        <f t="shared" si="145"/>
        <v/>
      </c>
      <c r="AB165" s="16" t="str">
        <f t="shared" si="146"/>
        <v/>
      </c>
      <c r="AC165" s="29" t="str">
        <f t="shared" si="119"/>
        <v/>
      </c>
      <c r="AD165" s="29" t="str">
        <f t="shared" si="120"/>
        <v/>
      </c>
      <c r="AE165" s="2"/>
      <c r="AF165" s="2"/>
      <c r="AG165" s="2"/>
      <c r="AH165" s="2"/>
      <c r="AI165" s="2"/>
      <c r="AJ165" s="2"/>
      <c r="AK165" s="2"/>
      <c r="AL165" s="2"/>
      <c r="AM165" s="2"/>
      <c r="AN165" s="2"/>
      <c r="AO165" s="2"/>
      <c r="AP165" s="2"/>
      <c r="AQ165" s="2"/>
    </row>
    <row r="166" spans="1:43" x14ac:dyDescent="0.25">
      <c r="A166" s="260" t="str">
        <f t="shared" si="125"/>
        <v>#24:</v>
      </c>
      <c r="B166" s="147">
        <f t="shared" si="126"/>
        <v>74.090909090909236</v>
      </c>
      <c r="C166" s="148">
        <f t="shared" si="127"/>
        <v>1.8027756377319946</v>
      </c>
      <c r="D166" s="261" t="str">
        <f t="shared" si="128"/>
        <v/>
      </c>
      <c r="E166" s="147" t="str">
        <f t="shared" si="129"/>
        <v/>
      </c>
      <c r="F166" s="148" t="str">
        <f t="shared" si="130"/>
        <v/>
      </c>
      <c r="G166" s="261" t="str">
        <f t="shared" si="131"/>
        <v/>
      </c>
      <c r="H166" s="147" t="str">
        <f t="shared" si="132"/>
        <v/>
      </c>
      <c r="I166" s="148" t="str">
        <f t="shared" si="133"/>
        <v/>
      </c>
      <c r="J166" s="261" t="str">
        <f t="shared" si="134"/>
        <v/>
      </c>
      <c r="K166" s="147" t="str">
        <f t="shared" si="135"/>
        <v/>
      </c>
      <c r="L166" s="148" t="str">
        <f t="shared" si="136"/>
        <v/>
      </c>
      <c r="M166" s="261" t="str">
        <f t="shared" si="137"/>
        <v/>
      </c>
      <c r="N166" s="147" t="str">
        <f t="shared" si="138"/>
        <v/>
      </c>
      <c r="O166" s="148" t="str">
        <f t="shared" si="139"/>
        <v/>
      </c>
      <c r="P166" s="261" t="str">
        <f t="shared" si="140"/>
        <v/>
      </c>
      <c r="Q166" s="147" t="str">
        <f t="shared" si="141"/>
        <v/>
      </c>
      <c r="R166" s="148" t="str">
        <f t="shared" si="142"/>
        <v/>
      </c>
      <c r="S166" s="259"/>
      <c r="T166" s="2"/>
      <c r="U166" s="264">
        <v>162</v>
      </c>
      <c r="V166" s="16" t="str">
        <f t="shared" si="143"/>
        <v/>
      </c>
      <c r="W166" s="16" t="str">
        <f t="shared" si="144"/>
        <v/>
      </c>
      <c r="X166" s="16" t="str">
        <f t="shared" si="116"/>
        <v/>
      </c>
      <c r="Y166" s="16" t="str">
        <f t="shared" si="117"/>
        <v/>
      </c>
      <c r="Z166" s="16" t="str">
        <f t="shared" si="118"/>
        <v/>
      </c>
      <c r="AA166" s="16" t="str">
        <f t="shared" si="145"/>
        <v/>
      </c>
      <c r="AB166" s="16" t="str">
        <f t="shared" si="146"/>
        <v/>
      </c>
      <c r="AC166" s="29" t="str">
        <f t="shared" si="119"/>
        <v/>
      </c>
      <c r="AD166" s="29" t="str">
        <f t="shared" si="120"/>
        <v/>
      </c>
      <c r="AE166" s="2"/>
      <c r="AF166" s="2"/>
      <c r="AG166" s="2"/>
      <c r="AH166" s="2"/>
      <c r="AI166" s="2"/>
      <c r="AJ166" s="2"/>
      <c r="AK166" s="2"/>
      <c r="AL166" s="2"/>
      <c r="AM166" s="2"/>
      <c r="AN166" s="2"/>
      <c r="AO166" s="2"/>
      <c r="AP166" s="2"/>
      <c r="AQ166" s="2"/>
    </row>
    <row r="167" spans="1:43" x14ac:dyDescent="0.25">
      <c r="A167" s="260" t="str">
        <f t="shared" si="125"/>
        <v>#25:</v>
      </c>
      <c r="B167" s="147">
        <f t="shared" si="126"/>
        <v>73.58585858585873</v>
      </c>
      <c r="C167" s="148">
        <f t="shared" si="127"/>
        <v>1.8027756377319946</v>
      </c>
      <c r="D167" s="261" t="str">
        <f t="shared" si="128"/>
        <v/>
      </c>
      <c r="E167" s="147" t="str">
        <f t="shared" si="129"/>
        <v/>
      </c>
      <c r="F167" s="148" t="str">
        <f t="shared" si="130"/>
        <v/>
      </c>
      <c r="G167" s="261" t="str">
        <f t="shared" si="131"/>
        <v/>
      </c>
      <c r="H167" s="147" t="str">
        <f t="shared" si="132"/>
        <v/>
      </c>
      <c r="I167" s="148" t="str">
        <f t="shared" si="133"/>
        <v/>
      </c>
      <c r="J167" s="261" t="str">
        <f t="shared" si="134"/>
        <v/>
      </c>
      <c r="K167" s="147" t="str">
        <f t="shared" si="135"/>
        <v/>
      </c>
      <c r="L167" s="148" t="str">
        <f t="shared" si="136"/>
        <v/>
      </c>
      <c r="M167" s="261" t="str">
        <f t="shared" si="137"/>
        <v/>
      </c>
      <c r="N167" s="147" t="str">
        <f t="shared" si="138"/>
        <v/>
      </c>
      <c r="O167" s="148" t="str">
        <f t="shared" si="139"/>
        <v/>
      </c>
      <c r="P167" s="261" t="str">
        <f t="shared" si="140"/>
        <v/>
      </c>
      <c r="Q167" s="147" t="str">
        <f t="shared" si="141"/>
        <v/>
      </c>
      <c r="R167" s="148" t="str">
        <f t="shared" si="142"/>
        <v/>
      </c>
      <c r="S167" s="259"/>
      <c r="T167" s="2"/>
      <c r="U167" s="264">
        <v>163</v>
      </c>
      <c r="V167" s="16" t="str">
        <f t="shared" si="143"/>
        <v/>
      </c>
      <c r="W167" s="16" t="str">
        <f t="shared" si="144"/>
        <v/>
      </c>
      <c r="X167" s="16" t="str">
        <f t="shared" si="116"/>
        <v/>
      </c>
      <c r="Y167" s="16" t="str">
        <f t="shared" si="117"/>
        <v/>
      </c>
      <c r="Z167" s="16" t="str">
        <f t="shared" si="118"/>
        <v/>
      </c>
      <c r="AA167" s="16" t="str">
        <f t="shared" si="145"/>
        <v/>
      </c>
      <c r="AB167" s="16" t="str">
        <f t="shared" si="146"/>
        <v/>
      </c>
      <c r="AC167" s="29" t="str">
        <f t="shared" si="119"/>
        <v/>
      </c>
      <c r="AD167" s="29" t="str">
        <f t="shared" si="120"/>
        <v/>
      </c>
      <c r="AE167" s="2"/>
      <c r="AF167" s="2"/>
      <c r="AG167" s="2"/>
      <c r="AH167" s="2"/>
      <c r="AI167" s="2"/>
      <c r="AJ167" s="2"/>
      <c r="AK167" s="2"/>
      <c r="AL167" s="2"/>
      <c r="AM167" s="2"/>
      <c r="AN167" s="2"/>
      <c r="AO167" s="2"/>
      <c r="AP167" s="2"/>
      <c r="AQ167" s="2"/>
    </row>
    <row r="168" spans="1:43" x14ac:dyDescent="0.25">
      <c r="A168" s="260" t="str">
        <f t="shared" si="125"/>
        <v>#26:</v>
      </c>
      <c r="B168" s="147">
        <f t="shared" si="126"/>
        <v>73.080808080808239</v>
      </c>
      <c r="C168" s="148">
        <f t="shared" si="127"/>
        <v>1.8027756377319946</v>
      </c>
      <c r="D168" s="261" t="str">
        <f t="shared" si="128"/>
        <v/>
      </c>
      <c r="E168" s="147" t="str">
        <f t="shared" si="129"/>
        <v/>
      </c>
      <c r="F168" s="148" t="str">
        <f t="shared" si="130"/>
        <v/>
      </c>
      <c r="G168" s="261" t="str">
        <f t="shared" si="131"/>
        <v/>
      </c>
      <c r="H168" s="147" t="str">
        <f t="shared" si="132"/>
        <v/>
      </c>
      <c r="I168" s="148" t="str">
        <f t="shared" si="133"/>
        <v/>
      </c>
      <c r="J168" s="261" t="str">
        <f t="shared" si="134"/>
        <v/>
      </c>
      <c r="K168" s="147" t="str">
        <f t="shared" si="135"/>
        <v/>
      </c>
      <c r="L168" s="148" t="str">
        <f t="shared" si="136"/>
        <v/>
      </c>
      <c r="M168" s="261" t="str">
        <f t="shared" si="137"/>
        <v/>
      </c>
      <c r="N168" s="147" t="str">
        <f t="shared" si="138"/>
        <v/>
      </c>
      <c r="O168" s="148" t="str">
        <f t="shared" si="139"/>
        <v/>
      </c>
      <c r="P168" s="261" t="str">
        <f t="shared" si="140"/>
        <v/>
      </c>
      <c r="Q168" s="147" t="str">
        <f t="shared" si="141"/>
        <v/>
      </c>
      <c r="R168" s="148" t="str">
        <f t="shared" si="142"/>
        <v/>
      </c>
      <c r="S168" s="259"/>
      <c r="T168" s="2"/>
      <c r="U168" s="264">
        <v>164</v>
      </c>
      <c r="V168" s="16" t="str">
        <f t="shared" si="143"/>
        <v/>
      </c>
      <c r="W168" s="16" t="str">
        <f t="shared" si="144"/>
        <v/>
      </c>
      <c r="X168" s="16" t="str">
        <f t="shared" si="116"/>
        <v/>
      </c>
      <c r="Y168" s="16" t="str">
        <f t="shared" si="117"/>
        <v/>
      </c>
      <c r="Z168" s="16" t="str">
        <f t="shared" si="118"/>
        <v/>
      </c>
      <c r="AA168" s="16" t="str">
        <f t="shared" si="145"/>
        <v/>
      </c>
      <c r="AB168" s="16" t="str">
        <f t="shared" si="146"/>
        <v/>
      </c>
      <c r="AC168" s="29" t="str">
        <f t="shared" si="119"/>
        <v/>
      </c>
      <c r="AD168" s="29" t="str">
        <f t="shared" si="120"/>
        <v/>
      </c>
      <c r="AE168" s="2"/>
      <c r="AF168" s="2"/>
      <c r="AG168" s="2"/>
      <c r="AH168" s="2"/>
      <c r="AI168" s="2"/>
      <c r="AJ168" s="2"/>
      <c r="AK168" s="2"/>
      <c r="AL168" s="2"/>
      <c r="AM168" s="2"/>
      <c r="AN168" s="2"/>
      <c r="AO168" s="2"/>
      <c r="AP168" s="2"/>
      <c r="AQ168" s="2"/>
    </row>
    <row r="169" spans="1:43" x14ac:dyDescent="0.25">
      <c r="A169" s="260" t="str">
        <f t="shared" si="125"/>
        <v>#27:</v>
      </c>
      <c r="B169" s="147">
        <f t="shared" si="126"/>
        <v>72.575757575757734</v>
      </c>
      <c r="C169" s="148">
        <f t="shared" si="127"/>
        <v>1.8027756377319946</v>
      </c>
      <c r="D169" s="261" t="str">
        <f t="shared" si="128"/>
        <v/>
      </c>
      <c r="E169" s="147" t="str">
        <f t="shared" si="129"/>
        <v/>
      </c>
      <c r="F169" s="148" t="str">
        <f t="shared" si="130"/>
        <v/>
      </c>
      <c r="G169" s="261" t="str">
        <f t="shared" si="131"/>
        <v/>
      </c>
      <c r="H169" s="147" t="str">
        <f t="shared" si="132"/>
        <v/>
      </c>
      <c r="I169" s="148" t="str">
        <f t="shared" si="133"/>
        <v/>
      </c>
      <c r="J169" s="261" t="str">
        <f t="shared" si="134"/>
        <v/>
      </c>
      <c r="K169" s="147" t="str">
        <f t="shared" si="135"/>
        <v/>
      </c>
      <c r="L169" s="148" t="str">
        <f t="shared" si="136"/>
        <v/>
      </c>
      <c r="M169" s="261" t="str">
        <f t="shared" si="137"/>
        <v/>
      </c>
      <c r="N169" s="147" t="str">
        <f t="shared" si="138"/>
        <v/>
      </c>
      <c r="O169" s="148" t="str">
        <f t="shared" si="139"/>
        <v/>
      </c>
      <c r="P169" s="261" t="str">
        <f t="shared" si="140"/>
        <v/>
      </c>
      <c r="Q169" s="147" t="str">
        <f t="shared" si="141"/>
        <v/>
      </c>
      <c r="R169" s="148" t="str">
        <f t="shared" si="142"/>
        <v/>
      </c>
      <c r="S169" s="259"/>
      <c r="T169" s="2"/>
      <c r="U169" s="264">
        <v>165</v>
      </c>
      <c r="V169" s="16" t="str">
        <f t="shared" si="143"/>
        <v/>
      </c>
      <c r="W169" s="16" t="str">
        <f t="shared" si="144"/>
        <v/>
      </c>
      <c r="X169" s="16" t="str">
        <f t="shared" si="116"/>
        <v/>
      </c>
      <c r="Y169" s="16" t="str">
        <f t="shared" si="117"/>
        <v/>
      </c>
      <c r="Z169" s="16" t="str">
        <f t="shared" si="118"/>
        <v/>
      </c>
      <c r="AA169" s="16" t="str">
        <f t="shared" si="145"/>
        <v/>
      </c>
      <c r="AB169" s="16" t="str">
        <f t="shared" si="146"/>
        <v/>
      </c>
      <c r="AC169" s="29" t="str">
        <f t="shared" si="119"/>
        <v/>
      </c>
      <c r="AD169" s="29" t="str">
        <f t="shared" si="120"/>
        <v/>
      </c>
      <c r="AE169" s="2"/>
      <c r="AF169" s="2"/>
      <c r="AG169" s="2"/>
      <c r="AH169" s="2"/>
      <c r="AI169" s="2"/>
      <c r="AJ169" s="2"/>
      <c r="AK169" s="2"/>
      <c r="AL169" s="2"/>
      <c r="AM169" s="2"/>
      <c r="AN169" s="2"/>
      <c r="AO169" s="2"/>
      <c r="AP169" s="2"/>
      <c r="AQ169" s="2"/>
    </row>
    <row r="170" spans="1:43" x14ac:dyDescent="0.25">
      <c r="A170" s="260" t="str">
        <f t="shared" si="125"/>
        <v>#28:</v>
      </c>
      <c r="B170" s="147">
        <f t="shared" si="126"/>
        <v>72.070707070707243</v>
      </c>
      <c r="C170" s="148">
        <f t="shared" si="127"/>
        <v>1.8027756377319946</v>
      </c>
      <c r="D170" s="261" t="str">
        <f t="shared" si="128"/>
        <v/>
      </c>
      <c r="E170" s="147" t="str">
        <f t="shared" si="129"/>
        <v/>
      </c>
      <c r="F170" s="148" t="str">
        <f t="shared" si="130"/>
        <v/>
      </c>
      <c r="G170" s="261" t="str">
        <f t="shared" si="131"/>
        <v/>
      </c>
      <c r="H170" s="147" t="str">
        <f t="shared" si="132"/>
        <v/>
      </c>
      <c r="I170" s="148" t="str">
        <f t="shared" si="133"/>
        <v/>
      </c>
      <c r="J170" s="261" t="str">
        <f t="shared" si="134"/>
        <v/>
      </c>
      <c r="K170" s="147" t="str">
        <f t="shared" si="135"/>
        <v/>
      </c>
      <c r="L170" s="148" t="str">
        <f t="shared" si="136"/>
        <v/>
      </c>
      <c r="M170" s="261" t="str">
        <f t="shared" si="137"/>
        <v/>
      </c>
      <c r="N170" s="147" t="str">
        <f t="shared" si="138"/>
        <v/>
      </c>
      <c r="O170" s="148" t="str">
        <f t="shared" si="139"/>
        <v/>
      </c>
      <c r="P170" s="261" t="str">
        <f t="shared" si="140"/>
        <v/>
      </c>
      <c r="Q170" s="147" t="str">
        <f t="shared" si="141"/>
        <v/>
      </c>
      <c r="R170" s="148" t="str">
        <f t="shared" si="142"/>
        <v/>
      </c>
      <c r="S170" s="259"/>
      <c r="T170" s="2"/>
      <c r="U170" s="264">
        <v>166</v>
      </c>
      <c r="V170" s="16" t="str">
        <f t="shared" si="143"/>
        <v/>
      </c>
      <c r="W170" s="16" t="str">
        <f t="shared" si="144"/>
        <v/>
      </c>
      <c r="X170" s="16" t="str">
        <f t="shared" si="116"/>
        <v/>
      </c>
      <c r="Y170" s="16" t="str">
        <f t="shared" si="117"/>
        <v/>
      </c>
      <c r="Z170" s="16" t="str">
        <f t="shared" si="118"/>
        <v/>
      </c>
      <c r="AA170" s="16" t="str">
        <f t="shared" si="145"/>
        <v/>
      </c>
      <c r="AB170" s="16" t="str">
        <f t="shared" si="146"/>
        <v/>
      </c>
      <c r="AC170" s="29" t="str">
        <f t="shared" si="119"/>
        <v/>
      </c>
      <c r="AD170" s="29" t="str">
        <f t="shared" si="120"/>
        <v/>
      </c>
      <c r="AE170" s="2"/>
      <c r="AF170" s="2"/>
      <c r="AG170" s="2"/>
      <c r="AH170" s="2"/>
      <c r="AI170" s="2"/>
      <c r="AJ170" s="2"/>
      <c r="AK170" s="2"/>
      <c r="AL170" s="2"/>
      <c r="AM170" s="2"/>
      <c r="AN170" s="2"/>
      <c r="AO170" s="2"/>
      <c r="AP170" s="2"/>
      <c r="AQ170" s="2"/>
    </row>
    <row r="171" spans="1:43" x14ac:dyDescent="0.25">
      <c r="A171" s="260" t="str">
        <f t="shared" si="125"/>
        <v>#29:</v>
      </c>
      <c r="B171" s="147">
        <f t="shared" si="126"/>
        <v>71.565656565656738</v>
      </c>
      <c r="C171" s="148">
        <f t="shared" si="127"/>
        <v>1.8027756377319946</v>
      </c>
      <c r="D171" s="261" t="str">
        <f t="shared" si="128"/>
        <v/>
      </c>
      <c r="E171" s="147" t="str">
        <f t="shared" si="129"/>
        <v/>
      </c>
      <c r="F171" s="148" t="str">
        <f t="shared" si="130"/>
        <v/>
      </c>
      <c r="G171" s="261" t="str">
        <f t="shared" si="131"/>
        <v/>
      </c>
      <c r="H171" s="147" t="str">
        <f t="shared" si="132"/>
        <v/>
      </c>
      <c r="I171" s="148" t="str">
        <f t="shared" si="133"/>
        <v/>
      </c>
      <c r="J171" s="261" t="str">
        <f t="shared" si="134"/>
        <v/>
      </c>
      <c r="K171" s="147" t="str">
        <f t="shared" si="135"/>
        <v/>
      </c>
      <c r="L171" s="148" t="str">
        <f t="shared" si="136"/>
        <v/>
      </c>
      <c r="M171" s="261" t="str">
        <f t="shared" si="137"/>
        <v/>
      </c>
      <c r="N171" s="147" t="str">
        <f t="shared" si="138"/>
        <v/>
      </c>
      <c r="O171" s="148" t="str">
        <f t="shared" si="139"/>
        <v/>
      </c>
      <c r="P171" s="261" t="str">
        <f t="shared" si="140"/>
        <v/>
      </c>
      <c r="Q171" s="147" t="str">
        <f t="shared" si="141"/>
        <v/>
      </c>
      <c r="R171" s="148" t="str">
        <f t="shared" si="142"/>
        <v/>
      </c>
      <c r="S171" s="259"/>
      <c r="T171" s="2"/>
      <c r="U171" s="264">
        <v>167</v>
      </c>
      <c r="V171" s="16" t="str">
        <f t="shared" si="143"/>
        <v/>
      </c>
      <c r="W171" s="16" t="str">
        <f t="shared" si="144"/>
        <v/>
      </c>
      <c r="X171" s="16" t="str">
        <f t="shared" si="116"/>
        <v/>
      </c>
      <c r="Y171" s="16" t="str">
        <f t="shared" si="117"/>
        <v/>
      </c>
      <c r="Z171" s="16" t="str">
        <f t="shared" si="118"/>
        <v/>
      </c>
      <c r="AA171" s="16" t="str">
        <f t="shared" si="145"/>
        <v/>
      </c>
      <c r="AB171" s="16" t="str">
        <f t="shared" si="146"/>
        <v/>
      </c>
      <c r="AC171" s="29" t="str">
        <f t="shared" si="119"/>
        <v/>
      </c>
      <c r="AD171" s="29" t="str">
        <f t="shared" si="120"/>
        <v/>
      </c>
      <c r="AE171" s="2"/>
      <c r="AF171" s="2"/>
      <c r="AG171" s="2"/>
      <c r="AH171" s="2"/>
      <c r="AI171" s="2"/>
      <c r="AJ171" s="2"/>
      <c r="AK171" s="2"/>
      <c r="AL171" s="2"/>
      <c r="AM171" s="2"/>
      <c r="AN171" s="2"/>
      <c r="AO171" s="2"/>
      <c r="AP171" s="2"/>
      <c r="AQ171" s="2"/>
    </row>
    <row r="172" spans="1:43" x14ac:dyDescent="0.25">
      <c r="A172" s="260" t="str">
        <f t="shared" si="125"/>
        <v>#30:</v>
      </c>
      <c r="B172" s="147">
        <f t="shared" si="126"/>
        <v>71.060606060606247</v>
      </c>
      <c r="C172" s="148">
        <f t="shared" si="127"/>
        <v>1.8027756377319946</v>
      </c>
      <c r="D172" s="261" t="str">
        <f t="shared" si="128"/>
        <v/>
      </c>
      <c r="E172" s="147" t="str">
        <f t="shared" si="129"/>
        <v/>
      </c>
      <c r="F172" s="148" t="str">
        <f t="shared" si="130"/>
        <v/>
      </c>
      <c r="G172" s="261" t="str">
        <f t="shared" si="131"/>
        <v/>
      </c>
      <c r="H172" s="147" t="str">
        <f t="shared" si="132"/>
        <v/>
      </c>
      <c r="I172" s="148" t="str">
        <f t="shared" si="133"/>
        <v/>
      </c>
      <c r="J172" s="261" t="str">
        <f t="shared" si="134"/>
        <v/>
      </c>
      <c r="K172" s="147" t="str">
        <f t="shared" si="135"/>
        <v/>
      </c>
      <c r="L172" s="148" t="str">
        <f t="shared" si="136"/>
        <v/>
      </c>
      <c r="M172" s="261" t="str">
        <f t="shared" si="137"/>
        <v/>
      </c>
      <c r="N172" s="147" t="str">
        <f t="shared" si="138"/>
        <v/>
      </c>
      <c r="O172" s="148" t="str">
        <f t="shared" si="139"/>
        <v/>
      </c>
      <c r="P172" s="261" t="str">
        <f t="shared" si="140"/>
        <v/>
      </c>
      <c r="Q172" s="147" t="str">
        <f t="shared" si="141"/>
        <v/>
      </c>
      <c r="R172" s="148" t="str">
        <f t="shared" si="142"/>
        <v/>
      </c>
      <c r="S172" s="259"/>
      <c r="T172" s="2"/>
      <c r="U172" s="264">
        <v>168</v>
      </c>
      <c r="V172" s="16" t="str">
        <f t="shared" si="143"/>
        <v/>
      </c>
      <c r="W172" s="16" t="str">
        <f t="shared" si="144"/>
        <v/>
      </c>
      <c r="X172" s="16" t="str">
        <f t="shared" si="116"/>
        <v/>
      </c>
      <c r="Y172" s="16" t="str">
        <f t="shared" si="117"/>
        <v/>
      </c>
      <c r="Z172" s="16" t="str">
        <f t="shared" si="118"/>
        <v/>
      </c>
      <c r="AA172" s="16" t="str">
        <f t="shared" si="145"/>
        <v/>
      </c>
      <c r="AB172" s="16" t="str">
        <f t="shared" si="146"/>
        <v/>
      </c>
      <c r="AC172" s="29" t="str">
        <f t="shared" si="119"/>
        <v/>
      </c>
      <c r="AD172" s="29" t="str">
        <f t="shared" si="120"/>
        <v/>
      </c>
      <c r="AE172" s="2"/>
      <c r="AF172" s="2"/>
      <c r="AG172" s="2"/>
      <c r="AH172" s="2"/>
      <c r="AI172" s="2"/>
      <c r="AJ172" s="2"/>
      <c r="AK172" s="2"/>
      <c r="AL172" s="2"/>
      <c r="AM172" s="2"/>
      <c r="AN172" s="2"/>
      <c r="AO172" s="2"/>
      <c r="AP172" s="2"/>
      <c r="AQ172" s="2"/>
    </row>
    <row r="173" spans="1:43" x14ac:dyDescent="0.25">
      <c r="A173" s="260" t="str">
        <f t="shared" si="125"/>
        <v>#31:</v>
      </c>
      <c r="B173" s="147">
        <f t="shared" si="126"/>
        <v>72.272727272727678</v>
      </c>
      <c r="C173" s="148">
        <f t="shared" si="127"/>
        <v>1.8027756377319946</v>
      </c>
      <c r="D173" s="261" t="str">
        <f t="shared" si="128"/>
        <v/>
      </c>
      <c r="E173" s="147" t="str">
        <f t="shared" si="129"/>
        <v/>
      </c>
      <c r="F173" s="148" t="str">
        <f t="shared" si="130"/>
        <v/>
      </c>
      <c r="G173" s="261" t="str">
        <f t="shared" si="131"/>
        <v/>
      </c>
      <c r="H173" s="147" t="str">
        <f t="shared" si="132"/>
        <v/>
      </c>
      <c r="I173" s="148" t="str">
        <f t="shared" si="133"/>
        <v/>
      </c>
      <c r="J173" s="261" t="str">
        <f t="shared" si="134"/>
        <v/>
      </c>
      <c r="K173" s="147" t="str">
        <f t="shared" si="135"/>
        <v/>
      </c>
      <c r="L173" s="148" t="str">
        <f t="shared" si="136"/>
        <v/>
      </c>
      <c r="M173" s="261" t="str">
        <f t="shared" si="137"/>
        <v/>
      </c>
      <c r="N173" s="147" t="str">
        <f t="shared" si="138"/>
        <v/>
      </c>
      <c r="O173" s="148" t="str">
        <f t="shared" si="139"/>
        <v/>
      </c>
      <c r="P173" s="261" t="str">
        <f t="shared" si="140"/>
        <v/>
      </c>
      <c r="Q173" s="147" t="str">
        <f t="shared" si="141"/>
        <v/>
      </c>
      <c r="R173" s="148" t="str">
        <f t="shared" si="142"/>
        <v/>
      </c>
      <c r="S173" s="259"/>
      <c r="T173" s="2"/>
      <c r="U173" s="264">
        <v>169</v>
      </c>
      <c r="V173" s="16" t="str">
        <f t="shared" si="143"/>
        <v/>
      </c>
      <c r="W173" s="16" t="str">
        <f t="shared" si="144"/>
        <v/>
      </c>
      <c r="X173" s="16" t="str">
        <f t="shared" si="116"/>
        <v/>
      </c>
      <c r="Y173" s="16" t="str">
        <f t="shared" si="117"/>
        <v/>
      </c>
      <c r="Z173" s="16" t="str">
        <f t="shared" si="118"/>
        <v/>
      </c>
      <c r="AA173" s="16" t="str">
        <f t="shared" si="145"/>
        <v/>
      </c>
      <c r="AB173" s="16" t="str">
        <f t="shared" si="146"/>
        <v/>
      </c>
      <c r="AC173" s="29" t="str">
        <f t="shared" si="119"/>
        <v/>
      </c>
      <c r="AD173" s="29" t="str">
        <f t="shared" si="120"/>
        <v/>
      </c>
      <c r="AE173" s="2"/>
      <c r="AF173" s="2"/>
      <c r="AG173" s="2"/>
      <c r="AH173" s="2"/>
      <c r="AI173" s="2"/>
      <c r="AJ173" s="2"/>
      <c r="AK173" s="2"/>
      <c r="AL173" s="2"/>
      <c r="AM173" s="2"/>
      <c r="AN173" s="2"/>
      <c r="AO173" s="2"/>
      <c r="AP173" s="2"/>
      <c r="AQ173" s="2"/>
    </row>
    <row r="174" spans="1:43" x14ac:dyDescent="0.25">
      <c r="A174" s="260" t="str">
        <f t="shared" si="125"/>
        <v>#32:</v>
      </c>
      <c r="B174" s="147">
        <f t="shared" si="126"/>
        <v>71.767676767677187</v>
      </c>
      <c r="C174" s="148">
        <f t="shared" si="127"/>
        <v>1.8027756377319946</v>
      </c>
      <c r="D174" s="261" t="str">
        <f t="shared" si="128"/>
        <v/>
      </c>
      <c r="E174" s="147" t="str">
        <f t="shared" si="129"/>
        <v/>
      </c>
      <c r="F174" s="148" t="str">
        <f t="shared" si="130"/>
        <v/>
      </c>
      <c r="G174" s="261" t="str">
        <f t="shared" si="131"/>
        <v/>
      </c>
      <c r="H174" s="147" t="str">
        <f t="shared" si="132"/>
        <v/>
      </c>
      <c r="I174" s="148" t="str">
        <f t="shared" si="133"/>
        <v/>
      </c>
      <c r="J174" s="261" t="str">
        <f t="shared" si="134"/>
        <v/>
      </c>
      <c r="K174" s="147" t="str">
        <f t="shared" si="135"/>
        <v/>
      </c>
      <c r="L174" s="148" t="str">
        <f t="shared" si="136"/>
        <v/>
      </c>
      <c r="M174" s="261" t="str">
        <f t="shared" si="137"/>
        <v/>
      </c>
      <c r="N174" s="147" t="str">
        <f t="shared" si="138"/>
        <v/>
      </c>
      <c r="O174" s="148" t="str">
        <f t="shared" si="139"/>
        <v/>
      </c>
      <c r="P174" s="261" t="str">
        <f t="shared" si="140"/>
        <v/>
      </c>
      <c r="Q174" s="147" t="str">
        <f t="shared" si="141"/>
        <v/>
      </c>
      <c r="R174" s="148" t="str">
        <f t="shared" si="142"/>
        <v/>
      </c>
      <c r="S174" s="259"/>
      <c r="T174" s="2"/>
      <c r="U174" s="264">
        <v>170</v>
      </c>
      <c r="V174" s="16" t="str">
        <f t="shared" si="143"/>
        <v/>
      </c>
      <c r="W174" s="16" t="str">
        <f t="shared" si="144"/>
        <v/>
      </c>
      <c r="X174" s="16" t="str">
        <f t="shared" si="116"/>
        <v/>
      </c>
      <c r="Y174" s="16" t="str">
        <f t="shared" si="117"/>
        <v/>
      </c>
      <c r="Z174" s="16" t="str">
        <f t="shared" si="118"/>
        <v/>
      </c>
      <c r="AA174" s="16" t="str">
        <f t="shared" si="145"/>
        <v/>
      </c>
      <c r="AB174" s="16" t="str">
        <f t="shared" si="146"/>
        <v/>
      </c>
      <c r="AC174" s="29" t="str">
        <f t="shared" si="119"/>
        <v/>
      </c>
      <c r="AD174" s="29" t="str">
        <f t="shared" si="120"/>
        <v/>
      </c>
      <c r="AE174" s="2"/>
      <c r="AF174" s="2"/>
      <c r="AG174" s="2"/>
      <c r="AH174" s="2"/>
      <c r="AI174" s="2"/>
      <c r="AJ174" s="2"/>
      <c r="AK174" s="2"/>
      <c r="AL174" s="2"/>
      <c r="AM174" s="2"/>
      <c r="AN174" s="2"/>
      <c r="AO174" s="2"/>
      <c r="AP174" s="2"/>
      <c r="AQ174" s="2"/>
    </row>
    <row r="175" spans="1:43" x14ac:dyDescent="0.25">
      <c r="A175" s="260" t="str">
        <f t="shared" ref="A175:A192" si="147">IF($C$9&gt;=$U37,"#"&amp;$U37&amp;":","")</f>
        <v>#33:</v>
      </c>
      <c r="B175" s="147">
        <f t="shared" ref="B175:B192" si="148">$AC37</f>
        <v>71.262626262626682</v>
      </c>
      <c r="C175" s="148">
        <f t="shared" ref="C175:C192" si="149">$AD37</f>
        <v>1.8027756377319946</v>
      </c>
      <c r="D175" s="261" t="str">
        <f t="shared" ref="D175:D192" si="150">IF($C$9&gt;=$U87,"#"&amp;$U87&amp;":","")</f>
        <v/>
      </c>
      <c r="E175" s="147" t="str">
        <f t="shared" ref="E175:E192" si="151">$AC87</f>
        <v/>
      </c>
      <c r="F175" s="148" t="str">
        <f t="shared" ref="F175:F192" si="152">$AD87</f>
        <v/>
      </c>
      <c r="G175" s="261" t="str">
        <f t="shared" ref="G175:G192" si="153">IF($C$9&gt;=$U137,"#"&amp;$U137&amp;":","")</f>
        <v/>
      </c>
      <c r="H175" s="147" t="str">
        <f t="shared" ref="H175:H192" si="154">$AC137</f>
        <v/>
      </c>
      <c r="I175" s="148" t="str">
        <f t="shared" ref="I175:I192" si="155">$AD137</f>
        <v/>
      </c>
      <c r="J175" s="261" t="str">
        <f t="shared" ref="J175:J192" si="156">IF($C$9&gt;=$U187,"#"&amp;$U187&amp;":","")</f>
        <v/>
      </c>
      <c r="K175" s="147" t="str">
        <f t="shared" ref="K175:K192" si="157">$AC187</f>
        <v/>
      </c>
      <c r="L175" s="148" t="str">
        <f t="shared" ref="L175:L192" si="158">$AD187</f>
        <v/>
      </c>
      <c r="M175" s="261" t="str">
        <f t="shared" ref="M175:M192" si="159">IF($C$9&gt;=$U237,"#"&amp;$U237&amp;":","")</f>
        <v/>
      </c>
      <c r="N175" s="147" t="str">
        <f t="shared" ref="N175:N192" si="160">$AC237</f>
        <v/>
      </c>
      <c r="O175" s="148" t="str">
        <f t="shared" ref="O175:O192" si="161">$AD237</f>
        <v/>
      </c>
      <c r="P175" s="261" t="str">
        <f t="shared" ref="P175:P192" si="162">IF($C$9&gt;=$U287,"#"&amp;$U287&amp;":","")</f>
        <v/>
      </c>
      <c r="Q175" s="147" t="str">
        <f t="shared" ref="Q175:Q192" si="163">$AC287</f>
        <v/>
      </c>
      <c r="R175" s="148" t="str">
        <f t="shared" ref="R175:R192" si="164">$AD287</f>
        <v/>
      </c>
      <c r="S175" s="259"/>
      <c r="T175" s="2"/>
      <c r="U175" s="264">
        <v>171</v>
      </c>
      <c r="V175" s="16" t="str">
        <f t="shared" si="143"/>
        <v/>
      </c>
      <c r="W175" s="16" t="str">
        <f t="shared" si="144"/>
        <v/>
      </c>
      <c r="X175" s="16" t="str">
        <f t="shared" si="116"/>
        <v/>
      </c>
      <c r="Y175" s="16" t="str">
        <f t="shared" si="117"/>
        <v/>
      </c>
      <c r="Z175" s="16" t="str">
        <f t="shared" si="118"/>
        <v/>
      </c>
      <c r="AA175" s="16" t="str">
        <f t="shared" si="145"/>
        <v/>
      </c>
      <c r="AB175" s="16" t="str">
        <f t="shared" si="146"/>
        <v/>
      </c>
      <c r="AC175" s="29" t="str">
        <f t="shared" si="119"/>
        <v/>
      </c>
      <c r="AD175" s="29" t="str">
        <f t="shared" si="120"/>
        <v/>
      </c>
      <c r="AE175" s="2"/>
      <c r="AF175" s="2"/>
      <c r="AG175" s="2"/>
      <c r="AH175" s="2"/>
      <c r="AI175" s="2"/>
      <c r="AJ175" s="2"/>
      <c r="AK175" s="2"/>
      <c r="AL175" s="2"/>
      <c r="AM175" s="2"/>
      <c r="AN175" s="2"/>
      <c r="AO175" s="2"/>
      <c r="AP175" s="2"/>
      <c r="AQ175" s="2"/>
    </row>
    <row r="176" spans="1:43" x14ac:dyDescent="0.25">
      <c r="A176" s="260" t="str">
        <f t="shared" si="147"/>
        <v>#34:</v>
      </c>
      <c r="B176" s="147">
        <f t="shared" si="148"/>
        <v>70.757575757576191</v>
      </c>
      <c r="C176" s="148">
        <f t="shared" si="149"/>
        <v>1.8027756377319946</v>
      </c>
      <c r="D176" s="261" t="str">
        <f t="shared" si="150"/>
        <v/>
      </c>
      <c r="E176" s="147" t="str">
        <f t="shared" si="151"/>
        <v/>
      </c>
      <c r="F176" s="148" t="str">
        <f t="shared" si="152"/>
        <v/>
      </c>
      <c r="G176" s="261" t="str">
        <f t="shared" si="153"/>
        <v/>
      </c>
      <c r="H176" s="147" t="str">
        <f t="shared" si="154"/>
        <v/>
      </c>
      <c r="I176" s="148" t="str">
        <f t="shared" si="155"/>
        <v/>
      </c>
      <c r="J176" s="261" t="str">
        <f t="shared" si="156"/>
        <v/>
      </c>
      <c r="K176" s="147" t="str">
        <f t="shared" si="157"/>
        <v/>
      </c>
      <c r="L176" s="148" t="str">
        <f t="shared" si="158"/>
        <v/>
      </c>
      <c r="M176" s="261" t="str">
        <f t="shared" si="159"/>
        <v/>
      </c>
      <c r="N176" s="147" t="str">
        <f t="shared" si="160"/>
        <v/>
      </c>
      <c r="O176" s="148" t="str">
        <f t="shared" si="161"/>
        <v/>
      </c>
      <c r="P176" s="261" t="str">
        <f t="shared" si="162"/>
        <v/>
      </c>
      <c r="Q176" s="147" t="str">
        <f t="shared" si="163"/>
        <v/>
      </c>
      <c r="R176" s="148" t="str">
        <f t="shared" si="164"/>
        <v/>
      </c>
      <c r="S176" s="259"/>
      <c r="T176" s="2"/>
      <c r="U176" s="264">
        <v>172</v>
      </c>
      <c r="V176" s="16" t="str">
        <f t="shared" si="143"/>
        <v/>
      </c>
      <c r="W176" s="16" t="str">
        <f t="shared" si="144"/>
        <v/>
      </c>
      <c r="X176" s="16" t="str">
        <f t="shared" si="116"/>
        <v/>
      </c>
      <c r="Y176" s="16" t="str">
        <f t="shared" si="117"/>
        <v/>
      </c>
      <c r="Z176" s="16" t="str">
        <f t="shared" si="118"/>
        <v/>
      </c>
      <c r="AA176" s="16" t="str">
        <f t="shared" si="145"/>
        <v/>
      </c>
      <c r="AB176" s="16" t="str">
        <f t="shared" si="146"/>
        <v/>
      </c>
      <c r="AC176" s="29" t="str">
        <f t="shared" si="119"/>
        <v/>
      </c>
      <c r="AD176" s="29" t="str">
        <f t="shared" si="120"/>
        <v/>
      </c>
      <c r="AE176" s="2"/>
      <c r="AF176" s="2"/>
      <c r="AG176" s="2"/>
      <c r="AH176" s="2"/>
      <c r="AI176" s="2"/>
      <c r="AJ176" s="2"/>
      <c r="AK176" s="2"/>
      <c r="AL176" s="2"/>
      <c r="AM176" s="2"/>
      <c r="AN176" s="2"/>
      <c r="AO176" s="2"/>
      <c r="AP176" s="2"/>
      <c r="AQ176" s="2"/>
    </row>
    <row r="177" spans="1:43" x14ac:dyDescent="0.25">
      <c r="A177" s="260" t="str">
        <f t="shared" si="147"/>
        <v>#35:</v>
      </c>
      <c r="B177" s="147">
        <f t="shared" si="148"/>
        <v>70.252525252525686</v>
      </c>
      <c r="C177" s="148">
        <f t="shared" si="149"/>
        <v>1.8027756377319946</v>
      </c>
      <c r="D177" s="261" t="str">
        <f t="shared" si="150"/>
        <v/>
      </c>
      <c r="E177" s="147" t="str">
        <f t="shared" si="151"/>
        <v/>
      </c>
      <c r="F177" s="148" t="str">
        <f t="shared" si="152"/>
        <v/>
      </c>
      <c r="G177" s="261" t="str">
        <f t="shared" si="153"/>
        <v/>
      </c>
      <c r="H177" s="147" t="str">
        <f t="shared" si="154"/>
        <v/>
      </c>
      <c r="I177" s="148" t="str">
        <f t="shared" si="155"/>
        <v/>
      </c>
      <c r="J177" s="261" t="str">
        <f t="shared" si="156"/>
        <v/>
      </c>
      <c r="K177" s="147" t="str">
        <f t="shared" si="157"/>
        <v/>
      </c>
      <c r="L177" s="148" t="str">
        <f t="shared" si="158"/>
        <v/>
      </c>
      <c r="M177" s="261" t="str">
        <f t="shared" si="159"/>
        <v/>
      </c>
      <c r="N177" s="147" t="str">
        <f t="shared" si="160"/>
        <v/>
      </c>
      <c r="O177" s="148" t="str">
        <f t="shared" si="161"/>
        <v/>
      </c>
      <c r="P177" s="261" t="str">
        <f t="shared" si="162"/>
        <v/>
      </c>
      <c r="Q177" s="147" t="str">
        <f t="shared" si="163"/>
        <v/>
      </c>
      <c r="R177" s="148" t="str">
        <f t="shared" si="164"/>
        <v/>
      </c>
      <c r="S177" s="259"/>
      <c r="T177" s="2"/>
      <c r="U177" s="264">
        <v>173</v>
      </c>
      <c r="V177" s="16" t="str">
        <f t="shared" si="143"/>
        <v/>
      </c>
      <c r="W177" s="16" t="str">
        <f t="shared" si="144"/>
        <v/>
      </c>
      <c r="X177" s="16" t="str">
        <f t="shared" si="116"/>
        <v/>
      </c>
      <c r="Y177" s="16" t="str">
        <f t="shared" si="117"/>
        <v/>
      </c>
      <c r="Z177" s="16" t="str">
        <f t="shared" si="118"/>
        <v/>
      </c>
      <c r="AA177" s="16" t="str">
        <f t="shared" si="145"/>
        <v/>
      </c>
      <c r="AB177" s="16" t="str">
        <f t="shared" si="146"/>
        <v/>
      </c>
      <c r="AC177" s="29" t="str">
        <f t="shared" si="119"/>
        <v/>
      </c>
      <c r="AD177" s="29" t="str">
        <f t="shared" si="120"/>
        <v/>
      </c>
      <c r="AE177" s="2"/>
      <c r="AF177" s="2"/>
      <c r="AG177" s="2"/>
      <c r="AH177" s="2"/>
      <c r="AI177" s="2"/>
      <c r="AJ177" s="2"/>
      <c r="AK177" s="2"/>
      <c r="AL177" s="2"/>
      <c r="AM177" s="2"/>
      <c r="AN177" s="2"/>
      <c r="AO177" s="2"/>
      <c r="AP177" s="2"/>
      <c r="AQ177" s="2"/>
    </row>
    <row r="178" spans="1:43" x14ac:dyDescent="0.25">
      <c r="A178" s="260" t="str">
        <f t="shared" si="147"/>
        <v>#36:</v>
      </c>
      <c r="B178" s="147">
        <f t="shared" si="148"/>
        <v>69.747474747475195</v>
      </c>
      <c r="C178" s="148">
        <f t="shared" si="149"/>
        <v>1.8027756377319946</v>
      </c>
      <c r="D178" s="261" t="str">
        <f t="shared" si="150"/>
        <v/>
      </c>
      <c r="E178" s="147" t="str">
        <f t="shared" si="151"/>
        <v/>
      </c>
      <c r="F178" s="148" t="str">
        <f t="shared" si="152"/>
        <v/>
      </c>
      <c r="G178" s="261" t="str">
        <f t="shared" si="153"/>
        <v/>
      </c>
      <c r="H178" s="147" t="str">
        <f t="shared" si="154"/>
        <v/>
      </c>
      <c r="I178" s="148" t="str">
        <f t="shared" si="155"/>
        <v/>
      </c>
      <c r="J178" s="261" t="str">
        <f t="shared" si="156"/>
        <v/>
      </c>
      <c r="K178" s="147" t="str">
        <f t="shared" si="157"/>
        <v/>
      </c>
      <c r="L178" s="148" t="str">
        <f t="shared" si="158"/>
        <v/>
      </c>
      <c r="M178" s="261" t="str">
        <f t="shared" si="159"/>
        <v/>
      </c>
      <c r="N178" s="147" t="str">
        <f t="shared" si="160"/>
        <v/>
      </c>
      <c r="O178" s="148" t="str">
        <f t="shared" si="161"/>
        <v/>
      </c>
      <c r="P178" s="261" t="str">
        <f t="shared" si="162"/>
        <v/>
      </c>
      <c r="Q178" s="147" t="str">
        <f t="shared" si="163"/>
        <v/>
      </c>
      <c r="R178" s="148" t="str">
        <f t="shared" si="164"/>
        <v/>
      </c>
      <c r="S178" s="259"/>
      <c r="T178" s="2"/>
      <c r="U178" s="264">
        <v>174</v>
      </c>
      <c r="V178" s="16" t="str">
        <f t="shared" si="143"/>
        <v/>
      </c>
      <c r="W178" s="16" t="str">
        <f t="shared" si="144"/>
        <v/>
      </c>
      <c r="X178" s="16" t="str">
        <f t="shared" si="116"/>
        <v/>
      </c>
      <c r="Y178" s="16" t="str">
        <f t="shared" si="117"/>
        <v/>
      </c>
      <c r="Z178" s="16" t="str">
        <f t="shared" si="118"/>
        <v/>
      </c>
      <c r="AA178" s="16" t="str">
        <f t="shared" si="145"/>
        <v/>
      </c>
      <c r="AB178" s="16" t="str">
        <f t="shared" si="146"/>
        <v/>
      </c>
      <c r="AC178" s="29" t="str">
        <f t="shared" si="119"/>
        <v/>
      </c>
      <c r="AD178" s="29" t="str">
        <f t="shared" si="120"/>
        <v/>
      </c>
      <c r="AE178" s="2"/>
      <c r="AF178" s="2"/>
      <c r="AG178" s="2"/>
      <c r="AH178" s="2"/>
      <c r="AI178" s="2"/>
      <c r="AJ178" s="2"/>
      <c r="AK178" s="2"/>
      <c r="AL178" s="2"/>
      <c r="AM178" s="2"/>
      <c r="AN178" s="2"/>
      <c r="AO178" s="2"/>
      <c r="AP178" s="2"/>
      <c r="AQ178" s="2"/>
    </row>
    <row r="179" spans="1:43" x14ac:dyDescent="0.25">
      <c r="A179" s="260" t="str">
        <f t="shared" si="147"/>
        <v>#37:</v>
      </c>
      <c r="B179" s="147">
        <f t="shared" si="148"/>
        <v>69.24242424242469</v>
      </c>
      <c r="C179" s="148">
        <f t="shared" si="149"/>
        <v>1.8027756377319946</v>
      </c>
      <c r="D179" s="261" t="str">
        <f t="shared" si="150"/>
        <v/>
      </c>
      <c r="E179" s="147" t="str">
        <f t="shared" si="151"/>
        <v/>
      </c>
      <c r="F179" s="148" t="str">
        <f t="shared" si="152"/>
        <v/>
      </c>
      <c r="G179" s="261" t="str">
        <f t="shared" si="153"/>
        <v/>
      </c>
      <c r="H179" s="147" t="str">
        <f t="shared" si="154"/>
        <v/>
      </c>
      <c r="I179" s="148" t="str">
        <f t="shared" si="155"/>
        <v/>
      </c>
      <c r="J179" s="261" t="str">
        <f t="shared" si="156"/>
        <v/>
      </c>
      <c r="K179" s="147" t="str">
        <f t="shared" si="157"/>
        <v/>
      </c>
      <c r="L179" s="148" t="str">
        <f t="shared" si="158"/>
        <v/>
      </c>
      <c r="M179" s="261" t="str">
        <f t="shared" si="159"/>
        <v/>
      </c>
      <c r="N179" s="147" t="str">
        <f t="shared" si="160"/>
        <v/>
      </c>
      <c r="O179" s="148" t="str">
        <f t="shared" si="161"/>
        <v/>
      </c>
      <c r="P179" s="261" t="str">
        <f t="shared" si="162"/>
        <v/>
      </c>
      <c r="Q179" s="147" t="str">
        <f t="shared" si="163"/>
        <v/>
      </c>
      <c r="R179" s="148" t="str">
        <f t="shared" si="164"/>
        <v/>
      </c>
      <c r="S179" s="259"/>
      <c r="T179" s="2"/>
      <c r="U179" s="264">
        <v>175</v>
      </c>
      <c r="V179" s="16" t="str">
        <f t="shared" si="143"/>
        <v/>
      </c>
      <c r="W179" s="16" t="str">
        <f t="shared" si="144"/>
        <v/>
      </c>
      <c r="X179" s="16" t="str">
        <f t="shared" si="116"/>
        <v/>
      </c>
      <c r="Y179" s="16" t="str">
        <f t="shared" si="117"/>
        <v/>
      </c>
      <c r="Z179" s="16" t="str">
        <f t="shared" si="118"/>
        <v/>
      </c>
      <c r="AA179" s="16" t="str">
        <f t="shared" si="145"/>
        <v/>
      </c>
      <c r="AB179" s="16" t="str">
        <f t="shared" si="146"/>
        <v/>
      </c>
      <c r="AC179" s="29" t="str">
        <f t="shared" si="119"/>
        <v/>
      </c>
      <c r="AD179" s="29" t="str">
        <f t="shared" si="120"/>
        <v/>
      </c>
      <c r="AE179" s="2"/>
      <c r="AF179" s="2"/>
      <c r="AG179" s="2"/>
      <c r="AH179" s="2"/>
      <c r="AI179" s="2"/>
      <c r="AJ179" s="2"/>
      <c r="AK179" s="2"/>
      <c r="AL179" s="2"/>
      <c r="AM179" s="2"/>
      <c r="AN179" s="2"/>
      <c r="AO179" s="2"/>
      <c r="AP179" s="2"/>
      <c r="AQ179" s="2"/>
    </row>
    <row r="180" spans="1:43" x14ac:dyDescent="0.25">
      <c r="A180" s="260" t="str">
        <f t="shared" si="147"/>
        <v>#38:</v>
      </c>
      <c r="B180" s="147">
        <f t="shared" si="148"/>
        <v>68.737373737374199</v>
      </c>
      <c r="C180" s="148">
        <f t="shared" si="149"/>
        <v>1.8027756377319946</v>
      </c>
      <c r="D180" s="261" t="str">
        <f t="shared" si="150"/>
        <v/>
      </c>
      <c r="E180" s="147" t="str">
        <f t="shared" si="151"/>
        <v/>
      </c>
      <c r="F180" s="148" t="str">
        <f t="shared" si="152"/>
        <v/>
      </c>
      <c r="G180" s="261" t="str">
        <f t="shared" si="153"/>
        <v/>
      </c>
      <c r="H180" s="147" t="str">
        <f t="shared" si="154"/>
        <v/>
      </c>
      <c r="I180" s="148" t="str">
        <f t="shared" si="155"/>
        <v/>
      </c>
      <c r="J180" s="261" t="str">
        <f t="shared" si="156"/>
        <v/>
      </c>
      <c r="K180" s="147" t="str">
        <f t="shared" si="157"/>
        <v/>
      </c>
      <c r="L180" s="148" t="str">
        <f t="shared" si="158"/>
        <v/>
      </c>
      <c r="M180" s="261" t="str">
        <f t="shared" si="159"/>
        <v/>
      </c>
      <c r="N180" s="147" t="str">
        <f t="shared" si="160"/>
        <v/>
      </c>
      <c r="O180" s="148" t="str">
        <f t="shared" si="161"/>
        <v/>
      </c>
      <c r="P180" s="261" t="str">
        <f t="shared" si="162"/>
        <v/>
      </c>
      <c r="Q180" s="147" t="str">
        <f t="shared" si="163"/>
        <v/>
      </c>
      <c r="R180" s="148" t="str">
        <f t="shared" si="164"/>
        <v/>
      </c>
      <c r="S180" s="259"/>
      <c r="T180" s="2"/>
      <c r="U180" s="264">
        <v>176</v>
      </c>
      <c r="V180" s="16" t="str">
        <f t="shared" si="143"/>
        <v/>
      </c>
      <c r="W180" s="16" t="str">
        <f t="shared" si="144"/>
        <v/>
      </c>
      <c r="X180" s="16" t="str">
        <f t="shared" si="116"/>
        <v/>
      </c>
      <c r="Y180" s="16" t="str">
        <f t="shared" si="117"/>
        <v/>
      </c>
      <c r="Z180" s="16" t="str">
        <f t="shared" si="118"/>
        <v/>
      </c>
      <c r="AA180" s="16" t="str">
        <f t="shared" si="145"/>
        <v/>
      </c>
      <c r="AB180" s="16" t="str">
        <f t="shared" si="146"/>
        <v/>
      </c>
      <c r="AC180" s="29" t="str">
        <f t="shared" si="119"/>
        <v/>
      </c>
      <c r="AD180" s="29" t="str">
        <f t="shared" si="120"/>
        <v/>
      </c>
      <c r="AE180" s="2"/>
      <c r="AF180" s="2"/>
      <c r="AG180" s="2"/>
      <c r="AH180" s="2"/>
      <c r="AI180" s="2"/>
      <c r="AJ180" s="2"/>
      <c r="AK180" s="2"/>
      <c r="AL180" s="2"/>
      <c r="AM180" s="2"/>
      <c r="AN180" s="2"/>
      <c r="AO180" s="2"/>
      <c r="AP180" s="2"/>
      <c r="AQ180" s="2"/>
    </row>
    <row r="181" spans="1:43" x14ac:dyDescent="0.25">
      <c r="A181" s="260" t="str">
        <f t="shared" si="147"/>
        <v>#39:</v>
      </c>
      <c r="B181" s="147">
        <f t="shared" si="148"/>
        <v>68.232323232323694</v>
      </c>
      <c r="C181" s="148">
        <f t="shared" si="149"/>
        <v>1.8027756377319946</v>
      </c>
      <c r="D181" s="261" t="str">
        <f t="shared" si="150"/>
        <v/>
      </c>
      <c r="E181" s="147" t="str">
        <f t="shared" si="151"/>
        <v/>
      </c>
      <c r="F181" s="148" t="str">
        <f t="shared" si="152"/>
        <v/>
      </c>
      <c r="G181" s="261" t="str">
        <f t="shared" si="153"/>
        <v/>
      </c>
      <c r="H181" s="147" t="str">
        <f t="shared" si="154"/>
        <v/>
      </c>
      <c r="I181" s="148" t="str">
        <f t="shared" si="155"/>
        <v/>
      </c>
      <c r="J181" s="261" t="str">
        <f t="shared" si="156"/>
        <v/>
      </c>
      <c r="K181" s="147" t="str">
        <f t="shared" si="157"/>
        <v/>
      </c>
      <c r="L181" s="148" t="str">
        <f t="shared" si="158"/>
        <v/>
      </c>
      <c r="M181" s="261" t="str">
        <f t="shared" si="159"/>
        <v/>
      </c>
      <c r="N181" s="147" t="str">
        <f t="shared" si="160"/>
        <v/>
      </c>
      <c r="O181" s="148" t="str">
        <f t="shared" si="161"/>
        <v/>
      </c>
      <c r="P181" s="261" t="str">
        <f t="shared" si="162"/>
        <v/>
      </c>
      <c r="Q181" s="147" t="str">
        <f t="shared" si="163"/>
        <v/>
      </c>
      <c r="R181" s="148" t="str">
        <f t="shared" si="164"/>
        <v/>
      </c>
      <c r="S181" s="259"/>
      <c r="T181" s="2"/>
      <c r="U181" s="264">
        <v>177</v>
      </c>
      <c r="V181" s="16" t="str">
        <f t="shared" si="143"/>
        <v/>
      </c>
      <c r="W181" s="16" t="str">
        <f t="shared" si="144"/>
        <v/>
      </c>
      <c r="X181" s="16" t="str">
        <f t="shared" si="116"/>
        <v/>
      </c>
      <c r="Y181" s="16" t="str">
        <f t="shared" si="117"/>
        <v/>
      </c>
      <c r="Z181" s="16" t="str">
        <f t="shared" si="118"/>
        <v/>
      </c>
      <c r="AA181" s="16" t="str">
        <f t="shared" si="145"/>
        <v/>
      </c>
      <c r="AB181" s="16" t="str">
        <f t="shared" si="146"/>
        <v/>
      </c>
      <c r="AC181" s="29" t="str">
        <f t="shared" si="119"/>
        <v/>
      </c>
      <c r="AD181" s="29" t="str">
        <f t="shared" si="120"/>
        <v/>
      </c>
      <c r="AE181" s="2"/>
      <c r="AF181" s="2"/>
      <c r="AG181" s="2"/>
      <c r="AH181" s="2"/>
      <c r="AI181" s="2"/>
      <c r="AJ181" s="2"/>
      <c r="AK181" s="2"/>
      <c r="AL181" s="2"/>
      <c r="AM181" s="2"/>
      <c r="AN181" s="2"/>
      <c r="AO181" s="2"/>
      <c r="AP181" s="2"/>
      <c r="AQ181" s="2"/>
    </row>
    <row r="182" spans="1:43" x14ac:dyDescent="0.25">
      <c r="A182" s="260" t="str">
        <f t="shared" si="147"/>
        <v>#40:</v>
      </c>
      <c r="B182" s="147">
        <f t="shared" si="148"/>
        <v>67.727272727273203</v>
      </c>
      <c r="C182" s="148">
        <f t="shared" si="149"/>
        <v>1.8027756377319946</v>
      </c>
      <c r="D182" s="261" t="str">
        <f t="shared" si="150"/>
        <v/>
      </c>
      <c r="E182" s="147" t="str">
        <f t="shared" si="151"/>
        <v/>
      </c>
      <c r="F182" s="148" t="str">
        <f t="shared" si="152"/>
        <v/>
      </c>
      <c r="G182" s="261" t="str">
        <f t="shared" si="153"/>
        <v/>
      </c>
      <c r="H182" s="147" t="str">
        <f t="shared" si="154"/>
        <v/>
      </c>
      <c r="I182" s="148" t="str">
        <f t="shared" si="155"/>
        <v/>
      </c>
      <c r="J182" s="261" t="str">
        <f t="shared" si="156"/>
        <v/>
      </c>
      <c r="K182" s="147" t="str">
        <f t="shared" si="157"/>
        <v/>
      </c>
      <c r="L182" s="148" t="str">
        <f t="shared" si="158"/>
        <v/>
      </c>
      <c r="M182" s="261" t="str">
        <f t="shared" si="159"/>
        <v/>
      </c>
      <c r="N182" s="147" t="str">
        <f t="shared" si="160"/>
        <v/>
      </c>
      <c r="O182" s="148" t="str">
        <f t="shared" si="161"/>
        <v/>
      </c>
      <c r="P182" s="261" t="str">
        <f t="shared" si="162"/>
        <v/>
      </c>
      <c r="Q182" s="147" t="str">
        <f t="shared" si="163"/>
        <v/>
      </c>
      <c r="R182" s="148" t="str">
        <f t="shared" si="164"/>
        <v/>
      </c>
      <c r="S182" s="259"/>
      <c r="T182" s="2"/>
      <c r="U182" s="264">
        <v>178</v>
      </c>
      <c r="V182" s="16" t="str">
        <f t="shared" si="143"/>
        <v/>
      </c>
      <c r="W182" s="16" t="str">
        <f t="shared" si="144"/>
        <v/>
      </c>
      <c r="X182" s="16" t="str">
        <f t="shared" si="116"/>
        <v/>
      </c>
      <c r="Y182" s="16" t="str">
        <f t="shared" si="117"/>
        <v/>
      </c>
      <c r="Z182" s="16" t="str">
        <f t="shared" si="118"/>
        <v/>
      </c>
      <c r="AA182" s="16" t="str">
        <f t="shared" si="145"/>
        <v/>
      </c>
      <c r="AB182" s="16" t="str">
        <f t="shared" si="146"/>
        <v/>
      </c>
      <c r="AC182" s="29" t="str">
        <f t="shared" si="119"/>
        <v/>
      </c>
      <c r="AD182" s="29" t="str">
        <f t="shared" si="120"/>
        <v/>
      </c>
      <c r="AE182" s="2"/>
      <c r="AF182" s="2"/>
      <c r="AG182" s="2"/>
      <c r="AH182" s="2"/>
      <c r="AI182" s="2"/>
      <c r="AJ182" s="2"/>
      <c r="AK182" s="2"/>
      <c r="AL182" s="2"/>
      <c r="AM182" s="2"/>
      <c r="AN182" s="2"/>
      <c r="AO182" s="2"/>
      <c r="AP182" s="2"/>
      <c r="AQ182" s="2"/>
    </row>
    <row r="183" spans="1:43" x14ac:dyDescent="0.25">
      <c r="A183" s="260" t="str">
        <f t="shared" si="147"/>
        <v/>
      </c>
      <c r="B183" s="147" t="str">
        <f t="shared" si="148"/>
        <v/>
      </c>
      <c r="C183" s="148" t="str">
        <f t="shared" si="149"/>
        <v/>
      </c>
      <c r="D183" s="261" t="str">
        <f t="shared" si="150"/>
        <v/>
      </c>
      <c r="E183" s="147" t="str">
        <f t="shared" si="151"/>
        <v/>
      </c>
      <c r="F183" s="148" t="str">
        <f t="shared" si="152"/>
        <v/>
      </c>
      <c r="G183" s="261" t="str">
        <f t="shared" si="153"/>
        <v/>
      </c>
      <c r="H183" s="147" t="str">
        <f t="shared" si="154"/>
        <v/>
      </c>
      <c r="I183" s="148" t="str">
        <f t="shared" si="155"/>
        <v/>
      </c>
      <c r="J183" s="261" t="str">
        <f t="shared" si="156"/>
        <v/>
      </c>
      <c r="K183" s="147" t="str">
        <f t="shared" si="157"/>
        <v/>
      </c>
      <c r="L183" s="148" t="str">
        <f t="shared" si="158"/>
        <v/>
      </c>
      <c r="M183" s="261" t="str">
        <f t="shared" si="159"/>
        <v/>
      </c>
      <c r="N183" s="147" t="str">
        <f t="shared" si="160"/>
        <v/>
      </c>
      <c r="O183" s="148" t="str">
        <f t="shared" si="161"/>
        <v/>
      </c>
      <c r="P183" s="261" t="str">
        <f t="shared" si="162"/>
        <v/>
      </c>
      <c r="Q183" s="147" t="str">
        <f t="shared" si="163"/>
        <v/>
      </c>
      <c r="R183" s="148" t="str">
        <f t="shared" si="164"/>
        <v/>
      </c>
      <c r="S183" s="259"/>
      <c r="T183" s="2"/>
      <c r="U183" s="264">
        <v>179</v>
      </c>
      <c r="V183" s="16" t="str">
        <f t="shared" si="143"/>
        <v/>
      </c>
      <c r="W183" s="16" t="str">
        <f t="shared" si="144"/>
        <v/>
      </c>
      <c r="X183" s="16" t="str">
        <f t="shared" si="116"/>
        <v/>
      </c>
      <c r="Y183" s="16" t="str">
        <f t="shared" si="117"/>
        <v/>
      </c>
      <c r="Z183" s="16" t="str">
        <f t="shared" si="118"/>
        <v/>
      </c>
      <c r="AA183" s="16" t="str">
        <f t="shared" si="145"/>
        <v/>
      </c>
      <c r="AB183" s="16" t="str">
        <f t="shared" si="146"/>
        <v/>
      </c>
      <c r="AC183" s="29" t="str">
        <f t="shared" si="119"/>
        <v/>
      </c>
      <c r="AD183" s="29" t="str">
        <f t="shared" si="120"/>
        <v/>
      </c>
      <c r="AE183" s="2"/>
      <c r="AF183" s="2"/>
      <c r="AG183" s="2"/>
      <c r="AH183" s="2"/>
      <c r="AI183" s="2"/>
      <c r="AJ183" s="2"/>
      <c r="AK183" s="2"/>
      <c r="AL183" s="2"/>
      <c r="AM183" s="2"/>
      <c r="AN183" s="2"/>
      <c r="AO183" s="2"/>
      <c r="AP183" s="2"/>
      <c r="AQ183" s="2"/>
    </row>
    <row r="184" spans="1:43" x14ac:dyDescent="0.25">
      <c r="A184" s="260" t="str">
        <f t="shared" si="147"/>
        <v/>
      </c>
      <c r="B184" s="147" t="str">
        <f t="shared" si="148"/>
        <v/>
      </c>
      <c r="C184" s="148" t="str">
        <f t="shared" si="149"/>
        <v/>
      </c>
      <c r="D184" s="261" t="str">
        <f t="shared" si="150"/>
        <v/>
      </c>
      <c r="E184" s="147" t="str">
        <f t="shared" si="151"/>
        <v/>
      </c>
      <c r="F184" s="148" t="str">
        <f t="shared" si="152"/>
        <v/>
      </c>
      <c r="G184" s="261" t="str">
        <f t="shared" si="153"/>
        <v/>
      </c>
      <c r="H184" s="147" t="str">
        <f t="shared" si="154"/>
        <v/>
      </c>
      <c r="I184" s="148" t="str">
        <f t="shared" si="155"/>
        <v/>
      </c>
      <c r="J184" s="261" t="str">
        <f t="shared" si="156"/>
        <v/>
      </c>
      <c r="K184" s="147" t="str">
        <f t="shared" si="157"/>
        <v/>
      </c>
      <c r="L184" s="148" t="str">
        <f t="shared" si="158"/>
        <v/>
      </c>
      <c r="M184" s="261" t="str">
        <f t="shared" si="159"/>
        <v/>
      </c>
      <c r="N184" s="147" t="str">
        <f t="shared" si="160"/>
        <v/>
      </c>
      <c r="O184" s="148" t="str">
        <f t="shared" si="161"/>
        <v/>
      </c>
      <c r="P184" s="261" t="str">
        <f t="shared" si="162"/>
        <v/>
      </c>
      <c r="Q184" s="147" t="str">
        <f t="shared" si="163"/>
        <v/>
      </c>
      <c r="R184" s="148" t="str">
        <f t="shared" si="164"/>
        <v/>
      </c>
      <c r="S184" s="259"/>
      <c r="T184" s="2"/>
      <c r="U184" s="264">
        <v>180</v>
      </c>
      <c r="V184" s="16" t="str">
        <f t="shared" si="143"/>
        <v/>
      </c>
      <c r="W184" s="16" t="str">
        <f t="shared" si="144"/>
        <v/>
      </c>
      <c r="X184" s="16" t="str">
        <f t="shared" si="116"/>
        <v/>
      </c>
      <c r="Y184" s="16" t="str">
        <f t="shared" si="117"/>
        <v/>
      </c>
      <c r="Z184" s="16" t="str">
        <f t="shared" si="118"/>
        <v/>
      </c>
      <c r="AA184" s="16" t="str">
        <f t="shared" si="145"/>
        <v/>
      </c>
      <c r="AB184" s="16" t="str">
        <f t="shared" si="146"/>
        <v/>
      </c>
      <c r="AC184" s="29" t="str">
        <f t="shared" si="119"/>
        <v/>
      </c>
      <c r="AD184" s="29" t="str">
        <f t="shared" si="120"/>
        <v/>
      </c>
      <c r="AE184" s="2"/>
      <c r="AF184" s="2"/>
      <c r="AG184" s="2"/>
      <c r="AH184" s="2"/>
      <c r="AI184" s="2"/>
      <c r="AJ184" s="2"/>
      <c r="AK184" s="2"/>
      <c r="AL184" s="2"/>
      <c r="AM184" s="2"/>
      <c r="AN184" s="2"/>
      <c r="AO184" s="2"/>
      <c r="AP184" s="2"/>
      <c r="AQ184" s="2"/>
    </row>
    <row r="185" spans="1:43" x14ac:dyDescent="0.25">
      <c r="A185" s="260" t="str">
        <f t="shared" si="147"/>
        <v/>
      </c>
      <c r="B185" s="147" t="str">
        <f t="shared" si="148"/>
        <v/>
      </c>
      <c r="C185" s="148" t="str">
        <f t="shared" si="149"/>
        <v/>
      </c>
      <c r="D185" s="261" t="str">
        <f t="shared" si="150"/>
        <v/>
      </c>
      <c r="E185" s="147" t="str">
        <f t="shared" si="151"/>
        <v/>
      </c>
      <c r="F185" s="148" t="str">
        <f t="shared" si="152"/>
        <v/>
      </c>
      <c r="G185" s="261" t="str">
        <f t="shared" si="153"/>
        <v/>
      </c>
      <c r="H185" s="147" t="str">
        <f t="shared" si="154"/>
        <v/>
      </c>
      <c r="I185" s="148" t="str">
        <f t="shared" si="155"/>
        <v/>
      </c>
      <c r="J185" s="261" t="str">
        <f t="shared" si="156"/>
        <v/>
      </c>
      <c r="K185" s="147" t="str">
        <f t="shared" si="157"/>
        <v/>
      </c>
      <c r="L185" s="148" t="str">
        <f t="shared" si="158"/>
        <v/>
      </c>
      <c r="M185" s="261" t="str">
        <f t="shared" si="159"/>
        <v/>
      </c>
      <c r="N185" s="147" t="str">
        <f t="shared" si="160"/>
        <v/>
      </c>
      <c r="O185" s="148" t="str">
        <f t="shared" si="161"/>
        <v/>
      </c>
      <c r="P185" s="261" t="str">
        <f t="shared" si="162"/>
        <v/>
      </c>
      <c r="Q185" s="147" t="str">
        <f t="shared" si="163"/>
        <v/>
      </c>
      <c r="R185" s="148" t="str">
        <f t="shared" si="164"/>
        <v/>
      </c>
      <c r="S185" s="259"/>
      <c r="T185" s="2"/>
      <c r="U185" s="264">
        <v>181</v>
      </c>
      <c r="V185" s="16" t="str">
        <f t="shared" si="143"/>
        <v/>
      </c>
      <c r="W185" s="16" t="str">
        <f t="shared" si="144"/>
        <v/>
      </c>
      <c r="X185" s="16" t="str">
        <f t="shared" si="116"/>
        <v/>
      </c>
      <c r="Y185" s="16" t="str">
        <f t="shared" si="117"/>
        <v/>
      </c>
      <c r="Z185" s="16" t="str">
        <f t="shared" si="118"/>
        <v/>
      </c>
      <c r="AA185" s="16" t="str">
        <f t="shared" si="145"/>
        <v/>
      </c>
      <c r="AB185" s="16" t="str">
        <f t="shared" si="146"/>
        <v/>
      </c>
      <c r="AC185" s="29" t="str">
        <f t="shared" si="119"/>
        <v/>
      </c>
      <c r="AD185" s="29" t="str">
        <f t="shared" si="120"/>
        <v/>
      </c>
      <c r="AE185" s="2"/>
      <c r="AF185" s="2"/>
      <c r="AG185" s="2"/>
      <c r="AH185" s="2"/>
      <c r="AI185" s="2"/>
      <c r="AJ185" s="2"/>
      <c r="AK185" s="2"/>
      <c r="AL185" s="2"/>
      <c r="AM185" s="2"/>
      <c r="AN185" s="2"/>
      <c r="AO185" s="2"/>
      <c r="AP185" s="2"/>
      <c r="AQ185" s="2"/>
    </row>
    <row r="186" spans="1:43" x14ac:dyDescent="0.25">
      <c r="A186" s="260" t="str">
        <f t="shared" si="147"/>
        <v/>
      </c>
      <c r="B186" s="147" t="str">
        <f t="shared" si="148"/>
        <v/>
      </c>
      <c r="C186" s="148" t="str">
        <f t="shared" si="149"/>
        <v/>
      </c>
      <c r="D186" s="261" t="str">
        <f t="shared" si="150"/>
        <v/>
      </c>
      <c r="E186" s="147" t="str">
        <f t="shared" si="151"/>
        <v/>
      </c>
      <c r="F186" s="148" t="str">
        <f t="shared" si="152"/>
        <v/>
      </c>
      <c r="G186" s="261" t="str">
        <f t="shared" si="153"/>
        <v/>
      </c>
      <c r="H186" s="147" t="str">
        <f t="shared" si="154"/>
        <v/>
      </c>
      <c r="I186" s="148" t="str">
        <f t="shared" si="155"/>
        <v/>
      </c>
      <c r="J186" s="261" t="str">
        <f t="shared" si="156"/>
        <v/>
      </c>
      <c r="K186" s="147" t="str">
        <f t="shared" si="157"/>
        <v/>
      </c>
      <c r="L186" s="148" t="str">
        <f t="shared" si="158"/>
        <v/>
      </c>
      <c r="M186" s="261" t="str">
        <f t="shared" si="159"/>
        <v/>
      </c>
      <c r="N186" s="147" t="str">
        <f t="shared" si="160"/>
        <v/>
      </c>
      <c r="O186" s="148" t="str">
        <f t="shared" si="161"/>
        <v/>
      </c>
      <c r="P186" s="261" t="str">
        <f t="shared" si="162"/>
        <v/>
      </c>
      <c r="Q186" s="147" t="str">
        <f t="shared" si="163"/>
        <v/>
      </c>
      <c r="R186" s="148" t="str">
        <f t="shared" si="164"/>
        <v/>
      </c>
      <c r="S186" s="259"/>
      <c r="T186" s="2"/>
      <c r="U186" s="264">
        <v>182</v>
      </c>
      <c r="V186" s="16" t="str">
        <f t="shared" si="143"/>
        <v/>
      </c>
      <c r="W186" s="16" t="str">
        <f t="shared" si="144"/>
        <v/>
      </c>
      <c r="X186" s="16" t="str">
        <f t="shared" si="116"/>
        <v/>
      </c>
      <c r="Y186" s="16" t="str">
        <f t="shared" si="117"/>
        <v/>
      </c>
      <c r="Z186" s="16" t="str">
        <f t="shared" si="118"/>
        <v/>
      </c>
      <c r="AA186" s="16" t="str">
        <f t="shared" si="145"/>
        <v/>
      </c>
      <c r="AB186" s="16" t="str">
        <f t="shared" si="146"/>
        <v/>
      </c>
      <c r="AC186" s="29" t="str">
        <f t="shared" si="119"/>
        <v/>
      </c>
      <c r="AD186" s="29" t="str">
        <f t="shared" si="120"/>
        <v/>
      </c>
      <c r="AE186" s="2"/>
      <c r="AF186" s="2"/>
      <c r="AG186" s="2"/>
      <c r="AH186" s="2"/>
      <c r="AI186" s="2"/>
      <c r="AJ186" s="2"/>
      <c r="AK186" s="2"/>
      <c r="AL186" s="2"/>
      <c r="AM186" s="2"/>
      <c r="AN186" s="2"/>
      <c r="AO186" s="2"/>
      <c r="AP186" s="2"/>
      <c r="AQ186" s="2"/>
    </row>
    <row r="187" spans="1:43" x14ac:dyDescent="0.25">
      <c r="A187" s="260" t="str">
        <f t="shared" si="147"/>
        <v/>
      </c>
      <c r="B187" s="147" t="str">
        <f t="shared" si="148"/>
        <v/>
      </c>
      <c r="C187" s="148" t="str">
        <f t="shared" si="149"/>
        <v/>
      </c>
      <c r="D187" s="261" t="str">
        <f t="shared" si="150"/>
        <v/>
      </c>
      <c r="E187" s="147" t="str">
        <f t="shared" si="151"/>
        <v/>
      </c>
      <c r="F187" s="148" t="str">
        <f t="shared" si="152"/>
        <v/>
      </c>
      <c r="G187" s="261" t="str">
        <f t="shared" si="153"/>
        <v/>
      </c>
      <c r="H187" s="147" t="str">
        <f t="shared" si="154"/>
        <v/>
      </c>
      <c r="I187" s="148" t="str">
        <f t="shared" si="155"/>
        <v/>
      </c>
      <c r="J187" s="261" t="str">
        <f t="shared" si="156"/>
        <v/>
      </c>
      <c r="K187" s="147" t="str">
        <f t="shared" si="157"/>
        <v/>
      </c>
      <c r="L187" s="148" t="str">
        <f t="shared" si="158"/>
        <v/>
      </c>
      <c r="M187" s="261" t="str">
        <f t="shared" si="159"/>
        <v/>
      </c>
      <c r="N187" s="147" t="str">
        <f t="shared" si="160"/>
        <v/>
      </c>
      <c r="O187" s="148" t="str">
        <f t="shared" si="161"/>
        <v/>
      </c>
      <c r="P187" s="261" t="str">
        <f t="shared" si="162"/>
        <v/>
      </c>
      <c r="Q187" s="147" t="str">
        <f t="shared" si="163"/>
        <v/>
      </c>
      <c r="R187" s="148" t="str">
        <f t="shared" si="164"/>
        <v/>
      </c>
      <c r="S187" s="259"/>
      <c r="T187" s="2"/>
      <c r="U187" s="264">
        <v>183</v>
      </c>
      <c r="V187" s="16" t="str">
        <f t="shared" ref="V187:V204" si="165">IF($C$9&gt;=$U187,$L45+0.000001-$V$310,"")</f>
        <v/>
      </c>
      <c r="W187" s="16" t="str">
        <f t="shared" ref="W187:W204" si="166">IF($C$9&gt;=$U187,$K45+0.000001-$V$309,"")</f>
        <v/>
      </c>
      <c r="X187" s="16" t="str">
        <f t="shared" si="116"/>
        <v/>
      </c>
      <c r="Y187" s="16" t="str">
        <f t="shared" si="117"/>
        <v/>
      </c>
      <c r="Z187" s="16" t="str">
        <f t="shared" si="118"/>
        <v/>
      </c>
      <c r="AA187" s="16" t="str">
        <f t="shared" ref="AA187:AA204" si="167">IF($C$9&gt;=$U187,$K45-$V$309,"")</f>
        <v/>
      </c>
      <c r="AB187" s="16" t="str">
        <f t="shared" ref="AB187:AB204" si="168">IF($C$9&gt;=$U187,$L45-$V$310,"")</f>
        <v/>
      </c>
      <c r="AC187" s="29" t="str">
        <f t="shared" si="119"/>
        <v/>
      </c>
      <c r="AD187" s="29" t="str">
        <f t="shared" si="120"/>
        <v/>
      </c>
      <c r="AE187" s="2"/>
      <c r="AF187" s="2"/>
      <c r="AG187" s="2"/>
      <c r="AH187" s="2"/>
      <c r="AI187" s="2"/>
      <c r="AJ187" s="2"/>
      <c r="AK187" s="2"/>
      <c r="AL187" s="2"/>
      <c r="AM187" s="2"/>
      <c r="AN187" s="2"/>
      <c r="AO187" s="2"/>
      <c r="AP187" s="2"/>
      <c r="AQ187" s="2"/>
    </row>
    <row r="188" spans="1:43" x14ac:dyDescent="0.25">
      <c r="A188" s="260" t="str">
        <f t="shared" si="147"/>
        <v/>
      </c>
      <c r="B188" s="147" t="str">
        <f t="shared" si="148"/>
        <v/>
      </c>
      <c r="C188" s="148" t="str">
        <f t="shared" si="149"/>
        <v/>
      </c>
      <c r="D188" s="261" t="str">
        <f t="shared" si="150"/>
        <v/>
      </c>
      <c r="E188" s="147" t="str">
        <f t="shared" si="151"/>
        <v/>
      </c>
      <c r="F188" s="148" t="str">
        <f t="shared" si="152"/>
        <v/>
      </c>
      <c r="G188" s="261" t="str">
        <f t="shared" si="153"/>
        <v/>
      </c>
      <c r="H188" s="147" t="str">
        <f t="shared" si="154"/>
        <v/>
      </c>
      <c r="I188" s="148" t="str">
        <f t="shared" si="155"/>
        <v/>
      </c>
      <c r="J188" s="261" t="str">
        <f t="shared" si="156"/>
        <v/>
      </c>
      <c r="K188" s="147" t="str">
        <f t="shared" si="157"/>
        <v/>
      </c>
      <c r="L188" s="148" t="str">
        <f t="shared" si="158"/>
        <v/>
      </c>
      <c r="M188" s="261" t="str">
        <f t="shared" si="159"/>
        <v/>
      </c>
      <c r="N188" s="147" t="str">
        <f t="shared" si="160"/>
        <v/>
      </c>
      <c r="O188" s="148" t="str">
        <f t="shared" si="161"/>
        <v/>
      </c>
      <c r="P188" s="261" t="str">
        <f t="shared" si="162"/>
        <v/>
      </c>
      <c r="Q188" s="147" t="str">
        <f t="shared" si="163"/>
        <v/>
      </c>
      <c r="R188" s="148" t="str">
        <f t="shared" si="164"/>
        <v/>
      </c>
      <c r="S188" s="259"/>
      <c r="T188" s="2"/>
      <c r="U188" s="264">
        <v>184</v>
      </c>
      <c r="V188" s="16" t="str">
        <f t="shared" si="165"/>
        <v/>
      </c>
      <c r="W188" s="16" t="str">
        <f t="shared" si="166"/>
        <v/>
      </c>
      <c r="X188" s="16" t="str">
        <f t="shared" si="116"/>
        <v/>
      </c>
      <c r="Y188" s="16" t="str">
        <f t="shared" si="117"/>
        <v/>
      </c>
      <c r="Z188" s="16" t="str">
        <f t="shared" si="118"/>
        <v/>
      </c>
      <c r="AA188" s="16" t="str">
        <f t="shared" si="167"/>
        <v/>
      </c>
      <c r="AB188" s="16" t="str">
        <f t="shared" si="168"/>
        <v/>
      </c>
      <c r="AC188" s="29" t="str">
        <f t="shared" si="119"/>
        <v/>
      </c>
      <c r="AD188" s="29" t="str">
        <f t="shared" si="120"/>
        <v/>
      </c>
      <c r="AE188" s="2"/>
      <c r="AF188" s="2"/>
      <c r="AG188" s="2"/>
      <c r="AH188" s="2"/>
      <c r="AI188" s="2"/>
      <c r="AJ188" s="2"/>
      <c r="AK188" s="2"/>
      <c r="AL188" s="2"/>
      <c r="AM188" s="2"/>
      <c r="AN188" s="2"/>
      <c r="AO188" s="2"/>
      <c r="AP188" s="2"/>
      <c r="AQ188" s="2"/>
    </row>
    <row r="189" spans="1:43" x14ac:dyDescent="0.25">
      <c r="A189" s="260" t="str">
        <f t="shared" si="147"/>
        <v/>
      </c>
      <c r="B189" s="147" t="str">
        <f t="shared" si="148"/>
        <v/>
      </c>
      <c r="C189" s="148" t="str">
        <f t="shared" si="149"/>
        <v/>
      </c>
      <c r="D189" s="261" t="str">
        <f t="shared" si="150"/>
        <v/>
      </c>
      <c r="E189" s="147" t="str">
        <f t="shared" si="151"/>
        <v/>
      </c>
      <c r="F189" s="148" t="str">
        <f t="shared" si="152"/>
        <v/>
      </c>
      <c r="G189" s="261" t="str">
        <f t="shared" si="153"/>
        <v/>
      </c>
      <c r="H189" s="147" t="str">
        <f t="shared" si="154"/>
        <v/>
      </c>
      <c r="I189" s="148" t="str">
        <f t="shared" si="155"/>
        <v/>
      </c>
      <c r="J189" s="261" t="str">
        <f t="shared" si="156"/>
        <v/>
      </c>
      <c r="K189" s="147" t="str">
        <f t="shared" si="157"/>
        <v/>
      </c>
      <c r="L189" s="148" t="str">
        <f t="shared" si="158"/>
        <v/>
      </c>
      <c r="M189" s="261" t="str">
        <f t="shared" si="159"/>
        <v/>
      </c>
      <c r="N189" s="147" t="str">
        <f t="shared" si="160"/>
        <v/>
      </c>
      <c r="O189" s="148" t="str">
        <f t="shared" si="161"/>
        <v/>
      </c>
      <c r="P189" s="261" t="str">
        <f t="shared" si="162"/>
        <v/>
      </c>
      <c r="Q189" s="147" t="str">
        <f t="shared" si="163"/>
        <v/>
      </c>
      <c r="R189" s="148" t="str">
        <f t="shared" si="164"/>
        <v/>
      </c>
      <c r="S189" s="259"/>
      <c r="T189" s="2"/>
      <c r="U189" s="264">
        <v>185</v>
      </c>
      <c r="V189" s="16" t="str">
        <f t="shared" si="165"/>
        <v/>
      </c>
      <c r="W189" s="16" t="str">
        <f t="shared" si="166"/>
        <v/>
      </c>
      <c r="X189" s="16" t="str">
        <f t="shared" si="116"/>
        <v/>
      </c>
      <c r="Y189" s="16" t="str">
        <f t="shared" si="117"/>
        <v/>
      </c>
      <c r="Z189" s="16" t="str">
        <f t="shared" si="118"/>
        <v/>
      </c>
      <c r="AA189" s="16" t="str">
        <f t="shared" si="167"/>
        <v/>
      </c>
      <c r="AB189" s="16" t="str">
        <f t="shared" si="168"/>
        <v/>
      </c>
      <c r="AC189" s="29" t="str">
        <f t="shared" si="119"/>
        <v/>
      </c>
      <c r="AD189" s="29" t="str">
        <f t="shared" si="120"/>
        <v/>
      </c>
      <c r="AE189" s="2"/>
      <c r="AF189" s="2"/>
      <c r="AG189" s="2"/>
      <c r="AH189" s="2"/>
      <c r="AI189" s="2"/>
      <c r="AJ189" s="2"/>
      <c r="AK189" s="2"/>
      <c r="AL189" s="2"/>
      <c r="AM189" s="2"/>
      <c r="AN189" s="2"/>
      <c r="AO189" s="2"/>
      <c r="AP189" s="2"/>
      <c r="AQ189" s="2"/>
    </row>
    <row r="190" spans="1:43" x14ac:dyDescent="0.25">
      <c r="A190" s="260" t="str">
        <f t="shared" si="147"/>
        <v/>
      </c>
      <c r="B190" s="147" t="str">
        <f t="shared" si="148"/>
        <v/>
      </c>
      <c r="C190" s="148" t="str">
        <f t="shared" si="149"/>
        <v/>
      </c>
      <c r="D190" s="261" t="str">
        <f t="shared" si="150"/>
        <v/>
      </c>
      <c r="E190" s="147" t="str">
        <f t="shared" si="151"/>
        <v/>
      </c>
      <c r="F190" s="148" t="str">
        <f t="shared" si="152"/>
        <v/>
      </c>
      <c r="G190" s="261" t="str">
        <f t="shared" si="153"/>
        <v/>
      </c>
      <c r="H190" s="147" t="str">
        <f t="shared" si="154"/>
        <v/>
      </c>
      <c r="I190" s="148" t="str">
        <f t="shared" si="155"/>
        <v/>
      </c>
      <c r="J190" s="261" t="str">
        <f t="shared" si="156"/>
        <v/>
      </c>
      <c r="K190" s="147" t="str">
        <f t="shared" si="157"/>
        <v/>
      </c>
      <c r="L190" s="148" t="str">
        <f t="shared" si="158"/>
        <v/>
      </c>
      <c r="M190" s="261" t="str">
        <f t="shared" si="159"/>
        <v/>
      </c>
      <c r="N190" s="147" t="str">
        <f t="shared" si="160"/>
        <v/>
      </c>
      <c r="O190" s="148" t="str">
        <f t="shared" si="161"/>
        <v/>
      </c>
      <c r="P190" s="261" t="str">
        <f t="shared" si="162"/>
        <v/>
      </c>
      <c r="Q190" s="147" t="str">
        <f t="shared" si="163"/>
        <v/>
      </c>
      <c r="R190" s="148" t="str">
        <f t="shared" si="164"/>
        <v/>
      </c>
      <c r="S190" s="259"/>
      <c r="T190" s="2"/>
      <c r="U190" s="264">
        <v>186</v>
      </c>
      <c r="V190" s="16" t="str">
        <f t="shared" si="165"/>
        <v/>
      </c>
      <c r="W190" s="16" t="str">
        <f t="shared" si="166"/>
        <v/>
      </c>
      <c r="X190" s="16" t="str">
        <f t="shared" si="116"/>
        <v/>
      </c>
      <c r="Y190" s="16" t="str">
        <f t="shared" si="117"/>
        <v/>
      </c>
      <c r="Z190" s="16" t="str">
        <f t="shared" si="118"/>
        <v/>
      </c>
      <c r="AA190" s="16" t="str">
        <f t="shared" si="167"/>
        <v/>
      </c>
      <c r="AB190" s="16" t="str">
        <f t="shared" si="168"/>
        <v/>
      </c>
      <c r="AC190" s="29" t="str">
        <f t="shared" si="119"/>
        <v/>
      </c>
      <c r="AD190" s="29" t="str">
        <f t="shared" si="120"/>
        <v/>
      </c>
      <c r="AE190" s="2"/>
      <c r="AF190" s="2"/>
      <c r="AG190" s="2"/>
      <c r="AH190" s="2"/>
      <c r="AI190" s="2"/>
      <c r="AJ190" s="2"/>
      <c r="AK190" s="2"/>
      <c r="AL190" s="2"/>
      <c r="AM190" s="2"/>
      <c r="AN190" s="2"/>
      <c r="AO190" s="2"/>
      <c r="AP190" s="2"/>
      <c r="AQ190" s="2"/>
    </row>
    <row r="191" spans="1:43" x14ac:dyDescent="0.25">
      <c r="A191" s="260" t="str">
        <f t="shared" si="147"/>
        <v/>
      </c>
      <c r="B191" s="147" t="str">
        <f t="shared" si="148"/>
        <v/>
      </c>
      <c r="C191" s="148" t="str">
        <f t="shared" si="149"/>
        <v/>
      </c>
      <c r="D191" s="261" t="str">
        <f t="shared" si="150"/>
        <v/>
      </c>
      <c r="E191" s="147" t="str">
        <f t="shared" si="151"/>
        <v/>
      </c>
      <c r="F191" s="148" t="str">
        <f t="shared" si="152"/>
        <v/>
      </c>
      <c r="G191" s="261" t="str">
        <f t="shared" si="153"/>
        <v/>
      </c>
      <c r="H191" s="147" t="str">
        <f t="shared" si="154"/>
        <v/>
      </c>
      <c r="I191" s="148" t="str">
        <f t="shared" si="155"/>
        <v/>
      </c>
      <c r="J191" s="261" t="str">
        <f t="shared" si="156"/>
        <v/>
      </c>
      <c r="K191" s="147" t="str">
        <f t="shared" si="157"/>
        <v/>
      </c>
      <c r="L191" s="148" t="str">
        <f t="shared" si="158"/>
        <v/>
      </c>
      <c r="M191" s="261" t="str">
        <f t="shared" si="159"/>
        <v/>
      </c>
      <c r="N191" s="147" t="str">
        <f t="shared" si="160"/>
        <v/>
      </c>
      <c r="O191" s="148" t="str">
        <f t="shared" si="161"/>
        <v/>
      </c>
      <c r="P191" s="261" t="str">
        <f t="shared" si="162"/>
        <v/>
      </c>
      <c r="Q191" s="147" t="str">
        <f t="shared" si="163"/>
        <v/>
      </c>
      <c r="R191" s="148" t="str">
        <f t="shared" si="164"/>
        <v/>
      </c>
      <c r="S191" s="259"/>
      <c r="T191" s="2"/>
      <c r="U191" s="264">
        <v>187</v>
      </c>
      <c r="V191" s="16" t="str">
        <f t="shared" si="165"/>
        <v/>
      </c>
      <c r="W191" s="16" t="str">
        <f t="shared" si="166"/>
        <v/>
      </c>
      <c r="X191" s="16" t="str">
        <f t="shared" si="116"/>
        <v/>
      </c>
      <c r="Y191" s="16" t="str">
        <f t="shared" si="117"/>
        <v/>
      </c>
      <c r="Z191" s="16" t="str">
        <f t="shared" si="118"/>
        <v/>
      </c>
      <c r="AA191" s="16" t="str">
        <f t="shared" si="167"/>
        <v/>
      </c>
      <c r="AB191" s="16" t="str">
        <f t="shared" si="168"/>
        <v/>
      </c>
      <c r="AC191" s="29" t="str">
        <f t="shared" si="119"/>
        <v/>
      </c>
      <c r="AD191" s="29" t="str">
        <f t="shared" si="120"/>
        <v/>
      </c>
      <c r="AE191" s="2"/>
      <c r="AF191" s="2"/>
      <c r="AG191" s="2"/>
      <c r="AH191" s="2"/>
      <c r="AI191" s="2"/>
      <c r="AJ191" s="2"/>
      <c r="AK191" s="2"/>
      <c r="AL191" s="2"/>
      <c r="AM191" s="2"/>
      <c r="AN191" s="2"/>
      <c r="AO191" s="2"/>
      <c r="AP191" s="2"/>
      <c r="AQ191" s="2"/>
    </row>
    <row r="192" spans="1:43" x14ac:dyDescent="0.25">
      <c r="A192" s="260" t="str">
        <f t="shared" si="147"/>
        <v/>
      </c>
      <c r="B192" s="154" t="str">
        <f t="shared" si="148"/>
        <v/>
      </c>
      <c r="C192" s="155" t="str">
        <f t="shared" si="149"/>
        <v/>
      </c>
      <c r="D192" s="261" t="str">
        <f t="shared" si="150"/>
        <v/>
      </c>
      <c r="E192" s="154" t="str">
        <f t="shared" si="151"/>
        <v/>
      </c>
      <c r="F192" s="155" t="str">
        <f t="shared" si="152"/>
        <v/>
      </c>
      <c r="G192" s="261" t="str">
        <f t="shared" si="153"/>
        <v/>
      </c>
      <c r="H192" s="154" t="str">
        <f t="shared" si="154"/>
        <v/>
      </c>
      <c r="I192" s="155" t="str">
        <f t="shared" si="155"/>
        <v/>
      </c>
      <c r="J192" s="261" t="str">
        <f t="shared" si="156"/>
        <v/>
      </c>
      <c r="K192" s="154" t="str">
        <f t="shared" si="157"/>
        <v/>
      </c>
      <c r="L192" s="155" t="str">
        <f t="shared" si="158"/>
        <v/>
      </c>
      <c r="M192" s="261" t="str">
        <f t="shared" si="159"/>
        <v/>
      </c>
      <c r="N192" s="154" t="str">
        <f t="shared" si="160"/>
        <v/>
      </c>
      <c r="O192" s="155" t="str">
        <f t="shared" si="161"/>
        <v/>
      </c>
      <c r="P192" s="261" t="str">
        <f t="shared" si="162"/>
        <v/>
      </c>
      <c r="Q192" s="154" t="str">
        <f t="shared" si="163"/>
        <v/>
      </c>
      <c r="R192" s="155" t="str">
        <f t="shared" si="164"/>
        <v/>
      </c>
      <c r="S192" s="259"/>
      <c r="T192" s="2"/>
      <c r="U192" s="264">
        <v>188</v>
      </c>
      <c r="V192" s="16" t="str">
        <f t="shared" si="165"/>
        <v/>
      </c>
      <c r="W192" s="16" t="str">
        <f t="shared" si="166"/>
        <v/>
      </c>
      <c r="X192" s="16" t="str">
        <f t="shared" si="116"/>
        <v/>
      </c>
      <c r="Y192" s="16" t="str">
        <f t="shared" si="117"/>
        <v/>
      </c>
      <c r="Z192" s="16" t="str">
        <f t="shared" si="118"/>
        <v/>
      </c>
      <c r="AA192" s="16" t="str">
        <f t="shared" si="167"/>
        <v/>
      </c>
      <c r="AB192" s="16" t="str">
        <f t="shared" si="168"/>
        <v/>
      </c>
      <c r="AC192" s="29" t="str">
        <f t="shared" si="119"/>
        <v/>
      </c>
      <c r="AD192" s="29" t="str">
        <f t="shared" si="120"/>
        <v/>
      </c>
      <c r="AE192" s="2"/>
      <c r="AF192" s="2"/>
      <c r="AG192" s="2"/>
      <c r="AH192" s="2"/>
      <c r="AI192" s="2"/>
      <c r="AJ192" s="2"/>
      <c r="AK192" s="2"/>
      <c r="AL192" s="2"/>
      <c r="AM192" s="2"/>
      <c r="AN192" s="2"/>
      <c r="AO192" s="2"/>
      <c r="AP192" s="2"/>
      <c r="AQ192" s="2"/>
    </row>
    <row r="193" spans="1:43" x14ac:dyDescent="0.25">
      <c r="A193" s="48"/>
      <c r="B193" s="54"/>
      <c r="C193" s="54"/>
      <c r="D193" s="54"/>
      <c r="E193" s="54"/>
      <c r="F193" s="54"/>
      <c r="G193" s="54"/>
      <c r="H193" s="54"/>
      <c r="I193" s="54"/>
      <c r="J193" s="2"/>
      <c r="K193" s="2"/>
      <c r="L193" s="2"/>
      <c r="M193" s="2"/>
      <c r="N193" s="2"/>
      <c r="O193" s="2"/>
      <c r="P193" s="2"/>
      <c r="Q193" s="2"/>
      <c r="R193" s="2"/>
      <c r="S193" s="259"/>
      <c r="T193" s="2"/>
      <c r="U193" s="264">
        <v>189</v>
      </c>
      <c r="V193" s="16" t="str">
        <f t="shared" si="165"/>
        <v/>
      </c>
      <c r="W193" s="16" t="str">
        <f t="shared" si="166"/>
        <v/>
      </c>
      <c r="X193" s="16" t="str">
        <f t="shared" si="116"/>
        <v/>
      </c>
      <c r="Y193" s="16" t="str">
        <f t="shared" si="117"/>
        <v/>
      </c>
      <c r="Z193" s="16" t="str">
        <f t="shared" si="118"/>
        <v/>
      </c>
      <c r="AA193" s="16" t="str">
        <f t="shared" si="167"/>
        <v/>
      </c>
      <c r="AB193" s="16" t="str">
        <f t="shared" si="168"/>
        <v/>
      </c>
      <c r="AC193" s="29" t="str">
        <f t="shared" si="119"/>
        <v/>
      </c>
      <c r="AD193" s="29" t="str">
        <f t="shared" si="120"/>
        <v/>
      </c>
      <c r="AE193" s="2"/>
      <c r="AF193" s="2"/>
      <c r="AG193" s="2"/>
      <c r="AH193" s="2"/>
      <c r="AI193" s="2"/>
      <c r="AJ193" s="2"/>
      <c r="AK193" s="2"/>
      <c r="AL193" s="2"/>
      <c r="AM193" s="2"/>
      <c r="AN193" s="2"/>
      <c r="AO193" s="2"/>
      <c r="AP193" s="2"/>
      <c r="AQ193" s="2"/>
    </row>
    <row r="194" spans="1:43" x14ac:dyDescent="0.25">
      <c r="A194" s="48"/>
      <c r="B194" s="54"/>
      <c r="C194" s="54"/>
      <c r="D194" s="54"/>
      <c r="E194" s="54"/>
      <c r="F194" s="54"/>
      <c r="G194" s="54"/>
      <c r="H194" s="54"/>
      <c r="I194" s="54"/>
      <c r="J194" s="2"/>
      <c r="K194" s="2"/>
      <c r="L194" s="2"/>
      <c r="M194" s="2"/>
      <c r="N194" s="2"/>
      <c r="O194" s="2"/>
      <c r="P194" s="2"/>
      <c r="Q194" s="2"/>
      <c r="R194" s="2"/>
      <c r="S194" s="259"/>
      <c r="T194" s="2"/>
      <c r="U194" s="264">
        <v>190</v>
      </c>
      <c r="V194" s="16" t="str">
        <f t="shared" si="165"/>
        <v/>
      </c>
      <c r="W194" s="16" t="str">
        <f t="shared" si="166"/>
        <v/>
      </c>
      <c r="X194" s="16" t="str">
        <f t="shared" si="116"/>
        <v/>
      </c>
      <c r="Y194" s="16" t="str">
        <f t="shared" si="117"/>
        <v/>
      </c>
      <c r="Z194" s="16" t="str">
        <f t="shared" si="118"/>
        <v/>
      </c>
      <c r="AA194" s="16" t="str">
        <f t="shared" si="167"/>
        <v/>
      </c>
      <c r="AB194" s="16" t="str">
        <f t="shared" si="168"/>
        <v/>
      </c>
      <c r="AC194" s="29" t="str">
        <f t="shared" si="119"/>
        <v/>
      </c>
      <c r="AD194" s="29" t="str">
        <f t="shared" si="120"/>
        <v/>
      </c>
      <c r="AE194" s="2"/>
      <c r="AF194" s="2"/>
      <c r="AG194" s="2"/>
      <c r="AH194" s="2"/>
      <c r="AI194" s="2"/>
      <c r="AJ194" s="2"/>
      <c r="AK194" s="2"/>
      <c r="AL194" s="2"/>
      <c r="AM194" s="2"/>
      <c r="AN194" s="2"/>
      <c r="AO194" s="2"/>
      <c r="AP194" s="2"/>
      <c r="AQ194" s="2"/>
    </row>
    <row r="195" spans="1:43" x14ac:dyDescent="0.25">
      <c r="A195" s="48"/>
      <c r="B195" s="54"/>
      <c r="C195" s="54"/>
      <c r="D195" s="54"/>
      <c r="E195" s="54"/>
      <c r="F195" s="54"/>
      <c r="G195" s="54"/>
      <c r="H195" s="54"/>
      <c r="I195" s="54"/>
      <c r="J195" s="2"/>
      <c r="K195" s="2"/>
      <c r="L195" s="2"/>
      <c r="M195" s="2"/>
      <c r="N195" s="2"/>
      <c r="O195" s="2"/>
      <c r="P195" s="2"/>
      <c r="Q195" s="2"/>
      <c r="R195" s="2"/>
      <c r="S195" s="259"/>
      <c r="T195" s="2"/>
      <c r="U195" s="264">
        <v>191</v>
      </c>
      <c r="V195" s="16" t="str">
        <f t="shared" si="165"/>
        <v/>
      </c>
      <c r="W195" s="16" t="str">
        <f t="shared" si="166"/>
        <v/>
      </c>
      <c r="X195" s="16" t="str">
        <f t="shared" si="116"/>
        <v/>
      </c>
      <c r="Y195" s="16" t="str">
        <f t="shared" si="117"/>
        <v/>
      </c>
      <c r="Z195" s="16" t="str">
        <f t="shared" si="118"/>
        <v/>
      </c>
      <c r="AA195" s="16" t="str">
        <f t="shared" si="167"/>
        <v/>
      </c>
      <c r="AB195" s="16" t="str">
        <f t="shared" si="168"/>
        <v/>
      </c>
      <c r="AC195" s="29" t="str">
        <f t="shared" si="119"/>
        <v/>
      </c>
      <c r="AD195" s="29" t="str">
        <f t="shared" si="120"/>
        <v/>
      </c>
      <c r="AE195" s="2"/>
      <c r="AF195" s="2"/>
      <c r="AG195" s="2"/>
      <c r="AH195" s="2"/>
      <c r="AI195" s="2"/>
      <c r="AJ195" s="2"/>
      <c r="AK195" s="2"/>
      <c r="AL195" s="2"/>
      <c r="AM195" s="2"/>
      <c r="AN195" s="2"/>
      <c r="AO195" s="2"/>
      <c r="AP195" s="2"/>
      <c r="AQ195" s="2"/>
    </row>
    <row r="196" spans="1:43" x14ac:dyDescent="0.25">
      <c r="A196" s="48"/>
      <c r="B196" s="54"/>
      <c r="C196" s="54"/>
      <c r="D196" s="54"/>
      <c r="E196" s="54"/>
      <c r="F196" s="54"/>
      <c r="G196" s="54"/>
      <c r="H196" s="54"/>
      <c r="I196" s="54"/>
      <c r="J196" s="2"/>
      <c r="K196" s="2"/>
      <c r="L196" s="2"/>
      <c r="M196" s="2"/>
      <c r="N196" s="2"/>
      <c r="O196" s="2"/>
      <c r="P196" s="2"/>
      <c r="Q196" s="2"/>
      <c r="R196" s="2"/>
      <c r="S196" s="259"/>
      <c r="T196" s="2"/>
      <c r="U196" s="264">
        <v>192</v>
      </c>
      <c r="V196" s="16" t="str">
        <f t="shared" si="165"/>
        <v/>
      </c>
      <c r="W196" s="16" t="str">
        <f t="shared" si="166"/>
        <v/>
      </c>
      <c r="X196" s="16" t="str">
        <f t="shared" si="116"/>
        <v/>
      </c>
      <c r="Y196" s="16" t="str">
        <f t="shared" si="117"/>
        <v/>
      </c>
      <c r="Z196" s="16" t="str">
        <f t="shared" si="118"/>
        <v/>
      </c>
      <c r="AA196" s="16" t="str">
        <f t="shared" si="167"/>
        <v/>
      </c>
      <c r="AB196" s="16" t="str">
        <f t="shared" si="168"/>
        <v/>
      </c>
      <c r="AC196" s="29" t="str">
        <f t="shared" si="119"/>
        <v/>
      </c>
      <c r="AD196" s="29" t="str">
        <f t="shared" si="120"/>
        <v/>
      </c>
      <c r="AE196" s="2"/>
      <c r="AF196" s="2"/>
      <c r="AG196" s="2"/>
      <c r="AH196" s="2"/>
      <c r="AI196" s="2"/>
      <c r="AJ196" s="2"/>
      <c r="AK196" s="2"/>
      <c r="AL196" s="2"/>
      <c r="AM196" s="2"/>
      <c r="AN196" s="2"/>
      <c r="AO196" s="2"/>
      <c r="AP196" s="2"/>
      <c r="AQ196" s="2"/>
    </row>
    <row r="197" spans="1:43" x14ac:dyDescent="0.25">
      <c r="A197" s="48"/>
      <c r="B197" s="54"/>
      <c r="C197" s="54"/>
      <c r="D197" s="54"/>
      <c r="E197" s="54"/>
      <c r="F197" s="54"/>
      <c r="G197" s="54"/>
      <c r="H197" s="54"/>
      <c r="I197" s="54"/>
      <c r="J197" s="2"/>
      <c r="K197" s="2"/>
      <c r="L197" s="2"/>
      <c r="M197" s="2"/>
      <c r="N197" s="2"/>
      <c r="O197" s="2"/>
      <c r="P197" s="2"/>
      <c r="Q197" s="2"/>
      <c r="R197" s="2"/>
      <c r="S197" s="259"/>
      <c r="T197" s="2"/>
      <c r="U197" s="264">
        <v>193</v>
      </c>
      <c r="V197" s="16" t="str">
        <f t="shared" si="165"/>
        <v/>
      </c>
      <c r="W197" s="16" t="str">
        <f t="shared" si="166"/>
        <v/>
      </c>
      <c r="X197" s="16" t="str">
        <f t="shared" ref="X197:X260" si="169">IF($C$9&gt;=$U197,$V197^2,"")</f>
        <v/>
      </c>
      <c r="Y197" s="16" t="str">
        <f t="shared" ref="Y197:Y260" si="170">IF($C$9&gt;=$U197,$W197^2,"")</f>
        <v/>
      </c>
      <c r="Z197" s="16" t="str">
        <f t="shared" ref="Z197:Z260" si="171">IF($C$9&gt;=$U197,$V197*$W197,"")</f>
        <v/>
      </c>
      <c r="AA197" s="16" t="str">
        <f t="shared" si="167"/>
        <v/>
      </c>
      <c r="AB197" s="16" t="str">
        <f t="shared" si="168"/>
        <v/>
      </c>
      <c r="AC197" s="29" t="str">
        <f t="shared" ref="AC197:AC260" si="172">IF($C$9&gt;=$U197,(-$Z$318/$C$9+($Z$322*$V$311--$Z$321*$V$314)/($V$311*$V$312-$V$314^2)*$AA197+(-$Z$321*$V$312-$Z$322*$V$314)/($V$311*$V$312-$V$314^2)*$AB197),"")</f>
        <v/>
      </c>
      <c r="AD197" s="29" t="str">
        <f t="shared" ref="AD197:AD260" si="173">IF($C$9&gt;=$U197,((($Z$319/$C$9+$Z$323*-$AB197/$V$313)^2+($Z$320/$C$9+$Z$323*$AA197/$V$313)^2)^(1/2)),"")</f>
        <v/>
      </c>
      <c r="AE197" s="2"/>
      <c r="AF197" s="2"/>
      <c r="AG197" s="2"/>
      <c r="AH197" s="2"/>
      <c r="AI197" s="2"/>
      <c r="AJ197" s="2"/>
      <c r="AK197" s="2"/>
      <c r="AL197" s="2"/>
      <c r="AM197" s="2"/>
      <c r="AN197" s="2"/>
      <c r="AO197" s="2"/>
      <c r="AP197" s="2"/>
      <c r="AQ197" s="2"/>
    </row>
    <row r="198" spans="1:43" x14ac:dyDescent="0.25">
      <c r="A198" s="48"/>
      <c r="B198" s="54"/>
      <c r="C198" s="54"/>
      <c r="D198" s="54"/>
      <c r="E198" s="54"/>
      <c r="F198" s="54"/>
      <c r="G198" s="54"/>
      <c r="H198" s="54"/>
      <c r="I198" s="54"/>
      <c r="J198" s="2"/>
      <c r="K198" s="2"/>
      <c r="L198" s="2"/>
      <c r="M198" s="2"/>
      <c r="N198" s="2"/>
      <c r="O198" s="2"/>
      <c r="P198" s="2"/>
      <c r="Q198" s="2"/>
      <c r="R198" s="2"/>
      <c r="S198" s="259"/>
      <c r="T198" s="2"/>
      <c r="U198" s="264">
        <v>194</v>
      </c>
      <c r="V198" s="16" t="str">
        <f t="shared" si="165"/>
        <v/>
      </c>
      <c r="W198" s="16" t="str">
        <f t="shared" si="166"/>
        <v/>
      </c>
      <c r="X198" s="16" t="str">
        <f t="shared" si="169"/>
        <v/>
      </c>
      <c r="Y198" s="16" t="str">
        <f t="shared" si="170"/>
        <v/>
      </c>
      <c r="Z198" s="16" t="str">
        <f t="shared" si="171"/>
        <v/>
      </c>
      <c r="AA198" s="16" t="str">
        <f t="shared" si="167"/>
        <v/>
      </c>
      <c r="AB198" s="16" t="str">
        <f t="shared" si="168"/>
        <v/>
      </c>
      <c r="AC198" s="29" t="str">
        <f t="shared" si="172"/>
        <v/>
      </c>
      <c r="AD198" s="29" t="str">
        <f t="shared" si="173"/>
        <v/>
      </c>
      <c r="AE198" s="2"/>
      <c r="AF198" s="2"/>
      <c r="AG198" s="2"/>
      <c r="AH198" s="2"/>
      <c r="AI198" s="2"/>
      <c r="AJ198" s="2"/>
      <c r="AK198" s="2"/>
      <c r="AL198" s="2"/>
      <c r="AM198" s="2"/>
      <c r="AN198" s="2"/>
      <c r="AO198" s="2"/>
      <c r="AP198" s="2"/>
      <c r="AQ198" s="2"/>
    </row>
    <row r="199" spans="1:43" x14ac:dyDescent="0.25">
      <c r="A199" s="48"/>
      <c r="B199" s="54"/>
      <c r="C199" s="54"/>
      <c r="D199" s="54"/>
      <c r="E199" s="54"/>
      <c r="F199" s="54"/>
      <c r="G199" s="54"/>
      <c r="H199" s="54"/>
      <c r="I199" s="54"/>
      <c r="J199" s="2"/>
      <c r="K199" s="2"/>
      <c r="L199" s="2"/>
      <c r="M199" s="2"/>
      <c r="N199" s="2"/>
      <c r="O199" s="2"/>
      <c r="P199" s="2"/>
      <c r="Q199" s="2"/>
      <c r="R199" s="2"/>
      <c r="S199" s="259"/>
      <c r="T199" s="2"/>
      <c r="U199" s="264">
        <v>195</v>
      </c>
      <c r="V199" s="16" t="str">
        <f t="shared" si="165"/>
        <v/>
      </c>
      <c r="W199" s="16" t="str">
        <f t="shared" si="166"/>
        <v/>
      </c>
      <c r="X199" s="16" t="str">
        <f t="shared" si="169"/>
        <v/>
      </c>
      <c r="Y199" s="16" t="str">
        <f t="shared" si="170"/>
        <v/>
      </c>
      <c r="Z199" s="16" t="str">
        <f t="shared" si="171"/>
        <v/>
      </c>
      <c r="AA199" s="16" t="str">
        <f t="shared" si="167"/>
        <v/>
      </c>
      <c r="AB199" s="16" t="str">
        <f t="shared" si="168"/>
        <v/>
      </c>
      <c r="AC199" s="29" t="str">
        <f t="shared" si="172"/>
        <v/>
      </c>
      <c r="AD199" s="29" t="str">
        <f t="shared" si="173"/>
        <v/>
      </c>
      <c r="AE199" s="2"/>
      <c r="AF199" s="2"/>
      <c r="AG199" s="2"/>
      <c r="AH199" s="2"/>
      <c r="AI199" s="2"/>
      <c r="AJ199" s="2"/>
      <c r="AK199" s="2"/>
      <c r="AL199" s="2"/>
      <c r="AM199" s="2"/>
      <c r="AN199" s="2"/>
      <c r="AO199" s="2"/>
      <c r="AP199" s="2"/>
      <c r="AQ199" s="2"/>
    </row>
    <row r="200" spans="1:43" x14ac:dyDescent="0.25">
      <c r="A200" s="79"/>
      <c r="B200" s="106"/>
      <c r="C200" s="106"/>
      <c r="D200" s="106"/>
      <c r="E200" s="106"/>
      <c r="F200" s="106"/>
      <c r="G200" s="106"/>
      <c r="H200" s="106"/>
      <c r="I200" s="106"/>
      <c r="J200" s="273"/>
      <c r="K200" s="273"/>
      <c r="L200" s="273"/>
      <c r="M200" s="273"/>
      <c r="N200" s="273"/>
      <c r="O200" s="273"/>
      <c r="P200" s="273"/>
      <c r="Q200" s="273"/>
      <c r="R200" s="273"/>
      <c r="S200" s="274"/>
      <c r="T200" s="2"/>
      <c r="U200" s="264">
        <v>196</v>
      </c>
      <c r="V200" s="16" t="str">
        <f t="shared" si="165"/>
        <v/>
      </c>
      <c r="W200" s="16" t="str">
        <f t="shared" si="166"/>
        <v/>
      </c>
      <c r="X200" s="16" t="str">
        <f t="shared" si="169"/>
        <v/>
      </c>
      <c r="Y200" s="16" t="str">
        <f t="shared" si="170"/>
        <v/>
      </c>
      <c r="Z200" s="16" t="str">
        <f t="shared" si="171"/>
        <v/>
      </c>
      <c r="AA200" s="16" t="str">
        <f t="shared" si="167"/>
        <v/>
      </c>
      <c r="AB200" s="16" t="str">
        <f t="shared" si="168"/>
        <v/>
      </c>
      <c r="AC200" s="29" t="str">
        <f t="shared" si="172"/>
        <v/>
      </c>
      <c r="AD200" s="29" t="str">
        <f t="shared" si="173"/>
        <v/>
      </c>
      <c r="AE200" s="2"/>
      <c r="AF200" s="2"/>
      <c r="AG200" s="2"/>
      <c r="AH200" s="2"/>
      <c r="AI200" s="2"/>
      <c r="AJ200" s="2"/>
      <c r="AK200" s="2"/>
      <c r="AL200" s="2"/>
      <c r="AM200" s="2"/>
      <c r="AN200" s="2"/>
      <c r="AO200" s="2"/>
      <c r="AP200" s="2"/>
      <c r="AQ200" s="2"/>
    </row>
    <row r="201" spans="1:43" x14ac:dyDescent="0.25">
      <c r="D201" s="54"/>
      <c r="E201" s="54"/>
      <c r="F201" s="54"/>
      <c r="G201" s="54"/>
      <c r="H201" s="54"/>
      <c r="I201" s="54"/>
      <c r="J201" s="2"/>
      <c r="K201" s="2"/>
      <c r="L201" s="2"/>
      <c r="M201" s="2"/>
      <c r="N201" s="2"/>
      <c r="O201" s="2"/>
      <c r="P201" s="2"/>
      <c r="Q201" s="2"/>
      <c r="R201" s="2"/>
      <c r="S201" s="2"/>
      <c r="T201" s="2"/>
      <c r="U201" s="264">
        <v>197</v>
      </c>
      <c r="V201" s="16" t="str">
        <f t="shared" si="165"/>
        <v/>
      </c>
      <c r="W201" s="16" t="str">
        <f t="shared" si="166"/>
        <v/>
      </c>
      <c r="X201" s="16" t="str">
        <f t="shared" si="169"/>
        <v/>
      </c>
      <c r="Y201" s="16" t="str">
        <f t="shared" si="170"/>
        <v/>
      </c>
      <c r="Z201" s="16" t="str">
        <f t="shared" si="171"/>
        <v/>
      </c>
      <c r="AA201" s="16" t="str">
        <f t="shared" si="167"/>
        <v/>
      </c>
      <c r="AB201" s="16" t="str">
        <f t="shared" si="168"/>
        <v/>
      </c>
      <c r="AC201" s="29" t="str">
        <f t="shared" si="172"/>
        <v/>
      </c>
      <c r="AD201" s="29" t="str">
        <f t="shared" si="173"/>
        <v/>
      </c>
      <c r="AE201" s="2"/>
      <c r="AF201" s="2"/>
      <c r="AG201" s="2"/>
      <c r="AH201" s="2"/>
      <c r="AI201" s="2"/>
      <c r="AJ201" s="2"/>
      <c r="AK201" s="2"/>
      <c r="AL201" s="2"/>
      <c r="AM201" s="2"/>
      <c r="AN201" s="2"/>
      <c r="AO201" s="2"/>
      <c r="AP201" s="2"/>
      <c r="AQ201" s="2"/>
    </row>
    <row r="202" spans="1:43" x14ac:dyDescent="0.25">
      <c r="D202" s="54"/>
      <c r="E202" s="54"/>
      <c r="F202" s="54"/>
      <c r="G202" s="54"/>
      <c r="H202" s="54"/>
      <c r="I202" s="54"/>
      <c r="J202" s="2"/>
      <c r="K202" s="2"/>
      <c r="L202" s="2"/>
      <c r="M202" s="2"/>
      <c r="N202" s="2"/>
      <c r="O202" s="2"/>
      <c r="P202" s="2"/>
      <c r="Q202" s="2"/>
      <c r="R202" s="2"/>
      <c r="S202" s="2"/>
      <c r="T202" s="2"/>
      <c r="U202" s="264">
        <v>198</v>
      </c>
      <c r="V202" s="16" t="str">
        <f t="shared" si="165"/>
        <v/>
      </c>
      <c r="W202" s="16" t="str">
        <f t="shared" si="166"/>
        <v/>
      </c>
      <c r="X202" s="16" t="str">
        <f t="shared" si="169"/>
        <v/>
      </c>
      <c r="Y202" s="16" t="str">
        <f t="shared" si="170"/>
        <v/>
      </c>
      <c r="Z202" s="16" t="str">
        <f t="shared" si="171"/>
        <v/>
      </c>
      <c r="AA202" s="16" t="str">
        <f t="shared" si="167"/>
        <v/>
      </c>
      <c r="AB202" s="16" t="str">
        <f t="shared" si="168"/>
        <v/>
      </c>
      <c r="AC202" s="29" t="str">
        <f t="shared" si="172"/>
        <v/>
      </c>
      <c r="AD202" s="29" t="str">
        <f t="shared" si="173"/>
        <v/>
      </c>
      <c r="AE202" s="2"/>
      <c r="AF202" s="2"/>
      <c r="AG202" s="2"/>
      <c r="AH202" s="2"/>
      <c r="AI202" s="2"/>
      <c r="AJ202" s="2"/>
      <c r="AK202" s="2"/>
      <c r="AL202" s="2"/>
      <c r="AM202" s="2"/>
      <c r="AN202" s="2"/>
      <c r="AO202" s="2"/>
      <c r="AP202" s="2"/>
      <c r="AQ202" s="2"/>
    </row>
    <row r="203" spans="1:43" x14ac:dyDescent="0.25">
      <c r="D203" s="54"/>
      <c r="E203" s="54"/>
      <c r="F203" s="54"/>
      <c r="G203" s="54"/>
      <c r="H203" s="54"/>
      <c r="I203" s="54"/>
      <c r="J203" s="2"/>
      <c r="K203" s="2"/>
      <c r="L203" s="2"/>
      <c r="M203" s="2"/>
      <c r="N203" s="2"/>
      <c r="O203" s="2"/>
      <c r="P203" s="2"/>
      <c r="Q203" s="2"/>
      <c r="R203" s="2"/>
      <c r="S203" s="2"/>
      <c r="T203" s="2"/>
      <c r="U203" s="264">
        <v>199</v>
      </c>
      <c r="V203" s="16" t="str">
        <f t="shared" si="165"/>
        <v/>
      </c>
      <c r="W203" s="16" t="str">
        <f t="shared" si="166"/>
        <v/>
      </c>
      <c r="X203" s="16" t="str">
        <f t="shared" si="169"/>
        <v/>
      </c>
      <c r="Y203" s="16" t="str">
        <f t="shared" si="170"/>
        <v/>
      </c>
      <c r="Z203" s="16" t="str">
        <f t="shared" si="171"/>
        <v/>
      </c>
      <c r="AA203" s="16" t="str">
        <f t="shared" si="167"/>
        <v/>
      </c>
      <c r="AB203" s="16" t="str">
        <f t="shared" si="168"/>
        <v/>
      </c>
      <c r="AC203" s="29" t="str">
        <f t="shared" si="172"/>
        <v/>
      </c>
      <c r="AD203" s="29" t="str">
        <f t="shared" si="173"/>
        <v/>
      </c>
      <c r="AE203" s="2"/>
      <c r="AF203" s="2"/>
      <c r="AG203" s="2"/>
      <c r="AH203" s="2"/>
      <c r="AI203" s="2"/>
      <c r="AJ203" s="2"/>
      <c r="AK203" s="2"/>
      <c r="AL203" s="2"/>
      <c r="AM203" s="2"/>
      <c r="AN203" s="2"/>
      <c r="AO203" s="2"/>
      <c r="AP203" s="2"/>
      <c r="AQ203" s="2"/>
    </row>
    <row r="204" spans="1:43" x14ac:dyDescent="0.25">
      <c r="D204" s="54"/>
      <c r="E204" s="54"/>
      <c r="F204" s="54"/>
      <c r="G204" s="54"/>
      <c r="H204" s="54"/>
      <c r="I204" s="54"/>
      <c r="J204" s="2"/>
      <c r="K204" s="2"/>
      <c r="L204" s="2"/>
      <c r="M204" s="2"/>
      <c r="N204" s="2"/>
      <c r="O204" s="2"/>
      <c r="P204" s="2"/>
      <c r="Q204" s="2"/>
      <c r="R204" s="2"/>
      <c r="S204" s="2"/>
      <c r="T204" s="2"/>
      <c r="U204" s="264">
        <v>200</v>
      </c>
      <c r="V204" s="16" t="str">
        <f t="shared" si="165"/>
        <v/>
      </c>
      <c r="W204" s="16" t="str">
        <f t="shared" si="166"/>
        <v/>
      </c>
      <c r="X204" s="16" t="str">
        <f t="shared" si="169"/>
        <v/>
      </c>
      <c r="Y204" s="16" t="str">
        <f t="shared" si="170"/>
        <v/>
      </c>
      <c r="Z204" s="16" t="str">
        <f t="shared" si="171"/>
        <v/>
      </c>
      <c r="AA204" s="16" t="str">
        <f t="shared" si="167"/>
        <v/>
      </c>
      <c r="AB204" s="16" t="str">
        <f t="shared" si="168"/>
        <v/>
      </c>
      <c r="AC204" s="29" t="str">
        <f t="shared" si="172"/>
        <v/>
      </c>
      <c r="AD204" s="29" t="str">
        <f t="shared" si="173"/>
        <v/>
      </c>
      <c r="AE204" s="2"/>
      <c r="AF204" s="2"/>
      <c r="AG204" s="2"/>
      <c r="AH204" s="2"/>
      <c r="AI204" s="2"/>
      <c r="AJ204" s="2"/>
      <c r="AK204" s="2"/>
      <c r="AL204" s="2"/>
      <c r="AM204" s="2"/>
      <c r="AN204" s="2"/>
      <c r="AO204" s="2"/>
      <c r="AP204" s="2"/>
      <c r="AQ204" s="2"/>
    </row>
    <row r="205" spans="1:43" x14ac:dyDescent="0.25">
      <c r="D205" s="54"/>
      <c r="E205" s="54"/>
      <c r="F205" s="54"/>
      <c r="G205" s="54"/>
      <c r="H205" s="54"/>
      <c r="I205" s="54"/>
      <c r="J205" s="2"/>
      <c r="K205" s="2"/>
      <c r="L205" s="2"/>
      <c r="M205" s="2"/>
      <c r="N205" s="2"/>
      <c r="O205" s="2"/>
      <c r="P205" s="2"/>
      <c r="Q205" s="2"/>
      <c r="R205" s="2"/>
      <c r="S205" s="2"/>
      <c r="T205" s="2"/>
      <c r="U205" s="264">
        <v>201</v>
      </c>
      <c r="V205" s="16" t="str">
        <f t="shared" ref="V205:V236" si="174">IF($C$9&gt;=$U205,$O13+0.000001-$V$310,"")</f>
        <v/>
      </c>
      <c r="W205" s="16" t="str">
        <f t="shared" ref="W205:W236" si="175">IF($C$9&gt;=$U205,$N13+0.000001-$V$309,"")</f>
        <v/>
      </c>
      <c r="X205" s="16" t="str">
        <f t="shared" si="169"/>
        <v/>
      </c>
      <c r="Y205" s="16" t="str">
        <f t="shared" si="170"/>
        <v/>
      </c>
      <c r="Z205" s="16" t="str">
        <f t="shared" si="171"/>
        <v/>
      </c>
      <c r="AA205" s="16" t="str">
        <f t="shared" ref="AA205:AA236" si="176">IF($C$9&gt;=$U205,$N13-$V$309,"")</f>
        <v/>
      </c>
      <c r="AB205" s="16" t="str">
        <f t="shared" ref="AB205:AB236" si="177">IF($C$9&gt;=$U205,$O13-$V$310,"")</f>
        <v/>
      </c>
      <c r="AC205" s="29" t="str">
        <f t="shared" si="172"/>
        <v/>
      </c>
      <c r="AD205" s="29" t="str">
        <f t="shared" si="173"/>
        <v/>
      </c>
      <c r="AE205" s="2"/>
      <c r="AF205" s="2"/>
      <c r="AG205" s="2"/>
      <c r="AH205" s="2"/>
      <c r="AI205" s="2"/>
      <c r="AJ205" s="2"/>
      <c r="AK205" s="2"/>
      <c r="AL205" s="2"/>
      <c r="AM205" s="2"/>
      <c r="AN205" s="2"/>
      <c r="AO205" s="2"/>
      <c r="AP205" s="2"/>
      <c r="AQ205" s="2"/>
    </row>
    <row r="206" spans="1:43" x14ac:dyDescent="0.25">
      <c r="D206" s="54"/>
      <c r="E206" s="54"/>
      <c r="F206" s="54"/>
      <c r="G206" s="54"/>
      <c r="H206" s="54"/>
      <c r="I206" s="54"/>
      <c r="J206" s="2"/>
      <c r="K206" s="2"/>
      <c r="L206" s="2"/>
      <c r="M206" s="2"/>
      <c r="N206" s="2"/>
      <c r="O206" s="2"/>
      <c r="P206" s="2"/>
      <c r="Q206" s="2"/>
      <c r="R206" s="2"/>
      <c r="S206" s="2"/>
      <c r="T206" s="2"/>
      <c r="U206" s="264">
        <v>202</v>
      </c>
      <c r="V206" s="16" t="str">
        <f t="shared" si="174"/>
        <v/>
      </c>
      <c r="W206" s="16" t="str">
        <f t="shared" si="175"/>
        <v/>
      </c>
      <c r="X206" s="16" t="str">
        <f t="shared" si="169"/>
        <v/>
      </c>
      <c r="Y206" s="16" t="str">
        <f t="shared" si="170"/>
        <v/>
      </c>
      <c r="Z206" s="16" t="str">
        <f t="shared" si="171"/>
        <v/>
      </c>
      <c r="AA206" s="16" t="str">
        <f t="shared" si="176"/>
        <v/>
      </c>
      <c r="AB206" s="16" t="str">
        <f t="shared" si="177"/>
        <v/>
      </c>
      <c r="AC206" s="29" t="str">
        <f t="shared" si="172"/>
        <v/>
      </c>
      <c r="AD206" s="29" t="str">
        <f t="shared" si="173"/>
        <v/>
      </c>
      <c r="AE206" s="2"/>
      <c r="AF206" s="2"/>
      <c r="AG206" s="2"/>
      <c r="AH206" s="2"/>
      <c r="AI206" s="2"/>
      <c r="AJ206" s="2"/>
      <c r="AK206" s="2"/>
      <c r="AL206" s="2"/>
      <c r="AM206" s="2"/>
      <c r="AN206" s="2"/>
      <c r="AO206" s="2"/>
      <c r="AP206" s="2"/>
      <c r="AQ206" s="2"/>
    </row>
    <row r="207" spans="1:43" x14ac:dyDescent="0.25">
      <c r="D207" s="54"/>
      <c r="E207" s="54"/>
      <c r="F207" s="54"/>
      <c r="G207" s="54"/>
      <c r="H207" s="54"/>
      <c r="I207" s="54"/>
      <c r="J207" s="2"/>
      <c r="K207" s="2"/>
      <c r="L207" s="2"/>
      <c r="M207" s="2"/>
      <c r="N207" s="2"/>
      <c r="O207" s="2"/>
      <c r="P207" s="2"/>
      <c r="Q207" s="2"/>
      <c r="R207" s="2"/>
      <c r="S207" s="2"/>
      <c r="T207" s="2"/>
      <c r="U207" s="264">
        <v>203</v>
      </c>
      <c r="V207" s="16" t="str">
        <f t="shared" si="174"/>
        <v/>
      </c>
      <c r="W207" s="16" t="str">
        <f t="shared" si="175"/>
        <v/>
      </c>
      <c r="X207" s="16" t="str">
        <f t="shared" si="169"/>
        <v/>
      </c>
      <c r="Y207" s="16" t="str">
        <f t="shared" si="170"/>
        <v/>
      </c>
      <c r="Z207" s="16" t="str">
        <f t="shared" si="171"/>
        <v/>
      </c>
      <c r="AA207" s="16" t="str">
        <f t="shared" si="176"/>
        <v/>
      </c>
      <c r="AB207" s="16" t="str">
        <f t="shared" si="177"/>
        <v/>
      </c>
      <c r="AC207" s="29" t="str">
        <f t="shared" si="172"/>
        <v/>
      </c>
      <c r="AD207" s="29" t="str">
        <f t="shared" si="173"/>
        <v/>
      </c>
      <c r="AE207" s="2"/>
      <c r="AF207" s="2"/>
      <c r="AG207" s="2"/>
      <c r="AH207" s="2"/>
      <c r="AI207" s="2"/>
      <c r="AJ207" s="2"/>
      <c r="AK207" s="2"/>
      <c r="AL207" s="2"/>
      <c r="AM207" s="2"/>
      <c r="AN207" s="2"/>
      <c r="AO207" s="2"/>
      <c r="AP207" s="2"/>
      <c r="AQ207" s="2"/>
    </row>
    <row r="208" spans="1:43" x14ac:dyDescent="0.25">
      <c r="D208" s="54"/>
      <c r="E208" s="54"/>
      <c r="F208" s="54"/>
      <c r="G208" s="54"/>
      <c r="H208" s="54"/>
      <c r="I208" s="54"/>
      <c r="J208" s="2"/>
      <c r="K208" s="2"/>
      <c r="L208" s="2"/>
      <c r="M208" s="2"/>
      <c r="N208" s="2"/>
      <c r="O208" s="2"/>
      <c r="P208" s="2"/>
      <c r="Q208" s="2"/>
      <c r="R208" s="2"/>
      <c r="S208" s="2"/>
      <c r="T208" s="2"/>
      <c r="U208" s="264">
        <v>204</v>
      </c>
      <c r="V208" s="16" t="str">
        <f t="shared" si="174"/>
        <v/>
      </c>
      <c r="W208" s="16" t="str">
        <f t="shared" si="175"/>
        <v/>
      </c>
      <c r="X208" s="16" t="str">
        <f t="shared" si="169"/>
        <v/>
      </c>
      <c r="Y208" s="16" t="str">
        <f t="shared" si="170"/>
        <v/>
      </c>
      <c r="Z208" s="16" t="str">
        <f t="shared" si="171"/>
        <v/>
      </c>
      <c r="AA208" s="16" t="str">
        <f t="shared" si="176"/>
        <v/>
      </c>
      <c r="AB208" s="16" t="str">
        <f t="shared" si="177"/>
        <v/>
      </c>
      <c r="AC208" s="29" t="str">
        <f t="shared" si="172"/>
        <v/>
      </c>
      <c r="AD208" s="29" t="str">
        <f t="shared" si="173"/>
        <v/>
      </c>
      <c r="AE208" s="2"/>
      <c r="AF208" s="2"/>
      <c r="AG208" s="2"/>
      <c r="AH208" s="2"/>
      <c r="AI208" s="2"/>
      <c r="AJ208" s="2"/>
      <c r="AK208" s="2"/>
      <c r="AL208" s="2"/>
      <c r="AM208" s="2"/>
      <c r="AN208" s="2"/>
      <c r="AO208" s="2"/>
      <c r="AP208" s="2"/>
      <c r="AQ208" s="2"/>
    </row>
    <row r="209" spans="4:43" x14ac:dyDescent="0.25">
      <c r="D209" s="54"/>
      <c r="E209" s="54"/>
      <c r="F209" s="54"/>
      <c r="G209" s="54"/>
      <c r="H209" s="54"/>
      <c r="I209" s="54"/>
      <c r="J209" s="2"/>
      <c r="K209" s="2"/>
      <c r="L209" s="2"/>
      <c r="M209" s="2"/>
      <c r="N209" s="2"/>
      <c r="O209" s="2"/>
      <c r="P209" s="2"/>
      <c r="Q209" s="2"/>
      <c r="R209" s="2"/>
      <c r="S209" s="2"/>
      <c r="T209" s="2"/>
      <c r="U209" s="264">
        <v>205</v>
      </c>
      <c r="V209" s="16" t="str">
        <f t="shared" si="174"/>
        <v/>
      </c>
      <c r="W209" s="16" t="str">
        <f t="shared" si="175"/>
        <v/>
      </c>
      <c r="X209" s="16" t="str">
        <f t="shared" si="169"/>
        <v/>
      </c>
      <c r="Y209" s="16" t="str">
        <f t="shared" si="170"/>
        <v/>
      </c>
      <c r="Z209" s="16" t="str">
        <f t="shared" si="171"/>
        <v/>
      </c>
      <c r="AA209" s="16" t="str">
        <f t="shared" si="176"/>
        <v/>
      </c>
      <c r="AB209" s="16" t="str">
        <f t="shared" si="177"/>
        <v/>
      </c>
      <c r="AC209" s="29" t="str">
        <f t="shared" si="172"/>
        <v/>
      </c>
      <c r="AD209" s="29" t="str">
        <f t="shared" si="173"/>
        <v/>
      </c>
      <c r="AE209" s="2"/>
      <c r="AF209" s="2"/>
      <c r="AG209" s="2"/>
      <c r="AH209" s="2"/>
      <c r="AI209" s="2"/>
      <c r="AJ209" s="2"/>
      <c r="AK209" s="2"/>
      <c r="AL209" s="2"/>
      <c r="AM209" s="2"/>
      <c r="AN209" s="2"/>
      <c r="AO209" s="2"/>
      <c r="AP209" s="2"/>
      <c r="AQ209" s="2"/>
    </row>
    <row r="210" spans="4:43" x14ac:dyDescent="0.25">
      <c r="D210" s="54"/>
      <c r="E210" s="54"/>
      <c r="F210" s="54"/>
      <c r="G210" s="54"/>
      <c r="H210" s="54"/>
      <c r="I210" s="54"/>
      <c r="J210" s="2"/>
      <c r="K210" s="2"/>
      <c r="L210" s="2"/>
      <c r="M210" s="2"/>
      <c r="N210" s="2"/>
      <c r="O210" s="2"/>
      <c r="P210" s="2"/>
      <c r="Q210" s="2"/>
      <c r="R210" s="2"/>
      <c r="S210" s="2"/>
      <c r="T210" s="2"/>
      <c r="U210" s="264">
        <v>206</v>
      </c>
      <c r="V210" s="16" t="str">
        <f t="shared" si="174"/>
        <v/>
      </c>
      <c r="W210" s="16" t="str">
        <f t="shared" si="175"/>
        <v/>
      </c>
      <c r="X210" s="16" t="str">
        <f t="shared" si="169"/>
        <v/>
      </c>
      <c r="Y210" s="16" t="str">
        <f t="shared" si="170"/>
        <v/>
      </c>
      <c r="Z210" s="16" t="str">
        <f t="shared" si="171"/>
        <v/>
      </c>
      <c r="AA210" s="16" t="str">
        <f t="shared" si="176"/>
        <v/>
      </c>
      <c r="AB210" s="16" t="str">
        <f t="shared" si="177"/>
        <v/>
      </c>
      <c r="AC210" s="29" t="str">
        <f t="shared" si="172"/>
        <v/>
      </c>
      <c r="AD210" s="29" t="str">
        <f t="shared" si="173"/>
        <v/>
      </c>
      <c r="AE210" s="2"/>
      <c r="AF210" s="2"/>
      <c r="AG210" s="2"/>
      <c r="AH210" s="2"/>
      <c r="AI210" s="2"/>
      <c r="AJ210" s="2"/>
      <c r="AK210" s="2"/>
      <c r="AL210" s="2"/>
      <c r="AM210" s="2"/>
      <c r="AN210" s="2"/>
      <c r="AO210" s="2"/>
      <c r="AP210" s="2"/>
      <c r="AQ210" s="2"/>
    </row>
    <row r="211" spans="4:43" x14ac:dyDescent="0.25">
      <c r="D211" s="54"/>
      <c r="E211" s="54"/>
      <c r="F211" s="54"/>
      <c r="G211" s="54"/>
      <c r="H211" s="54"/>
      <c r="I211" s="54"/>
      <c r="J211" s="2"/>
      <c r="K211" s="2"/>
      <c r="L211" s="2"/>
      <c r="M211" s="2"/>
      <c r="N211" s="2"/>
      <c r="O211" s="2"/>
      <c r="P211" s="2"/>
      <c r="Q211" s="2"/>
      <c r="R211" s="2"/>
      <c r="S211" s="2"/>
      <c r="T211" s="2"/>
      <c r="U211" s="264">
        <v>207</v>
      </c>
      <c r="V211" s="16" t="str">
        <f t="shared" si="174"/>
        <v/>
      </c>
      <c r="W211" s="16" t="str">
        <f t="shared" si="175"/>
        <v/>
      </c>
      <c r="X211" s="16" t="str">
        <f t="shared" si="169"/>
        <v/>
      </c>
      <c r="Y211" s="16" t="str">
        <f t="shared" si="170"/>
        <v/>
      </c>
      <c r="Z211" s="16" t="str">
        <f t="shared" si="171"/>
        <v/>
      </c>
      <c r="AA211" s="16" t="str">
        <f t="shared" si="176"/>
        <v/>
      </c>
      <c r="AB211" s="16" t="str">
        <f t="shared" si="177"/>
        <v/>
      </c>
      <c r="AC211" s="29" t="str">
        <f t="shared" si="172"/>
        <v/>
      </c>
      <c r="AD211" s="29" t="str">
        <f t="shared" si="173"/>
        <v/>
      </c>
      <c r="AE211" s="2"/>
      <c r="AF211" s="2"/>
      <c r="AG211" s="2"/>
      <c r="AH211" s="2"/>
      <c r="AI211" s="2"/>
      <c r="AJ211" s="2"/>
      <c r="AK211" s="2"/>
      <c r="AL211" s="2"/>
      <c r="AM211" s="2"/>
      <c r="AN211" s="2"/>
      <c r="AO211" s="2"/>
      <c r="AP211" s="2"/>
      <c r="AQ211" s="2"/>
    </row>
    <row r="212" spans="4:43" x14ac:dyDescent="0.25">
      <c r="D212" s="54"/>
      <c r="E212" s="54"/>
      <c r="F212" s="54"/>
      <c r="G212" s="54"/>
      <c r="H212" s="54"/>
      <c r="I212" s="54"/>
      <c r="J212" s="2"/>
      <c r="K212" s="2"/>
      <c r="L212" s="2"/>
      <c r="M212" s="2"/>
      <c r="N212" s="2"/>
      <c r="O212" s="2"/>
      <c r="P212" s="2"/>
      <c r="Q212" s="2"/>
      <c r="R212" s="2"/>
      <c r="S212" s="2"/>
      <c r="T212" s="2"/>
      <c r="U212" s="264">
        <v>208</v>
      </c>
      <c r="V212" s="16" t="str">
        <f t="shared" si="174"/>
        <v/>
      </c>
      <c r="W212" s="16" t="str">
        <f t="shared" si="175"/>
        <v/>
      </c>
      <c r="X212" s="16" t="str">
        <f t="shared" si="169"/>
        <v/>
      </c>
      <c r="Y212" s="16" t="str">
        <f t="shared" si="170"/>
        <v/>
      </c>
      <c r="Z212" s="16" t="str">
        <f t="shared" si="171"/>
        <v/>
      </c>
      <c r="AA212" s="16" t="str">
        <f t="shared" si="176"/>
        <v/>
      </c>
      <c r="AB212" s="16" t="str">
        <f t="shared" si="177"/>
        <v/>
      </c>
      <c r="AC212" s="29" t="str">
        <f t="shared" si="172"/>
        <v/>
      </c>
      <c r="AD212" s="29" t="str">
        <f t="shared" si="173"/>
        <v/>
      </c>
      <c r="AE212" s="2"/>
      <c r="AF212" s="2"/>
      <c r="AG212" s="2"/>
      <c r="AH212" s="2"/>
      <c r="AI212" s="2"/>
      <c r="AJ212" s="2"/>
      <c r="AK212" s="2"/>
      <c r="AL212" s="2"/>
      <c r="AM212" s="2"/>
      <c r="AN212" s="2"/>
      <c r="AO212" s="2"/>
      <c r="AP212" s="2"/>
      <c r="AQ212" s="2"/>
    </row>
    <row r="213" spans="4:43" x14ac:dyDescent="0.25">
      <c r="D213" s="54"/>
      <c r="E213" s="54"/>
      <c r="F213" s="54"/>
      <c r="G213" s="54"/>
      <c r="H213" s="54"/>
      <c r="I213" s="54"/>
      <c r="J213" s="2"/>
      <c r="K213" s="2"/>
      <c r="L213" s="2"/>
      <c r="M213" s="2"/>
      <c r="N213" s="2"/>
      <c r="O213" s="2"/>
      <c r="P213" s="2"/>
      <c r="Q213" s="2"/>
      <c r="R213" s="2"/>
      <c r="S213" s="2"/>
      <c r="T213" s="2"/>
      <c r="U213" s="264">
        <v>209</v>
      </c>
      <c r="V213" s="16" t="str">
        <f t="shared" si="174"/>
        <v/>
      </c>
      <c r="W213" s="16" t="str">
        <f t="shared" si="175"/>
        <v/>
      </c>
      <c r="X213" s="16" t="str">
        <f t="shared" si="169"/>
        <v/>
      </c>
      <c r="Y213" s="16" t="str">
        <f t="shared" si="170"/>
        <v/>
      </c>
      <c r="Z213" s="16" t="str">
        <f t="shared" si="171"/>
        <v/>
      </c>
      <c r="AA213" s="16" t="str">
        <f t="shared" si="176"/>
        <v/>
      </c>
      <c r="AB213" s="16" t="str">
        <f t="shared" si="177"/>
        <v/>
      </c>
      <c r="AC213" s="29" t="str">
        <f t="shared" si="172"/>
        <v/>
      </c>
      <c r="AD213" s="29" t="str">
        <f t="shared" si="173"/>
        <v/>
      </c>
      <c r="AE213" s="2"/>
      <c r="AF213" s="2"/>
      <c r="AG213" s="2"/>
      <c r="AH213" s="2"/>
      <c r="AI213" s="2"/>
      <c r="AJ213" s="2"/>
      <c r="AK213" s="2"/>
      <c r="AL213" s="2"/>
      <c r="AM213" s="2"/>
      <c r="AN213" s="2"/>
      <c r="AO213" s="2"/>
      <c r="AP213" s="2"/>
      <c r="AQ213" s="2"/>
    </row>
    <row r="214" spans="4:43" x14ac:dyDescent="0.25">
      <c r="D214" s="54"/>
      <c r="E214" s="54"/>
      <c r="F214" s="54"/>
      <c r="G214" s="54"/>
      <c r="H214" s="54"/>
      <c r="I214" s="54"/>
      <c r="J214" s="2"/>
      <c r="K214" s="2"/>
      <c r="L214" s="2"/>
      <c r="M214" s="2"/>
      <c r="N214" s="2"/>
      <c r="O214" s="2"/>
      <c r="P214" s="2"/>
      <c r="Q214" s="2"/>
      <c r="R214" s="2"/>
      <c r="S214" s="2"/>
      <c r="T214" s="2"/>
      <c r="U214" s="264">
        <v>210</v>
      </c>
      <c r="V214" s="16" t="str">
        <f t="shared" si="174"/>
        <v/>
      </c>
      <c r="W214" s="16" t="str">
        <f t="shared" si="175"/>
        <v/>
      </c>
      <c r="X214" s="16" t="str">
        <f t="shared" si="169"/>
        <v/>
      </c>
      <c r="Y214" s="16" t="str">
        <f t="shared" si="170"/>
        <v/>
      </c>
      <c r="Z214" s="16" t="str">
        <f t="shared" si="171"/>
        <v/>
      </c>
      <c r="AA214" s="16" t="str">
        <f t="shared" si="176"/>
        <v/>
      </c>
      <c r="AB214" s="16" t="str">
        <f t="shared" si="177"/>
        <v/>
      </c>
      <c r="AC214" s="29" t="str">
        <f t="shared" si="172"/>
        <v/>
      </c>
      <c r="AD214" s="29" t="str">
        <f t="shared" si="173"/>
        <v/>
      </c>
      <c r="AE214" s="2"/>
      <c r="AF214" s="2"/>
      <c r="AG214" s="2"/>
      <c r="AH214" s="2"/>
      <c r="AI214" s="2"/>
      <c r="AJ214" s="2"/>
      <c r="AK214" s="2"/>
      <c r="AL214" s="2"/>
      <c r="AM214" s="2"/>
      <c r="AN214" s="2"/>
      <c r="AO214" s="2"/>
      <c r="AP214" s="2"/>
      <c r="AQ214" s="2"/>
    </row>
    <row r="215" spans="4:43" x14ac:dyDescent="0.25">
      <c r="D215" s="54"/>
      <c r="E215" s="54"/>
      <c r="F215" s="54"/>
      <c r="G215" s="54"/>
      <c r="H215" s="54"/>
      <c r="I215" s="54"/>
      <c r="J215" s="2"/>
      <c r="K215" s="2"/>
      <c r="L215" s="2"/>
      <c r="M215" s="2"/>
      <c r="N215" s="2"/>
      <c r="O215" s="2"/>
      <c r="P215" s="2"/>
      <c r="Q215" s="2"/>
      <c r="R215" s="2"/>
      <c r="S215" s="2"/>
      <c r="T215" s="2"/>
      <c r="U215" s="264">
        <v>211</v>
      </c>
      <c r="V215" s="16" t="str">
        <f t="shared" si="174"/>
        <v/>
      </c>
      <c r="W215" s="16" t="str">
        <f t="shared" si="175"/>
        <v/>
      </c>
      <c r="X215" s="16" t="str">
        <f t="shared" si="169"/>
        <v/>
      </c>
      <c r="Y215" s="16" t="str">
        <f t="shared" si="170"/>
        <v/>
      </c>
      <c r="Z215" s="16" t="str">
        <f t="shared" si="171"/>
        <v/>
      </c>
      <c r="AA215" s="16" t="str">
        <f t="shared" si="176"/>
        <v/>
      </c>
      <c r="AB215" s="16" t="str">
        <f t="shared" si="177"/>
        <v/>
      </c>
      <c r="AC215" s="29" t="str">
        <f t="shared" si="172"/>
        <v/>
      </c>
      <c r="AD215" s="29" t="str">
        <f t="shared" si="173"/>
        <v/>
      </c>
      <c r="AE215" s="2"/>
      <c r="AF215" s="2"/>
      <c r="AG215" s="2"/>
      <c r="AH215" s="2"/>
      <c r="AI215" s="2"/>
      <c r="AJ215" s="2"/>
      <c r="AK215" s="2"/>
      <c r="AL215" s="2"/>
      <c r="AM215" s="2"/>
      <c r="AN215" s="2"/>
      <c r="AO215" s="2"/>
      <c r="AP215" s="2"/>
      <c r="AQ215" s="2"/>
    </row>
    <row r="216" spans="4:43" x14ac:dyDescent="0.25">
      <c r="D216" s="54"/>
      <c r="E216" s="54"/>
      <c r="F216" s="54"/>
      <c r="G216" s="54"/>
      <c r="H216" s="54"/>
      <c r="I216" s="54"/>
      <c r="J216" s="2"/>
      <c r="K216" s="2"/>
      <c r="L216" s="2"/>
      <c r="M216" s="2"/>
      <c r="N216" s="2"/>
      <c r="O216" s="2"/>
      <c r="P216" s="2"/>
      <c r="Q216" s="2"/>
      <c r="R216" s="2"/>
      <c r="S216" s="2"/>
      <c r="T216" s="2"/>
      <c r="U216" s="264">
        <v>212</v>
      </c>
      <c r="V216" s="16" t="str">
        <f t="shared" si="174"/>
        <v/>
      </c>
      <c r="W216" s="16" t="str">
        <f t="shared" si="175"/>
        <v/>
      </c>
      <c r="X216" s="16" t="str">
        <f t="shared" si="169"/>
        <v/>
      </c>
      <c r="Y216" s="16" t="str">
        <f t="shared" si="170"/>
        <v/>
      </c>
      <c r="Z216" s="16" t="str">
        <f t="shared" si="171"/>
        <v/>
      </c>
      <c r="AA216" s="16" t="str">
        <f t="shared" si="176"/>
        <v/>
      </c>
      <c r="AB216" s="16" t="str">
        <f t="shared" si="177"/>
        <v/>
      </c>
      <c r="AC216" s="29" t="str">
        <f t="shared" si="172"/>
        <v/>
      </c>
      <c r="AD216" s="29" t="str">
        <f t="shared" si="173"/>
        <v/>
      </c>
      <c r="AE216" s="2"/>
      <c r="AF216" s="2"/>
      <c r="AG216" s="2"/>
      <c r="AH216" s="2"/>
      <c r="AI216" s="2"/>
      <c r="AJ216" s="2"/>
      <c r="AK216" s="2"/>
      <c r="AL216" s="2"/>
      <c r="AM216" s="2"/>
      <c r="AN216" s="2"/>
      <c r="AO216" s="2"/>
      <c r="AP216" s="2"/>
      <c r="AQ216" s="2"/>
    </row>
    <row r="217" spans="4:43" x14ac:dyDescent="0.25">
      <c r="D217" s="54"/>
      <c r="E217" s="54"/>
      <c r="F217" s="54"/>
      <c r="G217" s="54"/>
      <c r="H217" s="54"/>
      <c r="I217" s="54"/>
      <c r="J217" s="2"/>
      <c r="K217" s="2"/>
      <c r="L217" s="2"/>
      <c r="M217" s="2"/>
      <c r="N217" s="2"/>
      <c r="O217" s="2"/>
      <c r="P217" s="2"/>
      <c r="Q217" s="2"/>
      <c r="R217" s="2"/>
      <c r="S217" s="2"/>
      <c r="T217" s="2"/>
      <c r="U217" s="264">
        <v>213</v>
      </c>
      <c r="V217" s="16" t="str">
        <f t="shared" si="174"/>
        <v/>
      </c>
      <c r="W217" s="16" t="str">
        <f t="shared" si="175"/>
        <v/>
      </c>
      <c r="X217" s="16" t="str">
        <f t="shared" si="169"/>
        <v/>
      </c>
      <c r="Y217" s="16" t="str">
        <f t="shared" si="170"/>
        <v/>
      </c>
      <c r="Z217" s="16" t="str">
        <f t="shared" si="171"/>
        <v/>
      </c>
      <c r="AA217" s="16" t="str">
        <f t="shared" si="176"/>
        <v/>
      </c>
      <c r="AB217" s="16" t="str">
        <f t="shared" si="177"/>
        <v/>
      </c>
      <c r="AC217" s="29" t="str">
        <f t="shared" si="172"/>
        <v/>
      </c>
      <c r="AD217" s="29" t="str">
        <f t="shared" si="173"/>
        <v/>
      </c>
      <c r="AE217" s="2"/>
      <c r="AF217" s="2"/>
      <c r="AG217" s="2"/>
      <c r="AH217" s="2"/>
      <c r="AI217" s="2"/>
      <c r="AJ217" s="2"/>
      <c r="AK217" s="2"/>
      <c r="AL217" s="2"/>
      <c r="AM217" s="2"/>
      <c r="AN217" s="2"/>
      <c r="AO217" s="2"/>
      <c r="AP217" s="2"/>
      <c r="AQ217" s="2"/>
    </row>
    <row r="218" spans="4:43" x14ac:dyDescent="0.25">
      <c r="D218" s="54"/>
      <c r="E218" s="54"/>
      <c r="F218" s="54"/>
      <c r="G218" s="54"/>
      <c r="H218" s="54"/>
      <c r="I218" s="54"/>
      <c r="J218" s="2"/>
      <c r="K218" s="2"/>
      <c r="L218" s="2"/>
      <c r="M218" s="2"/>
      <c r="N218" s="2"/>
      <c r="O218" s="2"/>
      <c r="P218" s="2"/>
      <c r="Q218" s="2"/>
      <c r="R218" s="2"/>
      <c r="S218" s="2"/>
      <c r="T218" s="2"/>
      <c r="U218" s="264">
        <v>214</v>
      </c>
      <c r="V218" s="16" t="str">
        <f t="shared" si="174"/>
        <v/>
      </c>
      <c r="W218" s="16" t="str">
        <f t="shared" si="175"/>
        <v/>
      </c>
      <c r="X218" s="16" t="str">
        <f t="shared" si="169"/>
        <v/>
      </c>
      <c r="Y218" s="16" t="str">
        <f t="shared" si="170"/>
        <v/>
      </c>
      <c r="Z218" s="16" t="str">
        <f t="shared" si="171"/>
        <v/>
      </c>
      <c r="AA218" s="16" t="str">
        <f t="shared" si="176"/>
        <v/>
      </c>
      <c r="AB218" s="16" t="str">
        <f t="shared" si="177"/>
        <v/>
      </c>
      <c r="AC218" s="29" t="str">
        <f t="shared" si="172"/>
        <v/>
      </c>
      <c r="AD218" s="29" t="str">
        <f t="shared" si="173"/>
        <v/>
      </c>
      <c r="AE218" s="2"/>
      <c r="AF218" s="2"/>
      <c r="AG218" s="2"/>
      <c r="AH218" s="2"/>
      <c r="AI218" s="2"/>
      <c r="AJ218" s="2"/>
      <c r="AK218" s="2"/>
      <c r="AL218" s="2"/>
      <c r="AM218" s="2"/>
      <c r="AN218" s="2"/>
      <c r="AO218" s="2"/>
      <c r="AP218" s="2"/>
      <c r="AQ218" s="2"/>
    </row>
    <row r="219" spans="4:43" x14ac:dyDescent="0.25">
      <c r="D219" s="54"/>
      <c r="E219" s="54"/>
      <c r="F219" s="54"/>
      <c r="G219" s="54"/>
      <c r="H219" s="54"/>
      <c r="I219" s="54"/>
      <c r="J219" s="2"/>
      <c r="K219" s="2"/>
      <c r="L219" s="2"/>
      <c r="M219" s="2"/>
      <c r="N219" s="2"/>
      <c r="O219" s="2"/>
      <c r="P219" s="2"/>
      <c r="Q219" s="2"/>
      <c r="R219" s="2"/>
      <c r="S219" s="2"/>
      <c r="T219" s="2"/>
      <c r="U219" s="264">
        <v>215</v>
      </c>
      <c r="V219" s="16" t="str">
        <f t="shared" si="174"/>
        <v/>
      </c>
      <c r="W219" s="16" t="str">
        <f t="shared" si="175"/>
        <v/>
      </c>
      <c r="X219" s="16" t="str">
        <f t="shared" si="169"/>
        <v/>
      </c>
      <c r="Y219" s="16" t="str">
        <f t="shared" si="170"/>
        <v/>
      </c>
      <c r="Z219" s="16" t="str">
        <f t="shared" si="171"/>
        <v/>
      </c>
      <c r="AA219" s="16" t="str">
        <f t="shared" si="176"/>
        <v/>
      </c>
      <c r="AB219" s="16" t="str">
        <f t="shared" si="177"/>
        <v/>
      </c>
      <c r="AC219" s="29" t="str">
        <f t="shared" si="172"/>
        <v/>
      </c>
      <c r="AD219" s="29" t="str">
        <f t="shared" si="173"/>
        <v/>
      </c>
      <c r="AE219" s="2"/>
      <c r="AF219" s="2"/>
      <c r="AG219" s="2"/>
      <c r="AH219" s="2"/>
      <c r="AI219" s="2"/>
      <c r="AJ219" s="2"/>
      <c r="AK219" s="2"/>
      <c r="AL219" s="2"/>
      <c r="AM219" s="2"/>
      <c r="AN219" s="2"/>
      <c r="AO219" s="2"/>
      <c r="AP219" s="2"/>
      <c r="AQ219" s="2"/>
    </row>
    <row r="220" spans="4:43" x14ac:dyDescent="0.25">
      <c r="D220" s="54"/>
      <c r="E220" s="54"/>
      <c r="F220" s="54"/>
      <c r="G220" s="54"/>
      <c r="H220" s="54"/>
      <c r="I220" s="54"/>
      <c r="J220" s="2"/>
      <c r="K220" s="2"/>
      <c r="L220" s="2"/>
      <c r="M220" s="2"/>
      <c r="N220" s="2"/>
      <c r="O220" s="2"/>
      <c r="P220" s="2"/>
      <c r="Q220" s="2"/>
      <c r="R220" s="2"/>
      <c r="S220" s="2"/>
      <c r="T220" s="2"/>
      <c r="U220" s="264">
        <v>216</v>
      </c>
      <c r="V220" s="16" t="str">
        <f t="shared" si="174"/>
        <v/>
      </c>
      <c r="W220" s="16" t="str">
        <f t="shared" si="175"/>
        <v/>
      </c>
      <c r="X220" s="16" t="str">
        <f t="shared" si="169"/>
        <v/>
      </c>
      <c r="Y220" s="16" t="str">
        <f t="shared" si="170"/>
        <v/>
      </c>
      <c r="Z220" s="16" t="str">
        <f t="shared" si="171"/>
        <v/>
      </c>
      <c r="AA220" s="16" t="str">
        <f t="shared" si="176"/>
        <v/>
      </c>
      <c r="AB220" s="16" t="str">
        <f t="shared" si="177"/>
        <v/>
      </c>
      <c r="AC220" s="29" t="str">
        <f t="shared" si="172"/>
        <v/>
      </c>
      <c r="AD220" s="29" t="str">
        <f t="shared" si="173"/>
        <v/>
      </c>
      <c r="AE220" s="2"/>
      <c r="AF220" s="2"/>
      <c r="AG220" s="2"/>
      <c r="AH220" s="2"/>
      <c r="AI220" s="2"/>
      <c r="AJ220" s="2"/>
      <c r="AK220" s="2"/>
      <c r="AL220" s="2"/>
      <c r="AM220" s="2"/>
      <c r="AN220" s="2"/>
      <c r="AO220" s="2"/>
      <c r="AP220" s="2"/>
      <c r="AQ220" s="2"/>
    </row>
    <row r="221" spans="4:43" x14ac:dyDescent="0.25">
      <c r="D221" s="54"/>
      <c r="E221" s="54"/>
      <c r="F221" s="54"/>
      <c r="G221" s="54"/>
      <c r="H221" s="54"/>
      <c r="I221" s="54"/>
      <c r="J221" s="2"/>
      <c r="K221" s="2"/>
      <c r="L221" s="2"/>
      <c r="M221" s="2"/>
      <c r="N221" s="2"/>
      <c r="O221" s="2"/>
      <c r="P221" s="2"/>
      <c r="Q221" s="2"/>
      <c r="R221" s="2"/>
      <c r="S221" s="2"/>
      <c r="T221" s="2"/>
      <c r="U221" s="264">
        <v>217</v>
      </c>
      <c r="V221" s="16" t="str">
        <f t="shared" si="174"/>
        <v/>
      </c>
      <c r="W221" s="16" t="str">
        <f t="shared" si="175"/>
        <v/>
      </c>
      <c r="X221" s="16" t="str">
        <f t="shared" si="169"/>
        <v/>
      </c>
      <c r="Y221" s="16" t="str">
        <f t="shared" si="170"/>
        <v/>
      </c>
      <c r="Z221" s="16" t="str">
        <f t="shared" si="171"/>
        <v/>
      </c>
      <c r="AA221" s="16" t="str">
        <f t="shared" si="176"/>
        <v/>
      </c>
      <c r="AB221" s="16" t="str">
        <f t="shared" si="177"/>
        <v/>
      </c>
      <c r="AC221" s="29" t="str">
        <f t="shared" si="172"/>
        <v/>
      </c>
      <c r="AD221" s="29" t="str">
        <f t="shared" si="173"/>
        <v/>
      </c>
      <c r="AE221" s="2"/>
      <c r="AF221" s="2"/>
      <c r="AG221" s="2"/>
      <c r="AH221" s="2"/>
      <c r="AI221" s="2"/>
      <c r="AJ221" s="2"/>
      <c r="AK221" s="2"/>
      <c r="AL221" s="2"/>
      <c r="AM221" s="2"/>
      <c r="AN221" s="2"/>
      <c r="AO221" s="2"/>
      <c r="AP221" s="2"/>
      <c r="AQ221" s="2"/>
    </row>
    <row r="222" spans="4:43" x14ac:dyDescent="0.25">
      <c r="D222" s="54"/>
      <c r="E222" s="54"/>
      <c r="F222" s="54"/>
      <c r="G222" s="54"/>
      <c r="H222" s="54"/>
      <c r="I222" s="54"/>
      <c r="J222" s="2"/>
      <c r="K222" s="2"/>
      <c r="L222" s="2"/>
      <c r="M222" s="2"/>
      <c r="N222" s="2"/>
      <c r="O222" s="2"/>
      <c r="P222" s="2"/>
      <c r="Q222" s="2"/>
      <c r="R222" s="2"/>
      <c r="S222" s="2"/>
      <c r="T222" s="2"/>
      <c r="U222" s="264">
        <v>218</v>
      </c>
      <c r="V222" s="16" t="str">
        <f t="shared" si="174"/>
        <v/>
      </c>
      <c r="W222" s="16" t="str">
        <f t="shared" si="175"/>
        <v/>
      </c>
      <c r="X222" s="16" t="str">
        <f t="shared" si="169"/>
        <v/>
      </c>
      <c r="Y222" s="16" t="str">
        <f t="shared" si="170"/>
        <v/>
      </c>
      <c r="Z222" s="16" t="str">
        <f t="shared" si="171"/>
        <v/>
      </c>
      <c r="AA222" s="16" t="str">
        <f t="shared" si="176"/>
        <v/>
      </c>
      <c r="AB222" s="16" t="str">
        <f t="shared" si="177"/>
        <v/>
      </c>
      <c r="AC222" s="29" t="str">
        <f t="shared" si="172"/>
        <v/>
      </c>
      <c r="AD222" s="29" t="str">
        <f t="shared" si="173"/>
        <v/>
      </c>
      <c r="AE222" s="2"/>
      <c r="AF222" s="2"/>
      <c r="AG222" s="2"/>
      <c r="AH222" s="2"/>
      <c r="AI222" s="2"/>
      <c r="AJ222" s="2"/>
      <c r="AK222" s="2"/>
      <c r="AL222" s="2"/>
      <c r="AM222" s="2"/>
      <c r="AN222" s="2"/>
      <c r="AO222" s="2"/>
      <c r="AP222" s="2"/>
      <c r="AQ222" s="2"/>
    </row>
    <row r="223" spans="4:43" x14ac:dyDescent="0.25">
      <c r="D223" s="54"/>
      <c r="E223" s="54"/>
      <c r="F223" s="54"/>
      <c r="G223" s="54"/>
      <c r="H223" s="54"/>
      <c r="I223" s="54"/>
      <c r="J223" s="2"/>
      <c r="K223" s="2"/>
      <c r="L223" s="2"/>
      <c r="M223" s="2"/>
      <c r="N223" s="2"/>
      <c r="O223" s="2"/>
      <c r="P223" s="2"/>
      <c r="Q223" s="2"/>
      <c r="R223" s="2"/>
      <c r="S223" s="2"/>
      <c r="T223" s="2"/>
      <c r="U223" s="264">
        <v>219</v>
      </c>
      <c r="V223" s="16" t="str">
        <f t="shared" si="174"/>
        <v/>
      </c>
      <c r="W223" s="16" t="str">
        <f t="shared" si="175"/>
        <v/>
      </c>
      <c r="X223" s="16" t="str">
        <f t="shared" si="169"/>
        <v/>
      </c>
      <c r="Y223" s="16" t="str">
        <f t="shared" si="170"/>
        <v/>
      </c>
      <c r="Z223" s="16" t="str">
        <f t="shared" si="171"/>
        <v/>
      </c>
      <c r="AA223" s="16" t="str">
        <f t="shared" si="176"/>
        <v/>
      </c>
      <c r="AB223" s="16" t="str">
        <f t="shared" si="177"/>
        <v/>
      </c>
      <c r="AC223" s="29" t="str">
        <f t="shared" si="172"/>
        <v/>
      </c>
      <c r="AD223" s="29" t="str">
        <f t="shared" si="173"/>
        <v/>
      </c>
      <c r="AE223" s="2"/>
      <c r="AF223" s="2"/>
      <c r="AG223" s="2"/>
      <c r="AH223" s="2"/>
      <c r="AI223" s="2"/>
      <c r="AJ223" s="2"/>
      <c r="AK223" s="2"/>
      <c r="AL223" s="2"/>
      <c r="AM223" s="2"/>
      <c r="AN223" s="2"/>
      <c r="AO223" s="2"/>
      <c r="AP223" s="2"/>
      <c r="AQ223" s="2"/>
    </row>
    <row r="224" spans="4:43" x14ac:dyDescent="0.25">
      <c r="D224" s="54"/>
      <c r="E224" s="54"/>
      <c r="F224" s="54"/>
      <c r="G224" s="54"/>
      <c r="H224" s="54"/>
      <c r="I224" s="54"/>
      <c r="J224" s="2"/>
      <c r="K224" s="2"/>
      <c r="L224" s="2"/>
      <c r="M224" s="2"/>
      <c r="N224" s="2"/>
      <c r="O224" s="2"/>
      <c r="P224" s="2"/>
      <c r="Q224" s="2"/>
      <c r="R224" s="2"/>
      <c r="S224" s="2"/>
      <c r="T224" s="2"/>
      <c r="U224" s="264">
        <v>220</v>
      </c>
      <c r="V224" s="16" t="str">
        <f t="shared" si="174"/>
        <v/>
      </c>
      <c r="W224" s="16" t="str">
        <f t="shared" si="175"/>
        <v/>
      </c>
      <c r="X224" s="16" t="str">
        <f t="shared" si="169"/>
        <v/>
      </c>
      <c r="Y224" s="16" t="str">
        <f t="shared" si="170"/>
        <v/>
      </c>
      <c r="Z224" s="16" t="str">
        <f t="shared" si="171"/>
        <v/>
      </c>
      <c r="AA224" s="16" t="str">
        <f t="shared" si="176"/>
        <v/>
      </c>
      <c r="AB224" s="16" t="str">
        <f t="shared" si="177"/>
        <v/>
      </c>
      <c r="AC224" s="29" t="str">
        <f t="shared" si="172"/>
        <v/>
      </c>
      <c r="AD224" s="29" t="str">
        <f t="shared" si="173"/>
        <v/>
      </c>
      <c r="AE224" s="2"/>
      <c r="AF224" s="2"/>
      <c r="AG224" s="2"/>
      <c r="AH224" s="2"/>
      <c r="AI224" s="2"/>
      <c r="AJ224" s="2"/>
      <c r="AK224" s="2"/>
      <c r="AL224" s="2"/>
      <c r="AM224" s="2"/>
      <c r="AN224" s="2"/>
      <c r="AO224" s="2"/>
      <c r="AP224" s="2"/>
      <c r="AQ224" s="2"/>
    </row>
    <row r="225" spans="4:43" x14ac:dyDescent="0.25">
      <c r="D225" s="54"/>
      <c r="E225" s="54"/>
      <c r="F225" s="54"/>
      <c r="G225" s="54"/>
      <c r="H225" s="54"/>
      <c r="I225" s="54"/>
      <c r="J225" s="2"/>
      <c r="K225" s="2"/>
      <c r="L225" s="2"/>
      <c r="M225" s="2"/>
      <c r="N225" s="2"/>
      <c r="O225" s="2"/>
      <c r="P225" s="2"/>
      <c r="Q225" s="2"/>
      <c r="R225" s="2"/>
      <c r="S225" s="2"/>
      <c r="T225" s="2"/>
      <c r="U225" s="264">
        <v>221</v>
      </c>
      <c r="V225" s="16" t="str">
        <f t="shared" si="174"/>
        <v/>
      </c>
      <c r="W225" s="16" t="str">
        <f t="shared" si="175"/>
        <v/>
      </c>
      <c r="X225" s="16" t="str">
        <f t="shared" si="169"/>
        <v/>
      </c>
      <c r="Y225" s="16" t="str">
        <f t="shared" si="170"/>
        <v/>
      </c>
      <c r="Z225" s="16" t="str">
        <f t="shared" si="171"/>
        <v/>
      </c>
      <c r="AA225" s="16" t="str">
        <f t="shared" si="176"/>
        <v/>
      </c>
      <c r="AB225" s="16" t="str">
        <f t="shared" si="177"/>
        <v/>
      </c>
      <c r="AC225" s="29" t="str">
        <f t="shared" si="172"/>
        <v/>
      </c>
      <c r="AD225" s="29" t="str">
        <f t="shared" si="173"/>
        <v/>
      </c>
      <c r="AE225" s="2"/>
      <c r="AF225" s="2"/>
      <c r="AG225" s="2"/>
      <c r="AH225" s="2"/>
      <c r="AI225" s="2"/>
      <c r="AJ225" s="2"/>
      <c r="AK225" s="2"/>
      <c r="AL225" s="2"/>
      <c r="AM225" s="2"/>
      <c r="AN225" s="2"/>
      <c r="AO225" s="2"/>
      <c r="AP225" s="2"/>
      <c r="AQ225" s="2"/>
    </row>
    <row r="226" spans="4:43" x14ac:dyDescent="0.25">
      <c r="D226" s="54"/>
      <c r="E226" s="54"/>
      <c r="F226" s="54"/>
      <c r="G226" s="54"/>
      <c r="H226" s="54"/>
      <c r="I226" s="54"/>
      <c r="J226" s="2"/>
      <c r="K226" s="2"/>
      <c r="L226" s="2"/>
      <c r="M226" s="2"/>
      <c r="N226" s="2"/>
      <c r="O226" s="2"/>
      <c r="P226" s="2"/>
      <c r="Q226" s="2"/>
      <c r="R226" s="2"/>
      <c r="S226" s="2"/>
      <c r="T226" s="2"/>
      <c r="U226" s="264">
        <v>222</v>
      </c>
      <c r="V226" s="16" t="str">
        <f t="shared" si="174"/>
        <v/>
      </c>
      <c r="W226" s="16" t="str">
        <f t="shared" si="175"/>
        <v/>
      </c>
      <c r="X226" s="16" t="str">
        <f t="shared" si="169"/>
        <v/>
      </c>
      <c r="Y226" s="16" t="str">
        <f t="shared" si="170"/>
        <v/>
      </c>
      <c r="Z226" s="16" t="str">
        <f t="shared" si="171"/>
        <v/>
      </c>
      <c r="AA226" s="16" t="str">
        <f t="shared" si="176"/>
        <v/>
      </c>
      <c r="AB226" s="16" t="str">
        <f t="shared" si="177"/>
        <v/>
      </c>
      <c r="AC226" s="29" t="str">
        <f t="shared" si="172"/>
        <v/>
      </c>
      <c r="AD226" s="29" t="str">
        <f t="shared" si="173"/>
        <v/>
      </c>
      <c r="AE226" s="2"/>
      <c r="AF226" s="2"/>
      <c r="AG226" s="2"/>
      <c r="AH226" s="2"/>
      <c r="AI226" s="2"/>
      <c r="AJ226" s="2"/>
      <c r="AK226" s="2"/>
      <c r="AL226" s="2"/>
      <c r="AM226" s="2"/>
      <c r="AN226" s="2"/>
      <c r="AO226" s="2"/>
      <c r="AP226" s="2"/>
      <c r="AQ226" s="2"/>
    </row>
    <row r="227" spans="4:43" x14ac:dyDescent="0.25">
      <c r="D227" s="54"/>
      <c r="E227" s="54"/>
      <c r="F227" s="54"/>
      <c r="G227" s="54"/>
      <c r="H227" s="54"/>
      <c r="I227" s="54"/>
      <c r="J227" s="2"/>
      <c r="K227" s="2"/>
      <c r="L227" s="2"/>
      <c r="M227" s="2"/>
      <c r="N227" s="2"/>
      <c r="O227" s="2"/>
      <c r="P227" s="2"/>
      <c r="Q227" s="2"/>
      <c r="R227" s="2"/>
      <c r="S227" s="2"/>
      <c r="T227" s="2"/>
      <c r="U227" s="264">
        <v>223</v>
      </c>
      <c r="V227" s="16" t="str">
        <f t="shared" si="174"/>
        <v/>
      </c>
      <c r="W227" s="16" t="str">
        <f t="shared" si="175"/>
        <v/>
      </c>
      <c r="X227" s="16" t="str">
        <f t="shared" si="169"/>
        <v/>
      </c>
      <c r="Y227" s="16" t="str">
        <f t="shared" si="170"/>
        <v/>
      </c>
      <c r="Z227" s="16" t="str">
        <f t="shared" si="171"/>
        <v/>
      </c>
      <c r="AA227" s="16" t="str">
        <f t="shared" si="176"/>
        <v/>
      </c>
      <c r="AB227" s="16" t="str">
        <f t="shared" si="177"/>
        <v/>
      </c>
      <c r="AC227" s="29" t="str">
        <f t="shared" si="172"/>
        <v/>
      </c>
      <c r="AD227" s="29" t="str">
        <f t="shared" si="173"/>
        <v/>
      </c>
      <c r="AE227" s="2"/>
      <c r="AF227" s="2"/>
      <c r="AG227" s="2"/>
      <c r="AH227" s="2"/>
      <c r="AI227" s="2"/>
      <c r="AJ227" s="2"/>
      <c r="AK227" s="2"/>
      <c r="AL227" s="2"/>
      <c r="AM227" s="2"/>
      <c r="AN227" s="2"/>
      <c r="AO227" s="2"/>
      <c r="AP227" s="2"/>
      <c r="AQ227" s="2"/>
    </row>
    <row r="228" spans="4:43" x14ac:dyDescent="0.25">
      <c r="D228" s="54"/>
      <c r="E228" s="54"/>
      <c r="F228" s="54"/>
      <c r="G228" s="54"/>
      <c r="H228" s="54"/>
      <c r="I228" s="54"/>
      <c r="J228" s="2"/>
      <c r="K228" s="2"/>
      <c r="L228" s="2"/>
      <c r="M228" s="2"/>
      <c r="N228" s="2"/>
      <c r="O228" s="2"/>
      <c r="P228" s="2"/>
      <c r="Q228" s="2"/>
      <c r="R228" s="2"/>
      <c r="S228" s="2"/>
      <c r="T228" s="2"/>
      <c r="U228" s="264">
        <v>224</v>
      </c>
      <c r="V228" s="16" t="str">
        <f t="shared" si="174"/>
        <v/>
      </c>
      <c r="W228" s="16" t="str">
        <f t="shared" si="175"/>
        <v/>
      </c>
      <c r="X228" s="16" t="str">
        <f t="shared" si="169"/>
        <v/>
      </c>
      <c r="Y228" s="16" t="str">
        <f t="shared" si="170"/>
        <v/>
      </c>
      <c r="Z228" s="16" t="str">
        <f t="shared" si="171"/>
        <v/>
      </c>
      <c r="AA228" s="16" t="str">
        <f t="shared" si="176"/>
        <v/>
      </c>
      <c r="AB228" s="16" t="str">
        <f t="shared" si="177"/>
        <v/>
      </c>
      <c r="AC228" s="29" t="str">
        <f t="shared" si="172"/>
        <v/>
      </c>
      <c r="AD228" s="29" t="str">
        <f t="shared" si="173"/>
        <v/>
      </c>
      <c r="AE228" s="2"/>
      <c r="AF228" s="2"/>
      <c r="AG228" s="2"/>
      <c r="AH228" s="2"/>
      <c r="AI228" s="2"/>
      <c r="AJ228" s="2"/>
      <c r="AK228" s="2"/>
      <c r="AL228" s="2"/>
      <c r="AM228" s="2"/>
      <c r="AN228" s="2"/>
      <c r="AO228" s="2"/>
      <c r="AP228" s="2"/>
      <c r="AQ228" s="2"/>
    </row>
    <row r="229" spans="4:43" x14ac:dyDescent="0.25">
      <c r="D229" s="54"/>
      <c r="E229" s="54"/>
      <c r="F229" s="54"/>
      <c r="G229" s="54"/>
      <c r="H229" s="54"/>
      <c r="I229" s="54"/>
      <c r="J229" s="2"/>
      <c r="K229" s="2"/>
      <c r="L229" s="2"/>
      <c r="M229" s="2"/>
      <c r="N229" s="2"/>
      <c r="O229" s="2"/>
      <c r="P229" s="2"/>
      <c r="Q229" s="2"/>
      <c r="R229" s="2"/>
      <c r="S229" s="2"/>
      <c r="T229" s="2"/>
      <c r="U229" s="264">
        <v>225</v>
      </c>
      <c r="V229" s="16" t="str">
        <f t="shared" si="174"/>
        <v/>
      </c>
      <c r="W229" s="16" t="str">
        <f t="shared" si="175"/>
        <v/>
      </c>
      <c r="X229" s="16" t="str">
        <f t="shared" si="169"/>
        <v/>
      </c>
      <c r="Y229" s="16" t="str">
        <f t="shared" si="170"/>
        <v/>
      </c>
      <c r="Z229" s="16" t="str">
        <f t="shared" si="171"/>
        <v/>
      </c>
      <c r="AA229" s="16" t="str">
        <f t="shared" si="176"/>
        <v/>
      </c>
      <c r="AB229" s="16" t="str">
        <f t="shared" si="177"/>
        <v/>
      </c>
      <c r="AC229" s="29" t="str">
        <f t="shared" si="172"/>
        <v/>
      </c>
      <c r="AD229" s="29" t="str">
        <f t="shared" si="173"/>
        <v/>
      </c>
      <c r="AE229" s="2"/>
      <c r="AF229" s="2"/>
      <c r="AG229" s="2"/>
      <c r="AH229" s="2"/>
      <c r="AI229" s="2"/>
      <c r="AJ229" s="2"/>
      <c r="AK229" s="2"/>
      <c r="AL229" s="2"/>
      <c r="AM229" s="2"/>
      <c r="AN229" s="2"/>
      <c r="AO229" s="2"/>
      <c r="AP229" s="2"/>
      <c r="AQ229" s="2"/>
    </row>
    <row r="230" spans="4:43" x14ac:dyDescent="0.25">
      <c r="D230" s="54"/>
      <c r="E230" s="54"/>
      <c r="F230" s="54"/>
      <c r="G230" s="54"/>
      <c r="H230" s="54"/>
      <c r="I230" s="54"/>
      <c r="J230" s="2"/>
      <c r="K230" s="2"/>
      <c r="L230" s="2"/>
      <c r="M230" s="2"/>
      <c r="N230" s="2"/>
      <c r="O230" s="2"/>
      <c r="P230" s="2"/>
      <c r="Q230" s="2"/>
      <c r="R230" s="2"/>
      <c r="S230" s="2"/>
      <c r="T230" s="2"/>
      <c r="U230" s="264">
        <v>226</v>
      </c>
      <c r="V230" s="16" t="str">
        <f t="shared" si="174"/>
        <v/>
      </c>
      <c r="W230" s="16" t="str">
        <f t="shared" si="175"/>
        <v/>
      </c>
      <c r="X230" s="16" t="str">
        <f t="shared" si="169"/>
        <v/>
      </c>
      <c r="Y230" s="16" t="str">
        <f t="shared" si="170"/>
        <v/>
      </c>
      <c r="Z230" s="16" t="str">
        <f t="shared" si="171"/>
        <v/>
      </c>
      <c r="AA230" s="16" t="str">
        <f t="shared" si="176"/>
        <v/>
      </c>
      <c r="AB230" s="16" t="str">
        <f t="shared" si="177"/>
        <v/>
      </c>
      <c r="AC230" s="29" t="str">
        <f t="shared" si="172"/>
        <v/>
      </c>
      <c r="AD230" s="29" t="str">
        <f t="shared" si="173"/>
        <v/>
      </c>
      <c r="AE230" s="2"/>
      <c r="AF230" s="2"/>
      <c r="AG230" s="2"/>
      <c r="AH230" s="2"/>
      <c r="AI230" s="2"/>
      <c r="AJ230" s="2"/>
      <c r="AK230" s="2"/>
      <c r="AL230" s="2"/>
      <c r="AM230" s="2"/>
      <c r="AN230" s="2"/>
      <c r="AO230" s="2"/>
      <c r="AP230" s="2"/>
      <c r="AQ230" s="2"/>
    </row>
    <row r="231" spans="4:43" x14ac:dyDescent="0.25">
      <c r="D231" s="54"/>
      <c r="E231" s="54"/>
      <c r="F231" s="54"/>
      <c r="G231" s="54"/>
      <c r="H231" s="54"/>
      <c r="I231" s="54"/>
      <c r="J231" s="2"/>
      <c r="K231" s="2"/>
      <c r="L231" s="2"/>
      <c r="M231" s="2"/>
      <c r="N231" s="2"/>
      <c r="O231" s="2"/>
      <c r="P231" s="2"/>
      <c r="Q231" s="2"/>
      <c r="R231" s="2"/>
      <c r="S231" s="2"/>
      <c r="T231" s="2"/>
      <c r="U231" s="264">
        <v>227</v>
      </c>
      <c r="V231" s="16" t="str">
        <f t="shared" si="174"/>
        <v/>
      </c>
      <c r="W231" s="16" t="str">
        <f t="shared" si="175"/>
        <v/>
      </c>
      <c r="X231" s="16" t="str">
        <f t="shared" si="169"/>
        <v/>
      </c>
      <c r="Y231" s="16" t="str">
        <f t="shared" si="170"/>
        <v/>
      </c>
      <c r="Z231" s="16" t="str">
        <f t="shared" si="171"/>
        <v/>
      </c>
      <c r="AA231" s="16" t="str">
        <f t="shared" si="176"/>
        <v/>
      </c>
      <c r="AB231" s="16" t="str">
        <f t="shared" si="177"/>
        <v/>
      </c>
      <c r="AC231" s="29" t="str">
        <f t="shared" si="172"/>
        <v/>
      </c>
      <c r="AD231" s="29" t="str">
        <f t="shared" si="173"/>
        <v/>
      </c>
      <c r="AE231" s="2"/>
      <c r="AF231" s="2"/>
      <c r="AG231" s="2"/>
      <c r="AH231" s="2"/>
      <c r="AI231" s="2"/>
      <c r="AJ231" s="2"/>
      <c r="AK231" s="2"/>
      <c r="AL231" s="2"/>
      <c r="AM231" s="2"/>
      <c r="AN231" s="2"/>
      <c r="AO231" s="2"/>
      <c r="AP231" s="2"/>
      <c r="AQ231" s="2"/>
    </row>
    <row r="232" spans="4:43" x14ac:dyDescent="0.25">
      <c r="D232" s="54"/>
      <c r="E232" s="54"/>
      <c r="F232" s="54"/>
      <c r="G232" s="54"/>
      <c r="H232" s="54"/>
      <c r="I232" s="54"/>
      <c r="J232" s="2"/>
      <c r="K232" s="2"/>
      <c r="L232" s="2"/>
      <c r="M232" s="2"/>
      <c r="N232" s="2"/>
      <c r="O232" s="2"/>
      <c r="P232" s="2"/>
      <c r="Q232" s="2"/>
      <c r="R232" s="2"/>
      <c r="S232" s="2"/>
      <c r="T232" s="2"/>
      <c r="U232" s="264">
        <v>228</v>
      </c>
      <c r="V232" s="16" t="str">
        <f t="shared" si="174"/>
        <v/>
      </c>
      <c r="W232" s="16" t="str">
        <f t="shared" si="175"/>
        <v/>
      </c>
      <c r="X232" s="16" t="str">
        <f t="shared" si="169"/>
        <v/>
      </c>
      <c r="Y232" s="16" t="str">
        <f t="shared" si="170"/>
        <v/>
      </c>
      <c r="Z232" s="16" t="str">
        <f t="shared" si="171"/>
        <v/>
      </c>
      <c r="AA232" s="16" t="str">
        <f t="shared" si="176"/>
        <v/>
      </c>
      <c r="AB232" s="16" t="str">
        <f t="shared" si="177"/>
        <v/>
      </c>
      <c r="AC232" s="29" t="str">
        <f t="shared" si="172"/>
        <v/>
      </c>
      <c r="AD232" s="29" t="str">
        <f t="shared" si="173"/>
        <v/>
      </c>
      <c r="AE232" s="2"/>
      <c r="AF232" s="2"/>
      <c r="AG232" s="2"/>
      <c r="AH232" s="2"/>
      <c r="AI232" s="2"/>
      <c r="AJ232" s="2"/>
      <c r="AK232" s="2"/>
      <c r="AL232" s="2"/>
      <c r="AM232" s="2"/>
      <c r="AN232" s="2"/>
      <c r="AO232" s="2"/>
      <c r="AP232" s="2"/>
      <c r="AQ232" s="2"/>
    </row>
    <row r="233" spans="4:43" x14ac:dyDescent="0.25">
      <c r="D233" s="54"/>
      <c r="E233" s="54"/>
      <c r="F233" s="54"/>
      <c r="G233" s="54"/>
      <c r="H233" s="54"/>
      <c r="I233" s="54"/>
      <c r="J233" s="2"/>
      <c r="K233" s="2"/>
      <c r="L233" s="2"/>
      <c r="M233" s="2"/>
      <c r="N233" s="2"/>
      <c r="O233" s="2"/>
      <c r="P233" s="2"/>
      <c r="Q233" s="2"/>
      <c r="R233" s="2"/>
      <c r="S233" s="2"/>
      <c r="T233" s="2"/>
      <c r="U233" s="264">
        <v>229</v>
      </c>
      <c r="V233" s="16" t="str">
        <f t="shared" si="174"/>
        <v/>
      </c>
      <c r="W233" s="16" t="str">
        <f t="shared" si="175"/>
        <v/>
      </c>
      <c r="X233" s="16" t="str">
        <f t="shared" si="169"/>
        <v/>
      </c>
      <c r="Y233" s="16" t="str">
        <f t="shared" si="170"/>
        <v/>
      </c>
      <c r="Z233" s="16" t="str">
        <f t="shared" si="171"/>
        <v/>
      </c>
      <c r="AA233" s="16" t="str">
        <f t="shared" si="176"/>
        <v/>
      </c>
      <c r="AB233" s="16" t="str">
        <f t="shared" si="177"/>
        <v/>
      </c>
      <c r="AC233" s="29" t="str">
        <f t="shared" si="172"/>
        <v/>
      </c>
      <c r="AD233" s="29" t="str">
        <f t="shared" si="173"/>
        <v/>
      </c>
      <c r="AE233" s="2"/>
      <c r="AF233" s="2"/>
      <c r="AG233" s="2"/>
      <c r="AH233" s="2"/>
      <c r="AI233" s="2"/>
      <c r="AJ233" s="2"/>
      <c r="AK233" s="2"/>
      <c r="AL233" s="2"/>
      <c r="AM233" s="2"/>
      <c r="AN233" s="2"/>
      <c r="AO233" s="2"/>
      <c r="AP233" s="2"/>
      <c r="AQ233" s="2"/>
    </row>
    <row r="234" spans="4:43" x14ac:dyDescent="0.25">
      <c r="D234" s="54"/>
      <c r="E234" s="54"/>
      <c r="F234" s="54"/>
      <c r="G234" s="54"/>
      <c r="H234" s="54"/>
      <c r="I234" s="54"/>
      <c r="J234" s="2"/>
      <c r="K234" s="2"/>
      <c r="L234" s="2"/>
      <c r="M234" s="2"/>
      <c r="N234" s="2"/>
      <c r="O234" s="2"/>
      <c r="P234" s="2"/>
      <c r="Q234" s="2"/>
      <c r="R234" s="2"/>
      <c r="S234" s="2"/>
      <c r="T234" s="2"/>
      <c r="U234" s="264">
        <v>230</v>
      </c>
      <c r="V234" s="16" t="str">
        <f t="shared" si="174"/>
        <v/>
      </c>
      <c r="W234" s="16" t="str">
        <f t="shared" si="175"/>
        <v/>
      </c>
      <c r="X234" s="16" t="str">
        <f t="shared" si="169"/>
        <v/>
      </c>
      <c r="Y234" s="16" t="str">
        <f t="shared" si="170"/>
        <v/>
      </c>
      <c r="Z234" s="16" t="str">
        <f t="shared" si="171"/>
        <v/>
      </c>
      <c r="AA234" s="16" t="str">
        <f t="shared" si="176"/>
        <v/>
      </c>
      <c r="AB234" s="16" t="str">
        <f t="shared" si="177"/>
        <v/>
      </c>
      <c r="AC234" s="29" t="str">
        <f t="shared" si="172"/>
        <v/>
      </c>
      <c r="AD234" s="29" t="str">
        <f t="shared" si="173"/>
        <v/>
      </c>
      <c r="AE234" s="2"/>
      <c r="AF234" s="2"/>
      <c r="AG234" s="2"/>
      <c r="AH234" s="2"/>
      <c r="AI234" s="2"/>
      <c r="AJ234" s="2"/>
      <c r="AK234" s="2"/>
      <c r="AL234" s="2"/>
      <c r="AM234" s="2"/>
      <c r="AN234" s="2"/>
      <c r="AO234" s="2"/>
      <c r="AP234" s="2"/>
      <c r="AQ234" s="2"/>
    </row>
    <row r="235" spans="4:43" x14ac:dyDescent="0.25">
      <c r="D235" s="54"/>
      <c r="E235" s="54"/>
      <c r="F235" s="54"/>
      <c r="G235" s="54"/>
      <c r="H235" s="54"/>
      <c r="I235" s="54"/>
      <c r="J235" s="2"/>
      <c r="K235" s="2"/>
      <c r="L235" s="2"/>
      <c r="M235" s="2"/>
      <c r="N235" s="2"/>
      <c r="O235" s="2"/>
      <c r="P235" s="2"/>
      <c r="Q235" s="2"/>
      <c r="R235" s="2"/>
      <c r="S235" s="2"/>
      <c r="T235" s="2"/>
      <c r="U235" s="264">
        <v>231</v>
      </c>
      <c r="V235" s="16" t="str">
        <f t="shared" si="174"/>
        <v/>
      </c>
      <c r="W235" s="16" t="str">
        <f t="shared" si="175"/>
        <v/>
      </c>
      <c r="X235" s="16" t="str">
        <f t="shared" si="169"/>
        <v/>
      </c>
      <c r="Y235" s="16" t="str">
        <f t="shared" si="170"/>
        <v/>
      </c>
      <c r="Z235" s="16" t="str">
        <f t="shared" si="171"/>
        <v/>
      </c>
      <c r="AA235" s="16" t="str">
        <f t="shared" si="176"/>
        <v/>
      </c>
      <c r="AB235" s="16" t="str">
        <f t="shared" si="177"/>
        <v/>
      </c>
      <c r="AC235" s="29" t="str">
        <f t="shared" si="172"/>
        <v/>
      </c>
      <c r="AD235" s="29" t="str">
        <f t="shared" si="173"/>
        <v/>
      </c>
      <c r="AE235" s="2"/>
      <c r="AF235" s="2"/>
      <c r="AG235" s="2"/>
      <c r="AH235" s="2"/>
      <c r="AI235" s="2"/>
      <c r="AJ235" s="2"/>
      <c r="AK235" s="2"/>
      <c r="AL235" s="2"/>
      <c r="AM235" s="2"/>
      <c r="AN235" s="2"/>
      <c r="AO235" s="2"/>
      <c r="AP235" s="2"/>
      <c r="AQ235" s="2"/>
    </row>
    <row r="236" spans="4:43" x14ac:dyDescent="0.25">
      <c r="D236" s="54"/>
      <c r="E236" s="54"/>
      <c r="F236" s="54"/>
      <c r="G236" s="54"/>
      <c r="H236" s="54"/>
      <c r="I236" s="54"/>
      <c r="J236" s="2"/>
      <c r="K236" s="2"/>
      <c r="L236" s="2"/>
      <c r="M236" s="2"/>
      <c r="N236" s="2"/>
      <c r="O236" s="2"/>
      <c r="P236" s="2"/>
      <c r="Q236" s="2"/>
      <c r="R236" s="2"/>
      <c r="S236" s="2"/>
      <c r="T236" s="2"/>
      <c r="U236" s="264">
        <v>232</v>
      </c>
      <c r="V236" s="16" t="str">
        <f t="shared" si="174"/>
        <v/>
      </c>
      <c r="W236" s="16" t="str">
        <f t="shared" si="175"/>
        <v/>
      </c>
      <c r="X236" s="16" t="str">
        <f t="shared" si="169"/>
        <v/>
      </c>
      <c r="Y236" s="16" t="str">
        <f t="shared" si="170"/>
        <v/>
      </c>
      <c r="Z236" s="16" t="str">
        <f t="shared" si="171"/>
        <v/>
      </c>
      <c r="AA236" s="16" t="str">
        <f t="shared" si="176"/>
        <v/>
      </c>
      <c r="AB236" s="16" t="str">
        <f t="shared" si="177"/>
        <v/>
      </c>
      <c r="AC236" s="29" t="str">
        <f t="shared" si="172"/>
        <v/>
      </c>
      <c r="AD236" s="29" t="str">
        <f t="shared" si="173"/>
        <v/>
      </c>
      <c r="AE236" s="2"/>
      <c r="AF236" s="2"/>
      <c r="AG236" s="2"/>
      <c r="AH236" s="2"/>
      <c r="AI236" s="2"/>
      <c r="AJ236" s="2"/>
      <c r="AK236" s="2"/>
      <c r="AL236" s="2"/>
      <c r="AM236" s="2"/>
      <c r="AN236" s="2"/>
      <c r="AO236" s="2"/>
      <c r="AP236" s="2"/>
      <c r="AQ236" s="2"/>
    </row>
    <row r="237" spans="4:43" x14ac:dyDescent="0.25">
      <c r="D237" s="54"/>
      <c r="E237" s="54"/>
      <c r="F237" s="54"/>
      <c r="G237" s="54"/>
      <c r="H237" s="54"/>
      <c r="I237" s="54"/>
      <c r="J237" s="2"/>
      <c r="K237" s="2"/>
      <c r="L237" s="2"/>
      <c r="M237" s="2"/>
      <c r="N237" s="2"/>
      <c r="O237" s="2"/>
      <c r="P237" s="2"/>
      <c r="Q237" s="2"/>
      <c r="R237" s="2"/>
      <c r="S237" s="2"/>
      <c r="T237" s="2"/>
      <c r="U237" s="264">
        <v>233</v>
      </c>
      <c r="V237" s="16" t="str">
        <f t="shared" ref="V237:V254" si="178">IF($C$9&gt;=$U237,$O45+0.000001-$V$310,"")</f>
        <v/>
      </c>
      <c r="W237" s="16" t="str">
        <f t="shared" ref="W237:W254" si="179">IF($C$9&gt;=$U237,$N45+0.000001-$V$309,"")</f>
        <v/>
      </c>
      <c r="X237" s="16" t="str">
        <f t="shared" si="169"/>
        <v/>
      </c>
      <c r="Y237" s="16" t="str">
        <f t="shared" si="170"/>
        <v/>
      </c>
      <c r="Z237" s="16" t="str">
        <f t="shared" si="171"/>
        <v/>
      </c>
      <c r="AA237" s="16" t="str">
        <f t="shared" ref="AA237:AA254" si="180">IF($C$9&gt;=$U237,$N45-$V$309,"")</f>
        <v/>
      </c>
      <c r="AB237" s="16" t="str">
        <f t="shared" ref="AB237:AB254" si="181">IF($C$9&gt;=$U237,$O45-$V$310,"")</f>
        <v/>
      </c>
      <c r="AC237" s="29" t="str">
        <f t="shared" si="172"/>
        <v/>
      </c>
      <c r="AD237" s="29" t="str">
        <f t="shared" si="173"/>
        <v/>
      </c>
      <c r="AE237" s="2"/>
      <c r="AF237" s="2"/>
      <c r="AG237" s="2"/>
      <c r="AH237" s="2"/>
      <c r="AI237" s="2"/>
      <c r="AJ237" s="2"/>
      <c r="AK237" s="2"/>
      <c r="AL237" s="2"/>
      <c r="AM237" s="2"/>
      <c r="AN237" s="2"/>
      <c r="AO237" s="2"/>
      <c r="AP237" s="2"/>
      <c r="AQ237" s="2"/>
    </row>
    <row r="238" spans="4:43" x14ac:dyDescent="0.25">
      <c r="D238" s="54"/>
      <c r="E238" s="54"/>
      <c r="F238" s="54"/>
      <c r="G238" s="54"/>
      <c r="H238" s="54"/>
      <c r="I238" s="54"/>
      <c r="J238" s="2"/>
      <c r="K238" s="2"/>
      <c r="L238" s="2"/>
      <c r="M238" s="2"/>
      <c r="N238" s="2"/>
      <c r="O238" s="2"/>
      <c r="P238" s="2"/>
      <c r="Q238" s="2"/>
      <c r="R238" s="2"/>
      <c r="S238" s="2"/>
      <c r="T238" s="2"/>
      <c r="U238" s="264">
        <v>234</v>
      </c>
      <c r="V238" s="16" t="str">
        <f t="shared" si="178"/>
        <v/>
      </c>
      <c r="W238" s="16" t="str">
        <f t="shared" si="179"/>
        <v/>
      </c>
      <c r="X238" s="16" t="str">
        <f t="shared" si="169"/>
        <v/>
      </c>
      <c r="Y238" s="16" t="str">
        <f t="shared" si="170"/>
        <v/>
      </c>
      <c r="Z238" s="16" t="str">
        <f t="shared" si="171"/>
        <v/>
      </c>
      <c r="AA238" s="16" t="str">
        <f t="shared" si="180"/>
        <v/>
      </c>
      <c r="AB238" s="16" t="str">
        <f t="shared" si="181"/>
        <v/>
      </c>
      <c r="AC238" s="29" t="str">
        <f t="shared" si="172"/>
        <v/>
      </c>
      <c r="AD238" s="29" t="str">
        <f t="shared" si="173"/>
        <v/>
      </c>
      <c r="AE238" s="2"/>
      <c r="AF238" s="2"/>
      <c r="AG238" s="2"/>
      <c r="AH238" s="2"/>
      <c r="AI238" s="2"/>
      <c r="AJ238" s="2"/>
      <c r="AK238" s="2"/>
      <c r="AL238" s="2"/>
      <c r="AM238" s="2"/>
      <c r="AN238" s="2"/>
      <c r="AO238" s="2"/>
      <c r="AP238" s="2"/>
      <c r="AQ238" s="2"/>
    </row>
    <row r="239" spans="4:43" x14ac:dyDescent="0.25">
      <c r="D239" s="54"/>
      <c r="E239" s="54"/>
      <c r="F239" s="54"/>
      <c r="G239" s="54"/>
      <c r="H239" s="54"/>
      <c r="I239" s="54"/>
      <c r="J239" s="2"/>
      <c r="K239" s="2"/>
      <c r="L239" s="2"/>
      <c r="M239" s="2"/>
      <c r="N239" s="2"/>
      <c r="O239" s="2"/>
      <c r="P239" s="2"/>
      <c r="Q239" s="2"/>
      <c r="R239" s="2"/>
      <c r="S239" s="2"/>
      <c r="T239" s="2"/>
      <c r="U239" s="264">
        <v>235</v>
      </c>
      <c r="V239" s="16" t="str">
        <f t="shared" si="178"/>
        <v/>
      </c>
      <c r="W239" s="16" t="str">
        <f t="shared" si="179"/>
        <v/>
      </c>
      <c r="X239" s="16" t="str">
        <f t="shared" si="169"/>
        <v/>
      </c>
      <c r="Y239" s="16" t="str">
        <f t="shared" si="170"/>
        <v/>
      </c>
      <c r="Z239" s="16" t="str">
        <f t="shared" si="171"/>
        <v/>
      </c>
      <c r="AA239" s="16" t="str">
        <f t="shared" si="180"/>
        <v/>
      </c>
      <c r="AB239" s="16" t="str">
        <f t="shared" si="181"/>
        <v/>
      </c>
      <c r="AC239" s="29" t="str">
        <f t="shared" si="172"/>
        <v/>
      </c>
      <c r="AD239" s="29" t="str">
        <f t="shared" si="173"/>
        <v/>
      </c>
      <c r="AE239" s="2"/>
      <c r="AF239" s="2"/>
      <c r="AG239" s="2"/>
      <c r="AH239" s="2"/>
      <c r="AI239" s="2"/>
      <c r="AJ239" s="2"/>
      <c r="AK239" s="2"/>
      <c r="AL239" s="2"/>
      <c r="AM239" s="2"/>
      <c r="AN239" s="2"/>
      <c r="AO239" s="2"/>
      <c r="AP239" s="2"/>
      <c r="AQ239" s="2"/>
    </row>
    <row r="240" spans="4:43" x14ac:dyDescent="0.25">
      <c r="D240" s="54"/>
      <c r="E240" s="54"/>
      <c r="F240" s="54"/>
      <c r="G240" s="54"/>
      <c r="H240" s="54"/>
      <c r="I240" s="54"/>
      <c r="J240" s="2"/>
      <c r="K240" s="2"/>
      <c r="L240" s="2"/>
      <c r="M240" s="2"/>
      <c r="N240" s="2"/>
      <c r="O240" s="2"/>
      <c r="P240" s="2"/>
      <c r="Q240" s="2"/>
      <c r="R240" s="2"/>
      <c r="S240" s="2"/>
      <c r="T240" s="2"/>
      <c r="U240" s="264">
        <v>236</v>
      </c>
      <c r="V240" s="16" t="str">
        <f t="shared" si="178"/>
        <v/>
      </c>
      <c r="W240" s="16" t="str">
        <f t="shared" si="179"/>
        <v/>
      </c>
      <c r="X240" s="16" t="str">
        <f t="shared" si="169"/>
        <v/>
      </c>
      <c r="Y240" s="16" t="str">
        <f t="shared" si="170"/>
        <v/>
      </c>
      <c r="Z240" s="16" t="str">
        <f t="shared" si="171"/>
        <v/>
      </c>
      <c r="AA240" s="16" t="str">
        <f t="shared" si="180"/>
        <v/>
      </c>
      <c r="AB240" s="16" t="str">
        <f t="shared" si="181"/>
        <v/>
      </c>
      <c r="AC240" s="29" t="str">
        <f t="shared" si="172"/>
        <v/>
      </c>
      <c r="AD240" s="29" t="str">
        <f t="shared" si="173"/>
        <v/>
      </c>
      <c r="AE240" s="2"/>
      <c r="AF240" s="2"/>
      <c r="AG240" s="2"/>
      <c r="AH240" s="2"/>
      <c r="AI240" s="2"/>
      <c r="AJ240" s="2"/>
      <c r="AK240" s="2"/>
      <c r="AL240" s="2"/>
      <c r="AM240" s="2"/>
      <c r="AN240" s="2"/>
      <c r="AO240" s="2"/>
      <c r="AP240" s="2"/>
      <c r="AQ240" s="2"/>
    </row>
    <row r="241" spans="4:43" x14ac:dyDescent="0.25">
      <c r="D241" s="54"/>
      <c r="E241" s="54"/>
      <c r="F241" s="54"/>
      <c r="G241" s="54"/>
      <c r="H241" s="54"/>
      <c r="I241" s="54"/>
      <c r="J241" s="2"/>
      <c r="K241" s="2"/>
      <c r="L241" s="2"/>
      <c r="M241" s="2"/>
      <c r="N241" s="2"/>
      <c r="O241" s="2"/>
      <c r="P241" s="2"/>
      <c r="Q241" s="2"/>
      <c r="R241" s="2"/>
      <c r="S241" s="2"/>
      <c r="T241" s="2"/>
      <c r="U241" s="264">
        <v>237</v>
      </c>
      <c r="V241" s="16" t="str">
        <f t="shared" si="178"/>
        <v/>
      </c>
      <c r="W241" s="16" t="str">
        <f t="shared" si="179"/>
        <v/>
      </c>
      <c r="X241" s="16" t="str">
        <f t="shared" si="169"/>
        <v/>
      </c>
      <c r="Y241" s="16" t="str">
        <f t="shared" si="170"/>
        <v/>
      </c>
      <c r="Z241" s="16" t="str">
        <f t="shared" si="171"/>
        <v/>
      </c>
      <c r="AA241" s="16" t="str">
        <f t="shared" si="180"/>
        <v/>
      </c>
      <c r="AB241" s="16" t="str">
        <f t="shared" si="181"/>
        <v/>
      </c>
      <c r="AC241" s="29" t="str">
        <f t="shared" si="172"/>
        <v/>
      </c>
      <c r="AD241" s="29" t="str">
        <f t="shared" si="173"/>
        <v/>
      </c>
      <c r="AE241" s="2"/>
      <c r="AF241" s="2"/>
      <c r="AG241" s="2"/>
      <c r="AH241" s="2"/>
      <c r="AI241" s="2"/>
      <c r="AJ241" s="2"/>
      <c r="AK241" s="2"/>
      <c r="AL241" s="2"/>
      <c r="AM241" s="2"/>
      <c r="AN241" s="2"/>
      <c r="AO241" s="2"/>
      <c r="AP241" s="2"/>
      <c r="AQ241" s="2"/>
    </row>
    <row r="242" spans="4:43" x14ac:dyDescent="0.25">
      <c r="D242" s="54"/>
      <c r="E242" s="54"/>
      <c r="F242" s="54"/>
      <c r="G242" s="54"/>
      <c r="H242" s="54"/>
      <c r="I242" s="54"/>
      <c r="J242" s="2"/>
      <c r="K242" s="2"/>
      <c r="L242" s="2"/>
      <c r="M242" s="2"/>
      <c r="N242" s="2"/>
      <c r="O242" s="2"/>
      <c r="P242" s="2"/>
      <c r="Q242" s="2"/>
      <c r="R242" s="2"/>
      <c r="S242" s="2"/>
      <c r="T242" s="2"/>
      <c r="U242" s="264">
        <v>238</v>
      </c>
      <c r="V242" s="16" t="str">
        <f t="shared" si="178"/>
        <v/>
      </c>
      <c r="W242" s="16" t="str">
        <f t="shared" si="179"/>
        <v/>
      </c>
      <c r="X242" s="16" t="str">
        <f t="shared" si="169"/>
        <v/>
      </c>
      <c r="Y242" s="16" t="str">
        <f t="shared" si="170"/>
        <v/>
      </c>
      <c r="Z242" s="16" t="str">
        <f t="shared" si="171"/>
        <v/>
      </c>
      <c r="AA242" s="16" t="str">
        <f t="shared" si="180"/>
        <v/>
      </c>
      <c r="AB242" s="16" t="str">
        <f t="shared" si="181"/>
        <v/>
      </c>
      <c r="AC242" s="29" t="str">
        <f t="shared" si="172"/>
        <v/>
      </c>
      <c r="AD242" s="29" t="str">
        <f t="shared" si="173"/>
        <v/>
      </c>
      <c r="AE242" s="2"/>
      <c r="AF242" s="2"/>
      <c r="AG242" s="2"/>
      <c r="AH242" s="2"/>
      <c r="AI242" s="2"/>
      <c r="AJ242" s="2"/>
      <c r="AK242" s="2"/>
      <c r="AL242" s="2"/>
      <c r="AM242" s="2"/>
      <c r="AN242" s="2"/>
      <c r="AO242" s="2"/>
      <c r="AP242" s="2"/>
      <c r="AQ242" s="2"/>
    </row>
    <row r="243" spans="4:43" x14ac:dyDescent="0.25">
      <c r="D243" s="54"/>
      <c r="E243" s="54"/>
      <c r="F243" s="54"/>
      <c r="G243" s="54"/>
      <c r="H243" s="54"/>
      <c r="I243" s="54"/>
      <c r="J243" s="2"/>
      <c r="K243" s="2"/>
      <c r="L243" s="2"/>
      <c r="M243" s="2"/>
      <c r="N243" s="2"/>
      <c r="O243" s="2"/>
      <c r="P243" s="2"/>
      <c r="Q243" s="2"/>
      <c r="R243" s="2"/>
      <c r="S243" s="2"/>
      <c r="T243" s="2"/>
      <c r="U243" s="264">
        <v>239</v>
      </c>
      <c r="V243" s="16" t="str">
        <f t="shared" si="178"/>
        <v/>
      </c>
      <c r="W243" s="16" t="str">
        <f t="shared" si="179"/>
        <v/>
      </c>
      <c r="X243" s="16" t="str">
        <f t="shared" si="169"/>
        <v/>
      </c>
      <c r="Y243" s="16" t="str">
        <f t="shared" si="170"/>
        <v/>
      </c>
      <c r="Z243" s="16" t="str">
        <f t="shared" si="171"/>
        <v/>
      </c>
      <c r="AA243" s="16" t="str">
        <f t="shared" si="180"/>
        <v/>
      </c>
      <c r="AB243" s="16" t="str">
        <f t="shared" si="181"/>
        <v/>
      </c>
      <c r="AC243" s="29" t="str">
        <f t="shared" si="172"/>
        <v/>
      </c>
      <c r="AD243" s="29" t="str">
        <f t="shared" si="173"/>
        <v/>
      </c>
      <c r="AE243" s="2"/>
      <c r="AF243" s="2"/>
      <c r="AG243" s="2"/>
      <c r="AH243" s="2"/>
      <c r="AI243" s="2"/>
      <c r="AJ243" s="2"/>
      <c r="AK243" s="2"/>
      <c r="AL243" s="2"/>
      <c r="AM243" s="2"/>
      <c r="AN243" s="2"/>
      <c r="AO243" s="2"/>
      <c r="AP243" s="2"/>
      <c r="AQ243" s="2"/>
    </row>
    <row r="244" spans="4:43" x14ac:dyDescent="0.25">
      <c r="D244" s="54"/>
      <c r="E244" s="54"/>
      <c r="F244" s="54"/>
      <c r="G244" s="54"/>
      <c r="H244" s="54"/>
      <c r="I244" s="54"/>
      <c r="J244" s="2"/>
      <c r="K244" s="2"/>
      <c r="L244" s="2"/>
      <c r="M244" s="2"/>
      <c r="N244" s="2"/>
      <c r="O244" s="2"/>
      <c r="P244" s="2"/>
      <c r="Q244" s="2"/>
      <c r="R244" s="2"/>
      <c r="S244" s="2"/>
      <c r="T244" s="2"/>
      <c r="U244" s="264">
        <v>240</v>
      </c>
      <c r="V244" s="16" t="str">
        <f t="shared" si="178"/>
        <v/>
      </c>
      <c r="W244" s="16" t="str">
        <f t="shared" si="179"/>
        <v/>
      </c>
      <c r="X244" s="16" t="str">
        <f t="shared" si="169"/>
        <v/>
      </c>
      <c r="Y244" s="16" t="str">
        <f t="shared" si="170"/>
        <v/>
      </c>
      <c r="Z244" s="16" t="str">
        <f t="shared" si="171"/>
        <v/>
      </c>
      <c r="AA244" s="16" t="str">
        <f t="shared" si="180"/>
        <v/>
      </c>
      <c r="AB244" s="16" t="str">
        <f t="shared" si="181"/>
        <v/>
      </c>
      <c r="AC244" s="29" t="str">
        <f t="shared" si="172"/>
        <v/>
      </c>
      <c r="AD244" s="29" t="str">
        <f t="shared" si="173"/>
        <v/>
      </c>
      <c r="AE244" s="2"/>
      <c r="AF244" s="2"/>
      <c r="AG244" s="2"/>
      <c r="AH244" s="2"/>
      <c r="AI244" s="2"/>
      <c r="AJ244" s="2"/>
      <c r="AK244" s="2"/>
      <c r="AL244" s="2"/>
      <c r="AM244" s="2"/>
      <c r="AN244" s="2"/>
      <c r="AO244" s="2"/>
      <c r="AP244" s="2"/>
      <c r="AQ244" s="2"/>
    </row>
    <row r="245" spans="4:43" x14ac:dyDescent="0.25">
      <c r="D245" s="54"/>
      <c r="E245" s="54"/>
      <c r="F245" s="54"/>
      <c r="G245" s="54"/>
      <c r="H245" s="54"/>
      <c r="I245" s="54"/>
      <c r="J245" s="2"/>
      <c r="K245" s="2"/>
      <c r="L245" s="2"/>
      <c r="M245" s="2"/>
      <c r="N245" s="2"/>
      <c r="O245" s="2"/>
      <c r="P245" s="2"/>
      <c r="Q245" s="2"/>
      <c r="R245" s="2"/>
      <c r="S245" s="2"/>
      <c r="T245" s="2"/>
      <c r="U245" s="264">
        <v>241</v>
      </c>
      <c r="V245" s="16" t="str">
        <f t="shared" si="178"/>
        <v/>
      </c>
      <c r="W245" s="16" t="str">
        <f t="shared" si="179"/>
        <v/>
      </c>
      <c r="X245" s="16" t="str">
        <f t="shared" si="169"/>
        <v/>
      </c>
      <c r="Y245" s="16" t="str">
        <f t="shared" si="170"/>
        <v/>
      </c>
      <c r="Z245" s="16" t="str">
        <f t="shared" si="171"/>
        <v/>
      </c>
      <c r="AA245" s="16" t="str">
        <f t="shared" si="180"/>
        <v/>
      </c>
      <c r="AB245" s="16" t="str">
        <f t="shared" si="181"/>
        <v/>
      </c>
      <c r="AC245" s="29" t="str">
        <f t="shared" si="172"/>
        <v/>
      </c>
      <c r="AD245" s="29" t="str">
        <f t="shared" si="173"/>
        <v/>
      </c>
      <c r="AE245" s="2"/>
      <c r="AF245" s="2"/>
      <c r="AG245" s="2"/>
      <c r="AH245" s="2"/>
      <c r="AI245" s="2"/>
      <c r="AJ245" s="2"/>
      <c r="AK245" s="2"/>
      <c r="AL245" s="2"/>
      <c r="AM245" s="2"/>
      <c r="AN245" s="2"/>
      <c r="AO245" s="2"/>
      <c r="AP245" s="2"/>
      <c r="AQ245" s="2"/>
    </row>
    <row r="246" spans="4:43" x14ac:dyDescent="0.25">
      <c r="D246" s="54"/>
      <c r="E246" s="54"/>
      <c r="F246" s="54"/>
      <c r="G246" s="54"/>
      <c r="H246" s="54"/>
      <c r="I246" s="54"/>
      <c r="J246" s="2"/>
      <c r="K246" s="2"/>
      <c r="L246" s="2"/>
      <c r="M246" s="2"/>
      <c r="N246" s="2"/>
      <c r="O246" s="2"/>
      <c r="P246" s="2"/>
      <c r="Q246" s="2"/>
      <c r="R246" s="2"/>
      <c r="S246" s="2"/>
      <c r="T246" s="2"/>
      <c r="U246" s="264">
        <v>242</v>
      </c>
      <c r="V246" s="16" t="str">
        <f t="shared" si="178"/>
        <v/>
      </c>
      <c r="W246" s="16" t="str">
        <f t="shared" si="179"/>
        <v/>
      </c>
      <c r="X246" s="16" t="str">
        <f t="shared" si="169"/>
        <v/>
      </c>
      <c r="Y246" s="16" t="str">
        <f t="shared" si="170"/>
        <v/>
      </c>
      <c r="Z246" s="16" t="str">
        <f t="shared" si="171"/>
        <v/>
      </c>
      <c r="AA246" s="16" t="str">
        <f t="shared" si="180"/>
        <v/>
      </c>
      <c r="AB246" s="16" t="str">
        <f t="shared" si="181"/>
        <v/>
      </c>
      <c r="AC246" s="29" t="str">
        <f t="shared" si="172"/>
        <v/>
      </c>
      <c r="AD246" s="29" t="str">
        <f t="shared" si="173"/>
        <v/>
      </c>
      <c r="AE246" s="2"/>
      <c r="AF246" s="2"/>
      <c r="AG246" s="2"/>
      <c r="AH246" s="2"/>
      <c r="AI246" s="2"/>
      <c r="AJ246" s="2"/>
      <c r="AK246" s="2"/>
      <c r="AL246" s="2"/>
      <c r="AM246" s="2"/>
      <c r="AN246" s="2"/>
      <c r="AO246" s="2"/>
      <c r="AP246" s="2"/>
      <c r="AQ246" s="2"/>
    </row>
    <row r="247" spans="4:43" x14ac:dyDescent="0.25">
      <c r="D247" s="54"/>
      <c r="E247" s="54"/>
      <c r="F247" s="54"/>
      <c r="G247" s="54"/>
      <c r="H247" s="54"/>
      <c r="I247" s="54"/>
      <c r="J247" s="2"/>
      <c r="K247" s="2"/>
      <c r="L247" s="2"/>
      <c r="M247" s="2"/>
      <c r="N247" s="2"/>
      <c r="O247" s="2"/>
      <c r="P247" s="2"/>
      <c r="Q247" s="2"/>
      <c r="R247" s="2"/>
      <c r="S247" s="2"/>
      <c r="T247" s="2"/>
      <c r="U247" s="264">
        <v>243</v>
      </c>
      <c r="V247" s="16" t="str">
        <f t="shared" si="178"/>
        <v/>
      </c>
      <c r="W247" s="16" t="str">
        <f t="shared" si="179"/>
        <v/>
      </c>
      <c r="X247" s="16" t="str">
        <f t="shared" si="169"/>
        <v/>
      </c>
      <c r="Y247" s="16" t="str">
        <f t="shared" si="170"/>
        <v/>
      </c>
      <c r="Z247" s="16" t="str">
        <f t="shared" si="171"/>
        <v/>
      </c>
      <c r="AA247" s="16" t="str">
        <f t="shared" si="180"/>
        <v/>
      </c>
      <c r="AB247" s="16" t="str">
        <f t="shared" si="181"/>
        <v/>
      </c>
      <c r="AC247" s="29" t="str">
        <f t="shared" si="172"/>
        <v/>
      </c>
      <c r="AD247" s="29" t="str">
        <f t="shared" si="173"/>
        <v/>
      </c>
      <c r="AE247" s="2"/>
      <c r="AF247" s="2"/>
      <c r="AG247" s="2"/>
      <c r="AH247" s="2"/>
      <c r="AI247" s="2"/>
      <c r="AJ247" s="2"/>
      <c r="AK247" s="2"/>
      <c r="AL247" s="2"/>
      <c r="AM247" s="2"/>
      <c r="AN247" s="2"/>
      <c r="AO247" s="2"/>
      <c r="AP247" s="2"/>
      <c r="AQ247" s="2"/>
    </row>
    <row r="248" spans="4:43" x14ac:dyDescent="0.25">
      <c r="D248" s="54"/>
      <c r="E248" s="54"/>
      <c r="F248" s="54"/>
      <c r="G248" s="54"/>
      <c r="H248" s="54"/>
      <c r="I248" s="54"/>
      <c r="J248" s="2"/>
      <c r="K248" s="2"/>
      <c r="L248" s="2"/>
      <c r="M248" s="2"/>
      <c r="N248" s="2"/>
      <c r="O248" s="2"/>
      <c r="P248" s="2"/>
      <c r="Q248" s="2"/>
      <c r="R248" s="2"/>
      <c r="S248" s="2"/>
      <c r="T248" s="2"/>
      <c r="U248" s="264">
        <v>244</v>
      </c>
      <c r="V248" s="16" t="str">
        <f t="shared" si="178"/>
        <v/>
      </c>
      <c r="W248" s="16" t="str">
        <f t="shared" si="179"/>
        <v/>
      </c>
      <c r="X248" s="16" t="str">
        <f t="shared" si="169"/>
        <v/>
      </c>
      <c r="Y248" s="16" t="str">
        <f t="shared" si="170"/>
        <v/>
      </c>
      <c r="Z248" s="16" t="str">
        <f t="shared" si="171"/>
        <v/>
      </c>
      <c r="AA248" s="16" t="str">
        <f t="shared" si="180"/>
        <v/>
      </c>
      <c r="AB248" s="16" t="str">
        <f t="shared" si="181"/>
        <v/>
      </c>
      <c r="AC248" s="29" t="str">
        <f t="shared" si="172"/>
        <v/>
      </c>
      <c r="AD248" s="29" t="str">
        <f t="shared" si="173"/>
        <v/>
      </c>
      <c r="AE248" s="2"/>
      <c r="AF248" s="2"/>
      <c r="AG248" s="2"/>
      <c r="AH248" s="2"/>
      <c r="AI248" s="2"/>
      <c r="AJ248" s="2"/>
      <c r="AK248" s="2"/>
      <c r="AL248" s="2"/>
      <c r="AM248" s="2"/>
      <c r="AN248" s="2"/>
      <c r="AO248" s="2"/>
      <c r="AP248" s="2"/>
      <c r="AQ248" s="2"/>
    </row>
    <row r="249" spans="4:43" x14ac:dyDescent="0.25">
      <c r="D249" s="54"/>
      <c r="E249" s="54"/>
      <c r="F249" s="54"/>
      <c r="G249" s="54"/>
      <c r="H249" s="54"/>
      <c r="I249" s="54"/>
      <c r="J249" s="2"/>
      <c r="K249" s="2"/>
      <c r="L249" s="2"/>
      <c r="M249" s="2"/>
      <c r="N249" s="2"/>
      <c r="O249" s="2"/>
      <c r="P249" s="2"/>
      <c r="Q249" s="2"/>
      <c r="R249" s="2"/>
      <c r="S249" s="2"/>
      <c r="T249" s="2"/>
      <c r="U249" s="264">
        <v>245</v>
      </c>
      <c r="V249" s="16" t="str">
        <f t="shared" si="178"/>
        <v/>
      </c>
      <c r="W249" s="16" t="str">
        <f t="shared" si="179"/>
        <v/>
      </c>
      <c r="X249" s="16" t="str">
        <f t="shared" si="169"/>
        <v/>
      </c>
      <c r="Y249" s="16" t="str">
        <f t="shared" si="170"/>
        <v/>
      </c>
      <c r="Z249" s="16" t="str">
        <f t="shared" si="171"/>
        <v/>
      </c>
      <c r="AA249" s="16" t="str">
        <f t="shared" si="180"/>
        <v/>
      </c>
      <c r="AB249" s="16" t="str">
        <f t="shared" si="181"/>
        <v/>
      </c>
      <c r="AC249" s="29" t="str">
        <f t="shared" si="172"/>
        <v/>
      </c>
      <c r="AD249" s="29" t="str">
        <f t="shared" si="173"/>
        <v/>
      </c>
      <c r="AE249" s="2"/>
      <c r="AF249" s="2"/>
      <c r="AG249" s="2"/>
      <c r="AH249" s="2"/>
      <c r="AI249" s="2"/>
      <c r="AJ249" s="2"/>
      <c r="AK249" s="2"/>
      <c r="AL249" s="2"/>
      <c r="AM249" s="2"/>
      <c r="AN249" s="2"/>
      <c r="AO249" s="2"/>
      <c r="AP249" s="2"/>
      <c r="AQ249" s="2"/>
    </row>
    <row r="250" spans="4:43" x14ac:dyDescent="0.25">
      <c r="D250" s="54"/>
      <c r="E250" s="54"/>
      <c r="F250" s="54"/>
      <c r="G250" s="54"/>
      <c r="H250" s="54"/>
      <c r="I250" s="54"/>
      <c r="J250" s="2"/>
      <c r="K250" s="2"/>
      <c r="L250" s="2"/>
      <c r="M250" s="2"/>
      <c r="N250" s="2"/>
      <c r="O250" s="2"/>
      <c r="P250" s="2"/>
      <c r="Q250" s="2"/>
      <c r="R250" s="2"/>
      <c r="S250" s="2"/>
      <c r="T250" s="2"/>
      <c r="U250" s="264">
        <v>246</v>
      </c>
      <c r="V250" s="16" t="str">
        <f t="shared" si="178"/>
        <v/>
      </c>
      <c r="W250" s="16" t="str">
        <f t="shared" si="179"/>
        <v/>
      </c>
      <c r="X250" s="16" t="str">
        <f t="shared" si="169"/>
        <v/>
      </c>
      <c r="Y250" s="16" t="str">
        <f t="shared" si="170"/>
        <v/>
      </c>
      <c r="Z250" s="16" t="str">
        <f t="shared" si="171"/>
        <v/>
      </c>
      <c r="AA250" s="16" t="str">
        <f t="shared" si="180"/>
        <v/>
      </c>
      <c r="AB250" s="16" t="str">
        <f t="shared" si="181"/>
        <v/>
      </c>
      <c r="AC250" s="29" t="str">
        <f t="shared" si="172"/>
        <v/>
      </c>
      <c r="AD250" s="29" t="str">
        <f t="shared" si="173"/>
        <v/>
      </c>
      <c r="AE250" s="2"/>
      <c r="AF250" s="2"/>
      <c r="AG250" s="2"/>
      <c r="AH250" s="2"/>
      <c r="AI250" s="2"/>
      <c r="AJ250" s="2"/>
      <c r="AK250" s="2"/>
      <c r="AL250" s="2"/>
      <c r="AM250" s="2"/>
      <c r="AN250" s="2"/>
      <c r="AO250" s="2"/>
      <c r="AP250" s="2"/>
      <c r="AQ250" s="2"/>
    </row>
    <row r="251" spans="4:43" x14ac:dyDescent="0.25">
      <c r="D251" s="54"/>
      <c r="E251" s="54"/>
      <c r="F251" s="54"/>
      <c r="G251" s="54"/>
      <c r="H251" s="54"/>
      <c r="I251" s="54"/>
      <c r="J251" s="2"/>
      <c r="K251" s="2"/>
      <c r="L251" s="2"/>
      <c r="M251" s="2"/>
      <c r="N251" s="2"/>
      <c r="O251" s="2"/>
      <c r="P251" s="2"/>
      <c r="Q251" s="2"/>
      <c r="R251" s="2"/>
      <c r="S251" s="2"/>
      <c r="T251" s="2"/>
      <c r="U251" s="264">
        <v>247</v>
      </c>
      <c r="V251" s="16" t="str">
        <f t="shared" si="178"/>
        <v/>
      </c>
      <c r="W251" s="16" t="str">
        <f t="shared" si="179"/>
        <v/>
      </c>
      <c r="X251" s="16" t="str">
        <f t="shared" si="169"/>
        <v/>
      </c>
      <c r="Y251" s="16" t="str">
        <f t="shared" si="170"/>
        <v/>
      </c>
      <c r="Z251" s="16" t="str">
        <f t="shared" si="171"/>
        <v/>
      </c>
      <c r="AA251" s="16" t="str">
        <f t="shared" si="180"/>
        <v/>
      </c>
      <c r="AB251" s="16" t="str">
        <f t="shared" si="181"/>
        <v/>
      </c>
      <c r="AC251" s="29" t="str">
        <f t="shared" si="172"/>
        <v/>
      </c>
      <c r="AD251" s="29" t="str">
        <f t="shared" si="173"/>
        <v/>
      </c>
      <c r="AE251" s="2"/>
      <c r="AF251" s="2"/>
      <c r="AG251" s="2"/>
      <c r="AH251" s="2"/>
      <c r="AI251" s="2"/>
      <c r="AJ251" s="2"/>
      <c r="AK251" s="2"/>
      <c r="AL251" s="2"/>
      <c r="AM251" s="2"/>
      <c r="AN251" s="2"/>
      <c r="AO251" s="2"/>
      <c r="AP251" s="2"/>
      <c r="AQ251" s="2"/>
    </row>
    <row r="252" spans="4:43" x14ac:dyDescent="0.25">
      <c r="D252" s="54"/>
      <c r="E252" s="54"/>
      <c r="F252" s="54"/>
      <c r="G252" s="54"/>
      <c r="H252" s="54"/>
      <c r="I252" s="54"/>
      <c r="J252" s="2"/>
      <c r="K252" s="2"/>
      <c r="L252" s="2"/>
      <c r="M252" s="2"/>
      <c r="N252" s="2"/>
      <c r="O252" s="2"/>
      <c r="P252" s="2"/>
      <c r="Q252" s="2"/>
      <c r="R252" s="2"/>
      <c r="S252" s="2"/>
      <c r="T252" s="2"/>
      <c r="U252" s="264">
        <v>248</v>
      </c>
      <c r="V252" s="16" t="str">
        <f t="shared" si="178"/>
        <v/>
      </c>
      <c r="W252" s="16" t="str">
        <f t="shared" si="179"/>
        <v/>
      </c>
      <c r="X252" s="16" t="str">
        <f t="shared" si="169"/>
        <v/>
      </c>
      <c r="Y252" s="16" t="str">
        <f t="shared" si="170"/>
        <v/>
      </c>
      <c r="Z252" s="16" t="str">
        <f t="shared" si="171"/>
        <v/>
      </c>
      <c r="AA252" s="16" t="str">
        <f t="shared" si="180"/>
        <v/>
      </c>
      <c r="AB252" s="16" t="str">
        <f t="shared" si="181"/>
        <v/>
      </c>
      <c r="AC252" s="29" t="str">
        <f t="shared" si="172"/>
        <v/>
      </c>
      <c r="AD252" s="29" t="str">
        <f t="shared" si="173"/>
        <v/>
      </c>
      <c r="AE252" s="2"/>
      <c r="AF252" s="2"/>
      <c r="AG252" s="2"/>
      <c r="AH252" s="2"/>
      <c r="AI252" s="2"/>
      <c r="AJ252" s="2"/>
      <c r="AK252" s="2"/>
      <c r="AL252" s="2"/>
      <c r="AM252" s="2"/>
      <c r="AN252" s="2"/>
      <c r="AO252" s="2"/>
      <c r="AP252" s="2"/>
      <c r="AQ252" s="2"/>
    </row>
    <row r="253" spans="4:43" x14ac:dyDescent="0.25">
      <c r="D253" s="54"/>
      <c r="E253" s="54"/>
      <c r="F253" s="54"/>
      <c r="G253" s="54"/>
      <c r="H253" s="54"/>
      <c r="I253" s="54"/>
      <c r="J253" s="2"/>
      <c r="K253" s="2"/>
      <c r="L253" s="2"/>
      <c r="M253" s="2"/>
      <c r="N253" s="2"/>
      <c r="O253" s="2"/>
      <c r="P253" s="2"/>
      <c r="Q253" s="2"/>
      <c r="R253" s="2"/>
      <c r="S253" s="2"/>
      <c r="T253" s="2"/>
      <c r="U253" s="264">
        <v>249</v>
      </c>
      <c r="V253" s="16" t="str">
        <f t="shared" si="178"/>
        <v/>
      </c>
      <c r="W253" s="16" t="str">
        <f t="shared" si="179"/>
        <v/>
      </c>
      <c r="X253" s="16" t="str">
        <f t="shared" si="169"/>
        <v/>
      </c>
      <c r="Y253" s="16" t="str">
        <f t="shared" si="170"/>
        <v/>
      </c>
      <c r="Z253" s="16" t="str">
        <f t="shared" si="171"/>
        <v/>
      </c>
      <c r="AA253" s="16" t="str">
        <f t="shared" si="180"/>
        <v/>
      </c>
      <c r="AB253" s="16" t="str">
        <f t="shared" si="181"/>
        <v/>
      </c>
      <c r="AC253" s="29" t="str">
        <f t="shared" si="172"/>
        <v/>
      </c>
      <c r="AD253" s="29" t="str">
        <f t="shared" si="173"/>
        <v/>
      </c>
      <c r="AE253" s="2"/>
      <c r="AF253" s="2"/>
      <c r="AG253" s="2"/>
      <c r="AH253" s="2"/>
      <c r="AI253" s="2"/>
      <c r="AJ253" s="2"/>
      <c r="AK253" s="2"/>
      <c r="AL253" s="2"/>
      <c r="AM253" s="2"/>
      <c r="AN253" s="2"/>
      <c r="AO253" s="2"/>
      <c r="AP253" s="2"/>
      <c r="AQ253" s="2"/>
    </row>
    <row r="254" spans="4:43" x14ac:dyDescent="0.25">
      <c r="D254" s="54"/>
      <c r="E254" s="54"/>
      <c r="F254" s="54"/>
      <c r="G254" s="54"/>
      <c r="H254" s="54"/>
      <c r="I254" s="54"/>
      <c r="J254" s="2"/>
      <c r="K254" s="2"/>
      <c r="L254" s="2"/>
      <c r="M254" s="2"/>
      <c r="N254" s="2"/>
      <c r="O254" s="2"/>
      <c r="P254" s="2"/>
      <c r="Q254" s="2"/>
      <c r="R254" s="2"/>
      <c r="S254" s="2"/>
      <c r="T254" s="2"/>
      <c r="U254" s="264">
        <v>250</v>
      </c>
      <c r="V254" s="16" t="str">
        <f t="shared" si="178"/>
        <v/>
      </c>
      <c r="W254" s="16" t="str">
        <f t="shared" si="179"/>
        <v/>
      </c>
      <c r="X254" s="16" t="str">
        <f t="shared" si="169"/>
        <v/>
      </c>
      <c r="Y254" s="16" t="str">
        <f t="shared" si="170"/>
        <v/>
      </c>
      <c r="Z254" s="16" t="str">
        <f t="shared" si="171"/>
        <v/>
      </c>
      <c r="AA254" s="16" t="str">
        <f t="shared" si="180"/>
        <v/>
      </c>
      <c r="AB254" s="16" t="str">
        <f t="shared" si="181"/>
        <v/>
      </c>
      <c r="AC254" s="29" t="str">
        <f t="shared" si="172"/>
        <v/>
      </c>
      <c r="AD254" s="29" t="str">
        <f t="shared" si="173"/>
        <v/>
      </c>
      <c r="AE254" s="2"/>
      <c r="AF254" s="2"/>
      <c r="AG254" s="2"/>
      <c r="AH254" s="2"/>
      <c r="AI254" s="2"/>
      <c r="AJ254" s="2"/>
      <c r="AK254" s="2"/>
      <c r="AL254" s="2"/>
      <c r="AM254" s="2"/>
      <c r="AN254" s="2"/>
      <c r="AO254" s="2"/>
      <c r="AP254" s="2"/>
      <c r="AQ254" s="2"/>
    </row>
    <row r="255" spans="4:43" x14ac:dyDescent="0.25">
      <c r="D255" s="54"/>
      <c r="E255" s="54"/>
      <c r="F255" s="54"/>
      <c r="G255" s="54"/>
      <c r="H255" s="54"/>
      <c r="I255" s="54"/>
      <c r="J255" s="2"/>
      <c r="K255" s="2"/>
      <c r="L255" s="2"/>
      <c r="M255" s="2"/>
      <c r="N255" s="2"/>
      <c r="O255" s="2"/>
      <c r="P255" s="2"/>
      <c r="Q255" s="2"/>
      <c r="R255" s="2"/>
      <c r="S255" s="2"/>
      <c r="T255" s="2"/>
      <c r="U255" s="264">
        <v>251</v>
      </c>
      <c r="V255" s="16" t="str">
        <f t="shared" ref="V255:V286" si="182">IF($C$9&gt;=$U255,$R13+0.000001-$V$310,"")</f>
        <v/>
      </c>
      <c r="W255" s="16" t="str">
        <f t="shared" ref="W255:W286" si="183">IF($C$9&gt;=$U255,$Q13+0.000001-$V$309,"")</f>
        <v/>
      </c>
      <c r="X255" s="16" t="str">
        <f t="shared" si="169"/>
        <v/>
      </c>
      <c r="Y255" s="16" t="str">
        <f t="shared" si="170"/>
        <v/>
      </c>
      <c r="Z255" s="16" t="str">
        <f t="shared" si="171"/>
        <v/>
      </c>
      <c r="AA255" s="16" t="str">
        <f t="shared" ref="AA255:AA286" si="184">IF($C$9&gt;=$U255,$Q13-$V$309,"")</f>
        <v/>
      </c>
      <c r="AB255" s="16" t="str">
        <f t="shared" ref="AB255:AB286" si="185">IF($C$9&gt;=$U255,$R13-$V$310,"")</f>
        <v/>
      </c>
      <c r="AC255" s="29" t="str">
        <f t="shared" si="172"/>
        <v/>
      </c>
      <c r="AD255" s="29" t="str">
        <f t="shared" si="173"/>
        <v/>
      </c>
      <c r="AE255" s="2"/>
      <c r="AF255" s="2"/>
      <c r="AG255" s="2"/>
      <c r="AH255" s="2"/>
      <c r="AI255" s="2"/>
      <c r="AJ255" s="2"/>
      <c r="AK255" s="2"/>
      <c r="AL255" s="2"/>
      <c r="AM255" s="2"/>
      <c r="AN255" s="2"/>
      <c r="AO255" s="2"/>
      <c r="AP255" s="2"/>
      <c r="AQ255" s="2"/>
    </row>
    <row r="256" spans="4:43" x14ac:dyDescent="0.25">
      <c r="D256" s="54"/>
      <c r="E256" s="54"/>
      <c r="F256" s="54"/>
      <c r="G256" s="54"/>
      <c r="H256" s="54"/>
      <c r="I256" s="54"/>
      <c r="J256" s="2"/>
      <c r="K256" s="2"/>
      <c r="L256" s="2"/>
      <c r="M256" s="2"/>
      <c r="N256" s="2"/>
      <c r="O256" s="2"/>
      <c r="P256" s="2"/>
      <c r="Q256" s="2"/>
      <c r="R256" s="2"/>
      <c r="S256" s="2"/>
      <c r="T256" s="2"/>
      <c r="U256" s="264">
        <v>252</v>
      </c>
      <c r="V256" s="16" t="str">
        <f t="shared" si="182"/>
        <v/>
      </c>
      <c r="W256" s="16" t="str">
        <f t="shared" si="183"/>
        <v/>
      </c>
      <c r="X256" s="16" t="str">
        <f t="shared" si="169"/>
        <v/>
      </c>
      <c r="Y256" s="16" t="str">
        <f t="shared" si="170"/>
        <v/>
      </c>
      <c r="Z256" s="16" t="str">
        <f t="shared" si="171"/>
        <v/>
      </c>
      <c r="AA256" s="16" t="str">
        <f t="shared" si="184"/>
        <v/>
      </c>
      <c r="AB256" s="16" t="str">
        <f t="shared" si="185"/>
        <v/>
      </c>
      <c r="AC256" s="29" t="str">
        <f t="shared" si="172"/>
        <v/>
      </c>
      <c r="AD256" s="29" t="str">
        <f t="shared" si="173"/>
        <v/>
      </c>
      <c r="AE256" s="2"/>
      <c r="AF256" s="2"/>
      <c r="AG256" s="2"/>
      <c r="AH256" s="2"/>
      <c r="AI256" s="2"/>
      <c r="AJ256" s="2"/>
      <c r="AK256" s="2"/>
      <c r="AL256" s="2"/>
      <c r="AM256" s="2"/>
      <c r="AN256" s="2"/>
      <c r="AO256" s="2"/>
      <c r="AP256" s="2"/>
      <c r="AQ256" s="2"/>
    </row>
    <row r="257" spans="4:43" x14ac:dyDescent="0.25">
      <c r="D257" s="54"/>
      <c r="E257" s="54"/>
      <c r="F257" s="54"/>
      <c r="G257" s="54"/>
      <c r="H257" s="54"/>
      <c r="I257" s="54"/>
      <c r="J257" s="2"/>
      <c r="K257" s="2"/>
      <c r="L257" s="2"/>
      <c r="M257" s="2"/>
      <c r="N257" s="2"/>
      <c r="O257" s="2"/>
      <c r="P257" s="2"/>
      <c r="Q257" s="2"/>
      <c r="R257" s="2"/>
      <c r="S257" s="2"/>
      <c r="T257" s="2"/>
      <c r="U257" s="264">
        <v>253</v>
      </c>
      <c r="V257" s="16" t="str">
        <f t="shared" si="182"/>
        <v/>
      </c>
      <c r="W257" s="16" t="str">
        <f t="shared" si="183"/>
        <v/>
      </c>
      <c r="X257" s="16" t="str">
        <f t="shared" si="169"/>
        <v/>
      </c>
      <c r="Y257" s="16" t="str">
        <f t="shared" si="170"/>
        <v/>
      </c>
      <c r="Z257" s="16" t="str">
        <f t="shared" si="171"/>
        <v/>
      </c>
      <c r="AA257" s="16" t="str">
        <f t="shared" si="184"/>
        <v/>
      </c>
      <c r="AB257" s="16" t="str">
        <f t="shared" si="185"/>
        <v/>
      </c>
      <c r="AC257" s="29" t="str">
        <f t="shared" si="172"/>
        <v/>
      </c>
      <c r="AD257" s="29" t="str">
        <f t="shared" si="173"/>
        <v/>
      </c>
      <c r="AE257" s="2"/>
      <c r="AF257" s="2"/>
      <c r="AG257" s="2"/>
      <c r="AH257" s="2"/>
      <c r="AI257" s="2"/>
      <c r="AJ257" s="2"/>
      <c r="AK257" s="2"/>
      <c r="AL257" s="2"/>
      <c r="AM257" s="2"/>
      <c r="AN257" s="2"/>
      <c r="AO257" s="2"/>
      <c r="AP257" s="2"/>
      <c r="AQ257" s="2"/>
    </row>
    <row r="258" spans="4:43" x14ac:dyDescent="0.25">
      <c r="D258" s="54"/>
      <c r="E258" s="54"/>
      <c r="F258" s="54"/>
      <c r="G258" s="54"/>
      <c r="H258" s="54"/>
      <c r="I258" s="54"/>
      <c r="J258" s="2"/>
      <c r="K258" s="2"/>
      <c r="L258" s="2"/>
      <c r="M258" s="2"/>
      <c r="N258" s="2"/>
      <c r="O258" s="2"/>
      <c r="P258" s="2"/>
      <c r="Q258" s="2"/>
      <c r="R258" s="2"/>
      <c r="S258" s="2"/>
      <c r="T258" s="2"/>
      <c r="U258" s="264">
        <v>254</v>
      </c>
      <c r="V258" s="16" t="str">
        <f t="shared" si="182"/>
        <v/>
      </c>
      <c r="W258" s="16" t="str">
        <f t="shared" si="183"/>
        <v/>
      </c>
      <c r="X258" s="16" t="str">
        <f t="shared" si="169"/>
        <v/>
      </c>
      <c r="Y258" s="16" t="str">
        <f t="shared" si="170"/>
        <v/>
      </c>
      <c r="Z258" s="16" t="str">
        <f t="shared" si="171"/>
        <v/>
      </c>
      <c r="AA258" s="16" t="str">
        <f t="shared" si="184"/>
        <v/>
      </c>
      <c r="AB258" s="16" t="str">
        <f t="shared" si="185"/>
        <v/>
      </c>
      <c r="AC258" s="29" t="str">
        <f t="shared" si="172"/>
        <v/>
      </c>
      <c r="AD258" s="29" t="str">
        <f t="shared" si="173"/>
        <v/>
      </c>
      <c r="AE258" s="2"/>
      <c r="AF258" s="2"/>
      <c r="AG258" s="2"/>
      <c r="AH258" s="2"/>
      <c r="AI258" s="2"/>
      <c r="AJ258" s="2"/>
      <c r="AK258" s="2"/>
      <c r="AL258" s="2"/>
      <c r="AM258" s="2"/>
      <c r="AN258" s="2"/>
      <c r="AO258" s="2"/>
      <c r="AP258" s="2"/>
      <c r="AQ258" s="2"/>
    </row>
    <row r="259" spans="4:43" x14ac:dyDescent="0.25">
      <c r="D259" s="54"/>
      <c r="E259" s="54"/>
      <c r="F259" s="54"/>
      <c r="G259" s="54"/>
      <c r="H259" s="54"/>
      <c r="I259" s="54"/>
      <c r="J259" s="2"/>
      <c r="K259" s="2"/>
      <c r="L259" s="2"/>
      <c r="M259" s="2"/>
      <c r="N259" s="2"/>
      <c r="O259" s="2"/>
      <c r="P259" s="2"/>
      <c r="Q259" s="2"/>
      <c r="R259" s="2"/>
      <c r="S259" s="2"/>
      <c r="T259" s="2"/>
      <c r="U259" s="264">
        <v>255</v>
      </c>
      <c r="V259" s="16" t="str">
        <f t="shared" si="182"/>
        <v/>
      </c>
      <c r="W259" s="16" t="str">
        <f t="shared" si="183"/>
        <v/>
      </c>
      <c r="X259" s="16" t="str">
        <f t="shared" si="169"/>
        <v/>
      </c>
      <c r="Y259" s="16" t="str">
        <f t="shared" si="170"/>
        <v/>
      </c>
      <c r="Z259" s="16" t="str">
        <f t="shared" si="171"/>
        <v/>
      </c>
      <c r="AA259" s="16" t="str">
        <f t="shared" si="184"/>
        <v/>
      </c>
      <c r="AB259" s="16" t="str">
        <f t="shared" si="185"/>
        <v/>
      </c>
      <c r="AC259" s="29" t="str">
        <f t="shared" si="172"/>
        <v/>
      </c>
      <c r="AD259" s="29" t="str">
        <f t="shared" si="173"/>
        <v/>
      </c>
      <c r="AE259" s="2"/>
      <c r="AF259" s="2"/>
      <c r="AG259" s="2"/>
      <c r="AH259" s="2"/>
      <c r="AI259" s="2"/>
      <c r="AJ259" s="2"/>
      <c r="AK259" s="2"/>
      <c r="AL259" s="2"/>
      <c r="AM259" s="2"/>
      <c r="AN259" s="2"/>
      <c r="AO259" s="2"/>
      <c r="AP259" s="2"/>
      <c r="AQ259" s="2"/>
    </row>
    <row r="260" spans="4:43" x14ac:dyDescent="0.25">
      <c r="D260" s="54"/>
      <c r="E260" s="54"/>
      <c r="F260" s="54"/>
      <c r="G260" s="54"/>
      <c r="H260" s="54"/>
      <c r="I260" s="54"/>
      <c r="J260" s="2"/>
      <c r="K260" s="2"/>
      <c r="L260" s="2"/>
      <c r="M260" s="2"/>
      <c r="N260" s="2"/>
      <c r="O260" s="2"/>
      <c r="P260" s="2"/>
      <c r="Q260" s="2"/>
      <c r="R260" s="2"/>
      <c r="S260" s="2"/>
      <c r="T260" s="2"/>
      <c r="U260" s="264">
        <v>256</v>
      </c>
      <c r="V260" s="16" t="str">
        <f t="shared" si="182"/>
        <v/>
      </c>
      <c r="W260" s="16" t="str">
        <f t="shared" si="183"/>
        <v/>
      </c>
      <c r="X260" s="16" t="str">
        <f t="shared" si="169"/>
        <v/>
      </c>
      <c r="Y260" s="16" t="str">
        <f t="shared" si="170"/>
        <v/>
      </c>
      <c r="Z260" s="16" t="str">
        <f t="shared" si="171"/>
        <v/>
      </c>
      <c r="AA260" s="16" t="str">
        <f t="shared" si="184"/>
        <v/>
      </c>
      <c r="AB260" s="16" t="str">
        <f t="shared" si="185"/>
        <v/>
      </c>
      <c r="AC260" s="29" t="str">
        <f t="shared" si="172"/>
        <v/>
      </c>
      <c r="AD260" s="29" t="str">
        <f t="shared" si="173"/>
        <v/>
      </c>
      <c r="AE260" s="2"/>
      <c r="AF260" s="2"/>
      <c r="AG260" s="2"/>
      <c r="AH260" s="2"/>
      <c r="AI260" s="2"/>
      <c r="AJ260" s="2"/>
      <c r="AK260" s="2"/>
      <c r="AL260" s="2"/>
      <c r="AM260" s="2"/>
      <c r="AN260" s="2"/>
      <c r="AO260" s="2"/>
      <c r="AP260" s="2"/>
      <c r="AQ260" s="2"/>
    </row>
    <row r="261" spans="4:43" x14ac:dyDescent="0.25">
      <c r="D261" s="54"/>
      <c r="E261" s="54"/>
      <c r="F261" s="54"/>
      <c r="G261" s="54"/>
      <c r="H261" s="54"/>
      <c r="I261" s="54"/>
      <c r="J261" s="2"/>
      <c r="K261" s="2"/>
      <c r="L261" s="2"/>
      <c r="M261" s="2"/>
      <c r="N261" s="2"/>
      <c r="O261" s="2"/>
      <c r="P261" s="2"/>
      <c r="Q261" s="2"/>
      <c r="R261" s="2"/>
      <c r="S261" s="2"/>
      <c r="T261" s="2"/>
      <c r="U261" s="264">
        <v>257</v>
      </c>
      <c r="V261" s="16" t="str">
        <f t="shared" si="182"/>
        <v/>
      </c>
      <c r="W261" s="16" t="str">
        <f t="shared" si="183"/>
        <v/>
      </c>
      <c r="X261" s="16" t="str">
        <f t="shared" ref="X261:X304" si="186">IF($C$9&gt;=$U261,$V261^2,"")</f>
        <v/>
      </c>
      <c r="Y261" s="16" t="str">
        <f t="shared" ref="Y261:Y304" si="187">IF($C$9&gt;=$U261,$W261^2,"")</f>
        <v/>
      </c>
      <c r="Z261" s="16" t="str">
        <f t="shared" ref="Z261:Z304" si="188">IF($C$9&gt;=$U261,$V261*$W261,"")</f>
        <v/>
      </c>
      <c r="AA261" s="16" t="str">
        <f t="shared" si="184"/>
        <v/>
      </c>
      <c r="AB261" s="16" t="str">
        <f t="shared" si="185"/>
        <v/>
      </c>
      <c r="AC261" s="29" t="str">
        <f t="shared" ref="AC261:AC304" si="189">IF($C$9&gt;=$U261,(-$Z$318/$C$9+($Z$322*$V$311--$Z$321*$V$314)/($V$311*$V$312-$V$314^2)*$AA261+(-$Z$321*$V$312-$Z$322*$V$314)/($V$311*$V$312-$V$314^2)*$AB261),"")</f>
        <v/>
      </c>
      <c r="AD261" s="29" t="str">
        <f t="shared" ref="AD261:AD304" si="190">IF($C$9&gt;=$U261,((($Z$319/$C$9+$Z$323*-$AB261/$V$313)^2+($Z$320/$C$9+$Z$323*$AA261/$V$313)^2)^(1/2)),"")</f>
        <v/>
      </c>
      <c r="AE261" s="2"/>
      <c r="AF261" s="2"/>
      <c r="AG261" s="2"/>
      <c r="AH261" s="2"/>
      <c r="AI261" s="2"/>
      <c r="AJ261" s="2"/>
      <c r="AK261" s="2"/>
      <c r="AL261" s="2"/>
      <c r="AM261" s="2"/>
      <c r="AN261" s="2"/>
      <c r="AO261" s="2"/>
      <c r="AP261" s="2"/>
      <c r="AQ261" s="2"/>
    </row>
    <row r="262" spans="4:43" x14ac:dyDescent="0.25">
      <c r="D262" s="54"/>
      <c r="E262" s="54"/>
      <c r="F262" s="54"/>
      <c r="G262" s="54"/>
      <c r="H262" s="54"/>
      <c r="I262" s="54"/>
      <c r="J262" s="2"/>
      <c r="K262" s="2"/>
      <c r="L262" s="2"/>
      <c r="M262" s="2"/>
      <c r="N262" s="2"/>
      <c r="O262" s="2"/>
      <c r="P262" s="2"/>
      <c r="Q262" s="2"/>
      <c r="R262" s="2"/>
      <c r="S262" s="2"/>
      <c r="T262" s="2"/>
      <c r="U262" s="264">
        <v>258</v>
      </c>
      <c r="V262" s="16" t="str">
        <f t="shared" si="182"/>
        <v/>
      </c>
      <c r="W262" s="16" t="str">
        <f t="shared" si="183"/>
        <v/>
      </c>
      <c r="X262" s="16" t="str">
        <f t="shared" si="186"/>
        <v/>
      </c>
      <c r="Y262" s="16" t="str">
        <f t="shared" si="187"/>
        <v/>
      </c>
      <c r="Z262" s="16" t="str">
        <f t="shared" si="188"/>
        <v/>
      </c>
      <c r="AA262" s="16" t="str">
        <f t="shared" si="184"/>
        <v/>
      </c>
      <c r="AB262" s="16" t="str">
        <f t="shared" si="185"/>
        <v/>
      </c>
      <c r="AC262" s="29" t="str">
        <f t="shared" si="189"/>
        <v/>
      </c>
      <c r="AD262" s="29" t="str">
        <f t="shared" si="190"/>
        <v/>
      </c>
      <c r="AE262" s="2"/>
      <c r="AF262" s="2"/>
      <c r="AG262" s="2"/>
      <c r="AH262" s="2"/>
      <c r="AI262" s="2"/>
      <c r="AJ262" s="2"/>
      <c r="AK262" s="2"/>
      <c r="AL262" s="2"/>
      <c r="AM262" s="2"/>
      <c r="AN262" s="2"/>
      <c r="AO262" s="2"/>
      <c r="AP262" s="2"/>
      <c r="AQ262" s="2"/>
    </row>
    <row r="263" spans="4:43" x14ac:dyDescent="0.25">
      <c r="D263" s="54"/>
      <c r="E263" s="54"/>
      <c r="F263" s="54"/>
      <c r="G263" s="54"/>
      <c r="H263" s="54"/>
      <c r="I263" s="54"/>
      <c r="J263" s="2"/>
      <c r="K263" s="2"/>
      <c r="L263" s="2"/>
      <c r="M263" s="2"/>
      <c r="N263" s="2"/>
      <c r="O263" s="2"/>
      <c r="P263" s="2"/>
      <c r="Q263" s="2"/>
      <c r="R263" s="2"/>
      <c r="S263" s="2"/>
      <c r="T263" s="2"/>
      <c r="U263" s="264">
        <v>259</v>
      </c>
      <c r="V263" s="16" t="str">
        <f t="shared" si="182"/>
        <v/>
      </c>
      <c r="W263" s="16" t="str">
        <f t="shared" si="183"/>
        <v/>
      </c>
      <c r="X263" s="16" t="str">
        <f t="shared" si="186"/>
        <v/>
      </c>
      <c r="Y263" s="16" t="str">
        <f t="shared" si="187"/>
        <v/>
      </c>
      <c r="Z263" s="16" t="str">
        <f t="shared" si="188"/>
        <v/>
      </c>
      <c r="AA263" s="16" t="str">
        <f t="shared" si="184"/>
        <v/>
      </c>
      <c r="AB263" s="16" t="str">
        <f t="shared" si="185"/>
        <v/>
      </c>
      <c r="AC263" s="29" t="str">
        <f t="shared" si="189"/>
        <v/>
      </c>
      <c r="AD263" s="29" t="str">
        <f t="shared" si="190"/>
        <v/>
      </c>
      <c r="AE263" s="2"/>
      <c r="AF263" s="2"/>
      <c r="AG263" s="2"/>
      <c r="AH263" s="2"/>
      <c r="AI263" s="2"/>
      <c r="AJ263" s="2"/>
      <c r="AK263" s="2"/>
      <c r="AL263" s="2"/>
      <c r="AM263" s="2"/>
      <c r="AN263" s="2"/>
      <c r="AO263" s="2"/>
      <c r="AP263" s="2"/>
      <c r="AQ263" s="2"/>
    </row>
    <row r="264" spans="4:43" x14ac:dyDescent="0.25">
      <c r="D264" s="54"/>
      <c r="E264" s="54"/>
      <c r="F264" s="54"/>
      <c r="G264" s="54"/>
      <c r="H264" s="54"/>
      <c r="I264" s="54"/>
      <c r="J264" s="2"/>
      <c r="K264" s="2"/>
      <c r="L264" s="2"/>
      <c r="M264" s="2"/>
      <c r="N264" s="2"/>
      <c r="O264" s="2"/>
      <c r="P264" s="2"/>
      <c r="Q264" s="2"/>
      <c r="R264" s="2"/>
      <c r="S264" s="2"/>
      <c r="T264" s="2"/>
      <c r="U264" s="264">
        <v>260</v>
      </c>
      <c r="V264" s="16" t="str">
        <f t="shared" si="182"/>
        <v/>
      </c>
      <c r="W264" s="16" t="str">
        <f t="shared" si="183"/>
        <v/>
      </c>
      <c r="X264" s="16" t="str">
        <f t="shared" si="186"/>
        <v/>
      </c>
      <c r="Y264" s="16" t="str">
        <f t="shared" si="187"/>
        <v/>
      </c>
      <c r="Z264" s="16" t="str">
        <f t="shared" si="188"/>
        <v/>
      </c>
      <c r="AA264" s="16" t="str">
        <f t="shared" si="184"/>
        <v/>
      </c>
      <c r="AB264" s="16" t="str">
        <f t="shared" si="185"/>
        <v/>
      </c>
      <c r="AC264" s="29" t="str">
        <f t="shared" si="189"/>
        <v/>
      </c>
      <c r="AD264" s="29" t="str">
        <f t="shared" si="190"/>
        <v/>
      </c>
      <c r="AE264" s="2"/>
      <c r="AF264" s="2"/>
      <c r="AG264" s="2"/>
      <c r="AH264" s="2"/>
      <c r="AI264" s="2"/>
      <c r="AJ264" s="2"/>
      <c r="AK264" s="2"/>
      <c r="AL264" s="2"/>
      <c r="AM264" s="2"/>
      <c r="AN264" s="2"/>
      <c r="AO264" s="2"/>
      <c r="AP264" s="2"/>
      <c r="AQ264" s="2"/>
    </row>
    <row r="265" spans="4:43" x14ac:dyDescent="0.25">
      <c r="D265" s="54"/>
      <c r="E265" s="54"/>
      <c r="F265" s="54"/>
      <c r="G265" s="54"/>
      <c r="H265" s="54"/>
      <c r="I265" s="54"/>
      <c r="J265" s="2"/>
      <c r="K265" s="2"/>
      <c r="L265" s="2"/>
      <c r="M265" s="2"/>
      <c r="N265" s="2"/>
      <c r="O265" s="2"/>
      <c r="P265" s="2"/>
      <c r="Q265" s="2"/>
      <c r="R265" s="2"/>
      <c r="S265" s="2"/>
      <c r="T265" s="2"/>
      <c r="U265" s="264">
        <v>261</v>
      </c>
      <c r="V265" s="16" t="str">
        <f t="shared" si="182"/>
        <v/>
      </c>
      <c r="W265" s="16" t="str">
        <f t="shared" si="183"/>
        <v/>
      </c>
      <c r="X265" s="16" t="str">
        <f t="shared" si="186"/>
        <v/>
      </c>
      <c r="Y265" s="16" t="str">
        <f t="shared" si="187"/>
        <v/>
      </c>
      <c r="Z265" s="16" t="str">
        <f t="shared" si="188"/>
        <v/>
      </c>
      <c r="AA265" s="16" t="str">
        <f t="shared" si="184"/>
        <v/>
      </c>
      <c r="AB265" s="16" t="str">
        <f t="shared" si="185"/>
        <v/>
      </c>
      <c r="AC265" s="29" t="str">
        <f t="shared" si="189"/>
        <v/>
      </c>
      <c r="AD265" s="29" t="str">
        <f t="shared" si="190"/>
        <v/>
      </c>
      <c r="AE265" s="2"/>
      <c r="AF265" s="2"/>
      <c r="AG265" s="2"/>
      <c r="AH265" s="2"/>
      <c r="AI265" s="2"/>
      <c r="AJ265" s="2"/>
      <c r="AK265" s="2"/>
      <c r="AL265" s="2"/>
      <c r="AM265" s="2"/>
      <c r="AN265" s="2"/>
      <c r="AO265" s="2"/>
      <c r="AP265" s="2"/>
      <c r="AQ265" s="2"/>
    </row>
    <row r="266" spans="4:43" x14ac:dyDescent="0.25">
      <c r="D266" s="54"/>
      <c r="E266" s="54"/>
      <c r="F266" s="54"/>
      <c r="G266" s="54"/>
      <c r="H266" s="54"/>
      <c r="I266" s="54"/>
      <c r="J266" s="2"/>
      <c r="K266" s="2"/>
      <c r="L266" s="2"/>
      <c r="M266" s="2"/>
      <c r="N266" s="2"/>
      <c r="O266" s="2"/>
      <c r="P266" s="2"/>
      <c r="Q266" s="2"/>
      <c r="R266" s="2"/>
      <c r="S266" s="2"/>
      <c r="T266" s="2"/>
      <c r="U266" s="264">
        <v>262</v>
      </c>
      <c r="V266" s="16" t="str">
        <f t="shared" si="182"/>
        <v/>
      </c>
      <c r="W266" s="16" t="str">
        <f t="shared" si="183"/>
        <v/>
      </c>
      <c r="X266" s="16" t="str">
        <f t="shared" si="186"/>
        <v/>
      </c>
      <c r="Y266" s="16" t="str">
        <f t="shared" si="187"/>
        <v/>
      </c>
      <c r="Z266" s="16" t="str">
        <f t="shared" si="188"/>
        <v/>
      </c>
      <c r="AA266" s="16" t="str">
        <f t="shared" si="184"/>
        <v/>
      </c>
      <c r="AB266" s="16" t="str">
        <f t="shared" si="185"/>
        <v/>
      </c>
      <c r="AC266" s="29" t="str">
        <f t="shared" si="189"/>
        <v/>
      </c>
      <c r="AD266" s="29" t="str">
        <f t="shared" si="190"/>
        <v/>
      </c>
      <c r="AE266" s="2"/>
      <c r="AF266" s="2"/>
      <c r="AG266" s="2"/>
      <c r="AH266" s="2"/>
      <c r="AI266" s="2"/>
      <c r="AJ266" s="2"/>
      <c r="AK266" s="2"/>
      <c r="AL266" s="2"/>
      <c r="AM266" s="2"/>
      <c r="AN266" s="2"/>
      <c r="AO266" s="2"/>
      <c r="AP266" s="2"/>
      <c r="AQ266" s="2"/>
    </row>
    <row r="267" spans="4:43" x14ac:dyDescent="0.25">
      <c r="D267" s="54"/>
      <c r="E267" s="54"/>
      <c r="F267" s="54"/>
      <c r="G267" s="54"/>
      <c r="H267" s="54"/>
      <c r="I267" s="54"/>
      <c r="J267" s="2"/>
      <c r="K267" s="2"/>
      <c r="L267" s="2"/>
      <c r="M267" s="2"/>
      <c r="N267" s="2"/>
      <c r="O267" s="2"/>
      <c r="P267" s="2"/>
      <c r="Q267" s="2"/>
      <c r="R267" s="2"/>
      <c r="S267" s="2"/>
      <c r="T267" s="2"/>
      <c r="U267" s="264">
        <v>263</v>
      </c>
      <c r="V267" s="16" t="str">
        <f t="shared" si="182"/>
        <v/>
      </c>
      <c r="W267" s="16" t="str">
        <f t="shared" si="183"/>
        <v/>
      </c>
      <c r="X267" s="16" t="str">
        <f t="shared" si="186"/>
        <v/>
      </c>
      <c r="Y267" s="16" t="str">
        <f t="shared" si="187"/>
        <v/>
      </c>
      <c r="Z267" s="16" t="str">
        <f t="shared" si="188"/>
        <v/>
      </c>
      <c r="AA267" s="16" t="str">
        <f t="shared" si="184"/>
        <v/>
      </c>
      <c r="AB267" s="16" t="str">
        <f t="shared" si="185"/>
        <v/>
      </c>
      <c r="AC267" s="29" t="str">
        <f t="shared" si="189"/>
        <v/>
      </c>
      <c r="AD267" s="29" t="str">
        <f t="shared" si="190"/>
        <v/>
      </c>
      <c r="AE267" s="2"/>
      <c r="AF267" s="2"/>
      <c r="AG267" s="2"/>
      <c r="AH267" s="2"/>
      <c r="AI267" s="2"/>
      <c r="AJ267" s="2"/>
      <c r="AK267" s="2"/>
      <c r="AL267" s="2"/>
      <c r="AM267" s="2"/>
      <c r="AN267" s="2"/>
      <c r="AO267" s="2"/>
      <c r="AP267" s="2"/>
      <c r="AQ267" s="2"/>
    </row>
    <row r="268" spans="4:43" x14ac:dyDescent="0.25">
      <c r="D268" s="54"/>
      <c r="E268" s="54"/>
      <c r="F268" s="54"/>
      <c r="G268" s="54"/>
      <c r="H268" s="54"/>
      <c r="I268" s="54"/>
      <c r="J268" s="2"/>
      <c r="K268" s="2"/>
      <c r="L268" s="2"/>
      <c r="M268" s="2"/>
      <c r="N268" s="2"/>
      <c r="O268" s="2"/>
      <c r="P268" s="2"/>
      <c r="Q268" s="2"/>
      <c r="R268" s="2"/>
      <c r="S268" s="2"/>
      <c r="T268" s="2"/>
      <c r="U268" s="264">
        <v>264</v>
      </c>
      <c r="V268" s="16" t="str">
        <f t="shared" si="182"/>
        <v/>
      </c>
      <c r="W268" s="16" t="str">
        <f t="shared" si="183"/>
        <v/>
      </c>
      <c r="X268" s="16" t="str">
        <f t="shared" si="186"/>
        <v/>
      </c>
      <c r="Y268" s="16" t="str">
        <f t="shared" si="187"/>
        <v/>
      </c>
      <c r="Z268" s="16" t="str">
        <f t="shared" si="188"/>
        <v/>
      </c>
      <c r="AA268" s="16" t="str">
        <f t="shared" si="184"/>
        <v/>
      </c>
      <c r="AB268" s="16" t="str">
        <f t="shared" si="185"/>
        <v/>
      </c>
      <c r="AC268" s="29" t="str">
        <f t="shared" si="189"/>
        <v/>
      </c>
      <c r="AD268" s="29" t="str">
        <f t="shared" si="190"/>
        <v/>
      </c>
      <c r="AE268" s="2"/>
      <c r="AF268" s="2"/>
      <c r="AG268" s="2"/>
      <c r="AH268" s="2"/>
      <c r="AI268" s="2"/>
      <c r="AJ268" s="2"/>
      <c r="AK268" s="2"/>
      <c r="AL268" s="2"/>
      <c r="AM268" s="2"/>
      <c r="AN268" s="2"/>
      <c r="AO268" s="2"/>
      <c r="AP268" s="2"/>
      <c r="AQ268" s="2"/>
    </row>
    <row r="269" spans="4:43" x14ac:dyDescent="0.25">
      <c r="D269" s="54"/>
      <c r="E269" s="54"/>
      <c r="F269" s="54"/>
      <c r="G269" s="54"/>
      <c r="H269" s="54"/>
      <c r="I269" s="54"/>
      <c r="J269" s="2"/>
      <c r="K269" s="2"/>
      <c r="L269" s="2"/>
      <c r="M269" s="2"/>
      <c r="N269" s="2"/>
      <c r="O269" s="2"/>
      <c r="P269" s="2"/>
      <c r="Q269" s="2"/>
      <c r="R269" s="2"/>
      <c r="S269" s="2"/>
      <c r="T269" s="2"/>
      <c r="U269" s="264">
        <v>265</v>
      </c>
      <c r="V269" s="16" t="str">
        <f t="shared" si="182"/>
        <v/>
      </c>
      <c r="W269" s="16" t="str">
        <f t="shared" si="183"/>
        <v/>
      </c>
      <c r="X269" s="16" t="str">
        <f t="shared" si="186"/>
        <v/>
      </c>
      <c r="Y269" s="16" t="str">
        <f t="shared" si="187"/>
        <v/>
      </c>
      <c r="Z269" s="16" t="str">
        <f t="shared" si="188"/>
        <v/>
      </c>
      <c r="AA269" s="16" t="str">
        <f t="shared" si="184"/>
        <v/>
      </c>
      <c r="AB269" s="16" t="str">
        <f t="shared" si="185"/>
        <v/>
      </c>
      <c r="AC269" s="29" t="str">
        <f t="shared" si="189"/>
        <v/>
      </c>
      <c r="AD269" s="29" t="str">
        <f t="shared" si="190"/>
        <v/>
      </c>
      <c r="AE269" s="2"/>
      <c r="AF269" s="2"/>
      <c r="AG269" s="2"/>
      <c r="AH269" s="2"/>
      <c r="AI269" s="2"/>
      <c r="AJ269" s="2"/>
      <c r="AK269" s="2"/>
      <c r="AL269" s="2"/>
      <c r="AM269" s="2"/>
      <c r="AN269" s="2"/>
      <c r="AO269" s="2"/>
      <c r="AP269" s="2"/>
      <c r="AQ269" s="2"/>
    </row>
    <row r="270" spans="4:43" x14ac:dyDescent="0.25">
      <c r="D270" s="54"/>
      <c r="E270" s="54"/>
      <c r="F270" s="54"/>
      <c r="G270" s="54"/>
      <c r="H270" s="54"/>
      <c r="I270" s="54"/>
      <c r="J270" s="2"/>
      <c r="K270" s="2"/>
      <c r="L270" s="2"/>
      <c r="M270" s="2"/>
      <c r="N270" s="2"/>
      <c r="O270" s="2"/>
      <c r="P270" s="2"/>
      <c r="Q270" s="2"/>
      <c r="R270" s="2"/>
      <c r="S270" s="2"/>
      <c r="T270" s="2"/>
      <c r="U270" s="264">
        <v>266</v>
      </c>
      <c r="V270" s="16" t="str">
        <f t="shared" si="182"/>
        <v/>
      </c>
      <c r="W270" s="16" t="str">
        <f t="shared" si="183"/>
        <v/>
      </c>
      <c r="X270" s="16" t="str">
        <f t="shared" si="186"/>
        <v/>
      </c>
      <c r="Y270" s="16" t="str">
        <f t="shared" si="187"/>
        <v/>
      </c>
      <c r="Z270" s="16" t="str">
        <f t="shared" si="188"/>
        <v/>
      </c>
      <c r="AA270" s="16" t="str">
        <f t="shared" si="184"/>
        <v/>
      </c>
      <c r="AB270" s="16" t="str">
        <f t="shared" si="185"/>
        <v/>
      </c>
      <c r="AC270" s="29" t="str">
        <f t="shared" si="189"/>
        <v/>
      </c>
      <c r="AD270" s="29" t="str">
        <f t="shared" si="190"/>
        <v/>
      </c>
      <c r="AE270" s="2"/>
      <c r="AF270" s="2"/>
      <c r="AG270" s="2"/>
      <c r="AH270" s="2"/>
      <c r="AI270" s="2"/>
      <c r="AJ270" s="2"/>
      <c r="AK270" s="2"/>
      <c r="AL270" s="2"/>
      <c r="AM270" s="2"/>
      <c r="AN270" s="2"/>
      <c r="AO270" s="2"/>
      <c r="AP270" s="2"/>
      <c r="AQ270" s="2"/>
    </row>
    <row r="271" spans="4:43" x14ac:dyDescent="0.25">
      <c r="D271" s="54"/>
      <c r="E271" s="54"/>
      <c r="F271" s="54"/>
      <c r="G271" s="54"/>
      <c r="H271" s="54"/>
      <c r="I271" s="54"/>
      <c r="J271" s="2"/>
      <c r="K271" s="2"/>
      <c r="L271" s="2"/>
      <c r="M271" s="2"/>
      <c r="N271" s="2"/>
      <c r="O271" s="2"/>
      <c r="P271" s="2"/>
      <c r="Q271" s="2"/>
      <c r="R271" s="2"/>
      <c r="S271" s="2"/>
      <c r="T271" s="2"/>
      <c r="U271" s="264">
        <v>267</v>
      </c>
      <c r="V271" s="16" t="str">
        <f t="shared" si="182"/>
        <v/>
      </c>
      <c r="W271" s="16" t="str">
        <f t="shared" si="183"/>
        <v/>
      </c>
      <c r="X271" s="16" t="str">
        <f t="shared" si="186"/>
        <v/>
      </c>
      <c r="Y271" s="16" t="str">
        <f t="shared" si="187"/>
        <v/>
      </c>
      <c r="Z271" s="16" t="str">
        <f t="shared" si="188"/>
        <v/>
      </c>
      <c r="AA271" s="16" t="str">
        <f t="shared" si="184"/>
        <v/>
      </c>
      <c r="AB271" s="16" t="str">
        <f t="shared" si="185"/>
        <v/>
      </c>
      <c r="AC271" s="29" t="str">
        <f t="shared" si="189"/>
        <v/>
      </c>
      <c r="AD271" s="29" t="str">
        <f t="shared" si="190"/>
        <v/>
      </c>
      <c r="AE271" s="2"/>
      <c r="AF271" s="2"/>
      <c r="AG271" s="2"/>
      <c r="AH271" s="2"/>
      <c r="AI271" s="2"/>
      <c r="AJ271" s="2"/>
      <c r="AK271" s="2"/>
      <c r="AL271" s="2"/>
      <c r="AM271" s="2"/>
      <c r="AN271" s="2"/>
      <c r="AO271" s="2"/>
      <c r="AP271" s="2"/>
      <c r="AQ271" s="2"/>
    </row>
    <row r="272" spans="4:43" x14ac:dyDescent="0.25">
      <c r="D272" s="54"/>
      <c r="E272" s="54"/>
      <c r="F272" s="54"/>
      <c r="G272" s="54"/>
      <c r="H272" s="54"/>
      <c r="I272" s="54"/>
      <c r="J272" s="2"/>
      <c r="K272" s="2"/>
      <c r="L272" s="2"/>
      <c r="M272" s="2"/>
      <c r="N272" s="2"/>
      <c r="O272" s="2"/>
      <c r="P272" s="2"/>
      <c r="Q272" s="2"/>
      <c r="R272" s="2"/>
      <c r="S272" s="2"/>
      <c r="T272" s="2"/>
      <c r="U272" s="264">
        <v>268</v>
      </c>
      <c r="V272" s="16" t="str">
        <f t="shared" si="182"/>
        <v/>
      </c>
      <c r="W272" s="16" t="str">
        <f t="shared" si="183"/>
        <v/>
      </c>
      <c r="X272" s="16" t="str">
        <f t="shared" si="186"/>
        <v/>
      </c>
      <c r="Y272" s="16" t="str">
        <f t="shared" si="187"/>
        <v/>
      </c>
      <c r="Z272" s="16" t="str">
        <f t="shared" si="188"/>
        <v/>
      </c>
      <c r="AA272" s="16" t="str">
        <f t="shared" si="184"/>
        <v/>
      </c>
      <c r="AB272" s="16" t="str">
        <f t="shared" si="185"/>
        <v/>
      </c>
      <c r="AC272" s="29" t="str">
        <f t="shared" si="189"/>
        <v/>
      </c>
      <c r="AD272" s="29" t="str">
        <f t="shared" si="190"/>
        <v/>
      </c>
      <c r="AE272" s="2"/>
      <c r="AF272" s="2"/>
      <c r="AG272" s="2"/>
      <c r="AH272" s="2"/>
      <c r="AI272" s="2"/>
      <c r="AJ272" s="2"/>
      <c r="AK272" s="2"/>
      <c r="AL272" s="2"/>
      <c r="AM272" s="2"/>
      <c r="AN272" s="2"/>
      <c r="AO272" s="2"/>
      <c r="AP272" s="2"/>
      <c r="AQ272" s="2"/>
    </row>
    <row r="273" spans="4:43" x14ac:dyDescent="0.25">
      <c r="D273" s="54"/>
      <c r="E273" s="54"/>
      <c r="F273" s="54"/>
      <c r="G273" s="54"/>
      <c r="H273" s="54"/>
      <c r="I273" s="54"/>
      <c r="J273" s="2"/>
      <c r="K273" s="2"/>
      <c r="L273" s="2"/>
      <c r="M273" s="2"/>
      <c r="N273" s="2"/>
      <c r="O273" s="2"/>
      <c r="P273" s="2"/>
      <c r="Q273" s="2"/>
      <c r="R273" s="2"/>
      <c r="S273" s="2"/>
      <c r="T273" s="2"/>
      <c r="U273" s="264">
        <v>269</v>
      </c>
      <c r="V273" s="16" t="str">
        <f t="shared" si="182"/>
        <v/>
      </c>
      <c r="W273" s="16" t="str">
        <f t="shared" si="183"/>
        <v/>
      </c>
      <c r="X273" s="16" t="str">
        <f t="shared" si="186"/>
        <v/>
      </c>
      <c r="Y273" s="16" t="str">
        <f t="shared" si="187"/>
        <v/>
      </c>
      <c r="Z273" s="16" t="str">
        <f t="shared" si="188"/>
        <v/>
      </c>
      <c r="AA273" s="16" t="str">
        <f t="shared" si="184"/>
        <v/>
      </c>
      <c r="AB273" s="16" t="str">
        <f t="shared" si="185"/>
        <v/>
      </c>
      <c r="AC273" s="29" t="str">
        <f t="shared" si="189"/>
        <v/>
      </c>
      <c r="AD273" s="29" t="str">
        <f t="shared" si="190"/>
        <v/>
      </c>
      <c r="AE273" s="2"/>
      <c r="AF273" s="2"/>
      <c r="AG273" s="2"/>
      <c r="AH273" s="2"/>
      <c r="AI273" s="2"/>
      <c r="AJ273" s="2"/>
      <c r="AK273" s="2"/>
      <c r="AL273" s="2"/>
      <c r="AM273" s="2"/>
      <c r="AN273" s="2"/>
      <c r="AO273" s="2"/>
      <c r="AP273" s="2"/>
      <c r="AQ273" s="2"/>
    </row>
    <row r="274" spans="4:43" x14ac:dyDescent="0.25">
      <c r="D274" s="54"/>
      <c r="E274" s="54"/>
      <c r="F274" s="54"/>
      <c r="G274" s="54"/>
      <c r="H274" s="54"/>
      <c r="I274" s="54"/>
      <c r="J274" s="2"/>
      <c r="K274" s="2"/>
      <c r="L274" s="2"/>
      <c r="M274" s="2"/>
      <c r="N274" s="2"/>
      <c r="O274" s="2"/>
      <c r="P274" s="2"/>
      <c r="Q274" s="2"/>
      <c r="R274" s="2"/>
      <c r="S274" s="2"/>
      <c r="T274" s="2"/>
      <c r="U274" s="264">
        <v>270</v>
      </c>
      <c r="V274" s="16" t="str">
        <f t="shared" si="182"/>
        <v/>
      </c>
      <c r="W274" s="16" t="str">
        <f t="shared" si="183"/>
        <v/>
      </c>
      <c r="X274" s="16" t="str">
        <f t="shared" si="186"/>
        <v/>
      </c>
      <c r="Y274" s="16" t="str">
        <f t="shared" si="187"/>
        <v/>
      </c>
      <c r="Z274" s="16" t="str">
        <f t="shared" si="188"/>
        <v/>
      </c>
      <c r="AA274" s="16" t="str">
        <f t="shared" si="184"/>
        <v/>
      </c>
      <c r="AB274" s="16" t="str">
        <f t="shared" si="185"/>
        <v/>
      </c>
      <c r="AC274" s="29" t="str">
        <f t="shared" si="189"/>
        <v/>
      </c>
      <c r="AD274" s="29" t="str">
        <f t="shared" si="190"/>
        <v/>
      </c>
      <c r="AE274" s="2"/>
      <c r="AF274" s="2"/>
      <c r="AG274" s="2"/>
      <c r="AH274" s="2"/>
      <c r="AI274" s="2"/>
      <c r="AJ274" s="2"/>
      <c r="AK274" s="2"/>
      <c r="AL274" s="2"/>
      <c r="AM274" s="2"/>
      <c r="AN274" s="2"/>
      <c r="AO274" s="2"/>
      <c r="AP274" s="2"/>
      <c r="AQ274" s="2"/>
    </row>
    <row r="275" spans="4:43" x14ac:dyDescent="0.25">
      <c r="D275" s="54"/>
      <c r="E275" s="54"/>
      <c r="F275" s="54"/>
      <c r="G275" s="54"/>
      <c r="H275" s="54"/>
      <c r="I275" s="54"/>
      <c r="J275" s="2"/>
      <c r="K275" s="2"/>
      <c r="L275" s="2"/>
      <c r="M275" s="2"/>
      <c r="N275" s="2"/>
      <c r="O275" s="2"/>
      <c r="P275" s="2"/>
      <c r="Q275" s="2"/>
      <c r="R275" s="2"/>
      <c r="S275" s="2"/>
      <c r="T275" s="2"/>
      <c r="U275" s="264">
        <v>271</v>
      </c>
      <c r="V275" s="16" t="str">
        <f t="shared" si="182"/>
        <v/>
      </c>
      <c r="W275" s="16" t="str">
        <f t="shared" si="183"/>
        <v/>
      </c>
      <c r="X275" s="16" t="str">
        <f t="shared" si="186"/>
        <v/>
      </c>
      <c r="Y275" s="16" t="str">
        <f t="shared" si="187"/>
        <v/>
      </c>
      <c r="Z275" s="16" t="str">
        <f t="shared" si="188"/>
        <v/>
      </c>
      <c r="AA275" s="16" t="str">
        <f t="shared" si="184"/>
        <v/>
      </c>
      <c r="AB275" s="16" t="str">
        <f t="shared" si="185"/>
        <v/>
      </c>
      <c r="AC275" s="29" t="str">
        <f t="shared" si="189"/>
        <v/>
      </c>
      <c r="AD275" s="29" t="str">
        <f t="shared" si="190"/>
        <v/>
      </c>
      <c r="AE275" s="2"/>
      <c r="AF275" s="2"/>
      <c r="AG275" s="2"/>
      <c r="AH275" s="2"/>
      <c r="AI275" s="2"/>
      <c r="AJ275" s="2"/>
      <c r="AK275" s="2"/>
      <c r="AL275" s="2"/>
      <c r="AM275" s="2"/>
      <c r="AN275" s="2"/>
      <c r="AO275" s="2"/>
      <c r="AP275" s="2"/>
      <c r="AQ275" s="2"/>
    </row>
    <row r="276" spans="4:43" x14ac:dyDescent="0.25">
      <c r="D276" s="54"/>
      <c r="E276" s="54"/>
      <c r="F276" s="54"/>
      <c r="G276" s="54"/>
      <c r="H276" s="54"/>
      <c r="I276" s="54"/>
      <c r="J276" s="2"/>
      <c r="K276" s="2"/>
      <c r="L276" s="2"/>
      <c r="M276" s="2"/>
      <c r="N276" s="2"/>
      <c r="O276" s="2"/>
      <c r="P276" s="2"/>
      <c r="Q276" s="2"/>
      <c r="R276" s="2"/>
      <c r="S276" s="2"/>
      <c r="T276" s="2"/>
      <c r="U276" s="264">
        <v>272</v>
      </c>
      <c r="V276" s="16" t="str">
        <f t="shared" si="182"/>
        <v/>
      </c>
      <c r="W276" s="16" t="str">
        <f t="shared" si="183"/>
        <v/>
      </c>
      <c r="X276" s="16" t="str">
        <f t="shared" si="186"/>
        <v/>
      </c>
      <c r="Y276" s="16" t="str">
        <f t="shared" si="187"/>
        <v/>
      </c>
      <c r="Z276" s="16" t="str">
        <f t="shared" si="188"/>
        <v/>
      </c>
      <c r="AA276" s="16" t="str">
        <f t="shared" si="184"/>
        <v/>
      </c>
      <c r="AB276" s="16" t="str">
        <f t="shared" si="185"/>
        <v/>
      </c>
      <c r="AC276" s="29" t="str">
        <f t="shared" si="189"/>
        <v/>
      </c>
      <c r="AD276" s="29" t="str">
        <f t="shared" si="190"/>
        <v/>
      </c>
      <c r="AE276" s="2"/>
      <c r="AF276" s="2"/>
      <c r="AG276" s="2"/>
      <c r="AH276" s="2"/>
      <c r="AI276" s="2"/>
      <c r="AJ276" s="2"/>
      <c r="AK276" s="2"/>
      <c r="AL276" s="2"/>
      <c r="AM276" s="2"/>
      <c r="AN276" s="2"/>
      <c r="AO276" s="2"/>
      <c r="AP276" s="2"/>
      <c r="AQ276" s="2"/>
    </row>
    <row r="277" spans="4:43" x14ac:dyDescent="0.25">
      <c r="D277" s="54"/>
      <c r="E277" s="54"/>
      <c r="F277" s="54"/>
      <c r="G277" s="54"/>
      <c r="H277" s="54"/>
      <c r="I277" s="54"/>
      <c r="J277" s="2"/>
      <c r="K277" s="2"/>
      <c r="L277" s="2"/>
      <c r="M277" s="2"/>
      <c r="N277" s="2"/>
      <c r="O277" s="2"/>
      <c r="P277" s="2"/>
      <c r="Q277" s="2"/>
      <c r="R277" s="2"/>
      <c r="S277" s="2"/>
      <c r="T277" s="2"/>
      <c r="U277" s="264">
        <v>273</v>
      </c>
      <c r="V277" s="16" t="str">
        <f t="shared" si="182"/>
        <v/>
      </c>
      <c r="W277" s="16" t="str">
        <f t="shared" si="183"/>
        <v/>
      </c>
      <c r="X277" s="16" t="str">
        <f t="shared" si="186"/>
        <v/>
      </c>
      <c r="Y277" s="16" t="str">
        <f t="shared" si="187"/>
        <v/>
      </c>
      <c r="Z277" s="16" t="str">
        <f t="shared" si="188"/>
        <v/>
      </c>
      <c r="AA277" s="16" t="str">
        <f t="shared" si="184"/>
        <v/>
      </c>
      <c r="AB277" s="16" t="str">
        <f t="shared" si="185"/>
        <v/>
      </c>
      <c r="AC277" s="29" t="str">
        <f t="shared" si="189"/>
        <v/>
      </c>
      <c r="AD277" s="29" t="str">
        <f t="shared" si="190"/>
        <v/>
      </c>
      <c r="AE277" s="2"/>
      <c r="AF277" s="2"/>
      <c r="AG277" s="2"/>
      <c r="AH277" s="2"/>
      <c r="AI277" s="2"/>
      <c r="AJ277" s="2"/>
      <c r="AK277" s="2"/>
      <c r="AL277" s="2"/>
      <c r="AM277" s="2"/>
      <c r="AN277" s="2"/>
      <c r="AO277" s="2"/>
      <c r="AP277" s="2"/>
      <c r="AQ277" s="2"/>
    </row>
    <row r="278" spans="4:43" x14ac:dyDescent="0.25">
      <c r="D278" s="54"/>
      <c r="E278" s="54"/>
      <c r="F278" s="54"/>
      <c r="G278" s="54"/>
      <c r="H278" s="54"/>
      <c r="I278" s="54"/>
      <c r="J278" s="2"/>
      <c r="K278" s="2"/>
      <c r="L278" s="2"/>
      <c r="M278" s="2"/>
      <c r="N278" s="2"/>
      <c r="O278" s="2"/>
      <c r="P278" s="2"/>
      <c r="Q278" s="2"/>
      <c r="R278" s="2"/>
      <c r="S278" s="2"/>
      <c r="T278" s="2"/>
      <c r="U278" s="264">
        <v>274</v>
      </c>
      <c r="V278" s="16" t="str">
        <f t="shared" si="182"/>
        <v/>
      </c>
      <c r="W278" s="16" t="str">
        <f t="shared" si="183"/>
        <v/>
      </c>
      <c r="X278" s="16" t="str">
        <f t="shared" si="186"/>
        <v/>
      </c>
      <c r="Y278" s="16" t="str">
        <f t="shared" si="187"/>
        <v/>
      </c>
      <c r="Z278" s="16" t="str">
        <f t="shared" si="188"/>
        <v/>
      </c>
      <c r="AA278" s="16" t="str">
        <f t="shared" si="184"/>
        <v/>
      </c>
      <c r="AB278" s="16" t="str">
        <f t="shared" si="185"/>
        <v/>
      </c>
      <c r="AC278" s="29" t="str">
        <f t="shared" si="189"/>
        <v/>
      </c>
      <c r="AD278" s="29" t="str">
        <f t="shared" si="190"/>
        <v/>
      </c>
      <c r="AE278" s="2"/>
      <c r="AF278" s="2"/>
      <c r="AG278" s="2"/>
      <c r="AH278" s="2"/>
      <c r="AI278" s="2"/>
      <c r="AJ278" s="2"/>
      <c r="AK278" s="2"/>
      <c r="AL278" s="2"/>
      <c r="AM278" s="2"/>
      <c r="AN278" s="2"/>
      <c r="AO278" s="2"/>
      <c r="AP278" s="2"/>
      <c r="AQ278" s="2"/>
    </row>
    <row r="279" spans="4:43" x14ac:dyDescent="0.25">
      <c r="D279" s="54"/>
      <c r="E279" s="54"/>
      <c r="F279" s="54"/>
      <c r="G279" s="54"/>
      <c r="H279" s="54"/>
      <c r="I279" s="54"/>
      <c r="J279" s="2"/>
      <c r="K279" s="2"/>
      <c r="L279" s="2"/>
      <c r="M279" s="2"/>
      <c r="N279" s="2"/>
      <c r="O279" s="2"/>
      <c r="P279" s="2"/>
      <c r="Q279" s="2"/>
      <c r="R279" s="2"/>
      <c r="S279" s="2"/>
      <c r="T279" s="2"/>
      <c r="U279" s="264">
        <v>275</v>
      </c>
      <c r="V279" s="16" t="str">
        <f t="shared" si="182"/>
        <v/>
      </c>
      <c r="W279" s="16" t="str">
        <f t="shared" si="183"/>
        <v/>
      </c>
      <c r="X279" s="16" t="str">
        <f t="shared" si="186"/>
        <v/>
      </c>
      <c r="Y279" s="16" t="str">
        <f t="shared" si="187"/>
        <v/>
      </c>
      <c r="Z279" s="16" t="str">
        <f t="shared" si="188"/>
        <v/>
      </c>
      <c r="AA279" s="16" t="str">
        <f t="shared" si="184"/>
        <v/>
      </c>
      <c r="AB279" s="16" t="str">
        <f t="shared" si="185"/>
        <v/>
      </c>
      <c r="AC279" s="29" t="str">
        <f t="shared" si="189"/>
        <v/>
      </c>
      <c r="AD279" s="29" t="str">
        <f t="shared" si="190"/>
        <v/>
      </c>
      <c r="AE279" s="2"/>
      <c r="AF279" s="2"/>
      <c r="AG279" s="2"/>
      <c r="AH279" s="2"/>
      <c r="AI279" s="2"/>
      <c r="AJ279" s="2"/>
      <c r="AK279" s="2"/>
      <c r="AL279" s="2"/>
      <c r="AM279" s="2"/>
      <c r="AN279" s="2"/>
      <c r="AO279" s="2"/>
      <c r="AP279" s="2"/>
      <c r="AQ279" s="2"/>
    </row>
    <row r="280" spans="4:43" x14ac:dyDescent="0.25">
      <c r="D280" s="54"/>
      <c r="E280" s="54"/>
      <c r="F280" s="54"/>
      <c r="G280" s="54"/>
      <c r="H280" s="54"/>
      <c r="I280" s="54"/>
      <c r="J280" s="2"/>
      <c r="K280" s="2"/>
      <c r="L280" s="2"/>
      <c r="M280" s="2"/>
      <c r="N280" s="2"/>
      <c r="O280" s="2"/>
      <c r="P280" s="2"/>
      <c r="Q280" s="2"/>
      <c r="R280" s="2"/>
      <c r="S280" s="2"/>
      <c r="T280" s="2"/>
      <c r="U280" s="264">
        <v>276</v>
      </c>
      <c r="V280" s="16" t="str">
        <f t="shared" si="182"/>
        <v/>
      </c>
      <c r="W280" s="16" t="str">
        <f t="shared" si="183"/>
        <v/>
      </c>
      <c r="X280" s="16" t="str">
        <f t="shared" si="186"/>
        <v/>
      </c>
      <c r="Y280" s="16" t="str">
        <f t="shared" si="187"/>
        <v/>
      </c>
      <c r="Z280" s="16" t="str">
        <f t="shared" si="188"/>
        <v/>
      </c>
      <c r="AA280" s="16" t="str">
        <f t="shared" si="184"/>
        <v/>
      </c>
      <c r="AB280" s="16" t="str">
        <f t="shared" si="185"/>
        <v/>
      </c>
      <c r="AC280" s="29" t="str">
        <f t="shared" si="189"/>
        <v/>
      </c>
      <c r="AD280" s="29" t="str">
        <f t="shared" si="190"/>
        <v/>
      </c>
      <c r="AE280" s="2"/>
      <c r="AF280" s="2"/>
      <c r="AG280" s="2"/>
      <c r="AH280" s="2"/>
      <c r="AI280" s="2"/>
      <c r="AJ280" s="2"/>
      <c r="AK280" s="2"/>
      <c r="AL280" s="2"/>
      <c r="AM280" s="2"/>
      <c r="AN280" s="2"/>
      <c r="AO280" s="2"/>
      <c r="AP280" s="2"/>
      <c r="AQ280" s="2"/>
    </row>
    <row r="281" spans="4:43" x14ac:dyDescent="0.25">
      <c r="D281" s="54"/>
      <c r="E281" s="54"/>
      <c r="F281" s="54"/>
      <c r="G281" s="54"/>
      <c r="H281" s="54"/>
      <c r="I281" s="54"/>
      <c r="J281" s="2"/>
      <c r="K281" s="2"/>
      <c r="L281" s="2"/>
      <c r="M281" s="2"/>
      <c r="N281" s="2"/>
      <c r="O281" s="2"/>
      <c r="P281" s="2"/>
      <c r="Q281" s="2"/>
      <c r="R281" s="2"/>
      <c r="S281" s="2"/>
      <c r="T281" s="2"/>
      <c r="U281" s="264">
        <v>277</v>
      </c>
      <c r="V281" s="16" t="str">
        <f t="shared" si="182"/>
        <v/>
      </c>
      <c r="W281" s="16" t="str">
        <f t="shared" si="183"/>
        <v/>
      </c>
      <c r="X281" s="16" t="str">
        <f t="shared" si="186"/>
        <v/>
      </c>
      <c r="Y281" s="16" t="str">
        <f t="shared" si="187"/>
        <v/>
      </c>
      <c r="Z281" s="16" t="str">
        <f t="shared" si="188"/>
        <v/>
      </c>
      <c r="AA281" s="16" t="str">
        <f t="shared" si="184"/>
        <v/>
      </c>
      <c r="AB281" s="16" t="str">
        <f t="shared" si="185"/>
        <v/>
      </c>
      <c r="AC281" s="29" t="str">
        <f t="shared" si="189"/>
        <v/>
      </c>
      <c r="AD281" s="29" t="str">
        <f t="shared" si="190"/>
        <v/>
      </c>
      <c r="AE281" s="2"/>
      <c r="AF281" s="2"/>
      <c r="AG281" s="2"/>
      <c r="AH281" s="2"/>
      <c r="AI281" s="2"/>
      <c r="AJ281" s="2"/>
      <c r="AK281" s="2"/>
      <c r="AL281" s="2"/>
      <c r="AM281" s="2"/>
      <c r="AN281" s="2"/>
      <c r="AO281" s="2"/>
      <c r="AP281" s="2"/>
      <c r="AQ281" s="2"/>
    </row>
    <row r="282" spans="4:43" x14ac:dyDescent="0.25">
      <c r="D282" s="54"/>
      <c r="E282" s="54"/>
      <c r="F282" s="54"/>
      <c r="G282" s="54"/>
      <c r="H282" s="54"/>
      <c r="I282" s="54"/>
      <c r="J282" s="2"/>
      <c r="K282" s="2"/>
      <c r="L282" s="2"/>
      <c r="M282" s="2"/>
      <c r="N282" s="2"/>
      <c r="O282" s="2"/>
      <c r="P282" s="2"/>
      <c r="Q282" s="2"/>
      <c r="R282" s="2"/>
      <c r="S282" s="2"/>
      <c r="T282" s="2"/>
      <c r="U282" s="264">
        <v>278</v>
      </c>
      <c r="V282" s="16" t="str">
        <f t="shared" si="182"/>
        <v/>
      </c>
      <c r="W282" s="16" t="str">
        <f t="shared" si="183"/>
        <v/>
      </c>
      <c r="X282" s="16" t="str">
        <f t="shared" si="186"/>
        <v/>
      </c>
      <c r="Y282" s="16" t="str">
        <f t="shared" si="187"/>
        <v/>
      </c>
      <c r="Z282" s="16" t="str">
        <f t="shared" si="188"/>
        <v/>
      </c>
      <c r="AA282" s="16" t="str">
        <f t="shared" si="184"/>
        <v/>
      </c>
      <c r="AB282" s="16" t="str">
        <f t="shared" si="185"/>
        <v/>
      </c>
      <c r="AC282" s="29" t="str">
        <f t="shared" si="189"/>
        <v/>
      </c>
      <c r="AD282" s="29" t="str">
        <f t="shared" si="190"/>
        <v/>
      </c>
      <c r="AE282" s="2"/>
      <c r="AF282" s="2"/>
      <c r="AG282" s="2"/>
      <c r="AH282" s="2"/>
      <c r="AI282" s="2"/>
      <c r="AJ282" s="2"/>
      <c r="AK282" s="2"/>
      <c r="AL282" s="2"/>
      <c r="AM282" s="2"/>
      <c r="AN282" s="2"/>
      <c r="AO282" s="2"/>
      <c r="AP282" s="2"/>
      <c r="AQ282" s="2"/>
    </row>
    <row r="283" spans="4:43" x14ac:dyDescent="0.25">
      <c r="D283" s="54"/>
      <c r="E283" s="54"/>
      <c r="F283" s="54"/>
      <c r="G283" s="54"/>
      <c r="H283" s="54"/>
      <c r="I283" s="54"/>
      <c r="J283" s="2"/>
      <c r="K283" s="2"/>
      <c r="L283" s="2"/>
      <c r="M283" s="2"/>
      <c r="N283" s="2"/>
      <c r="O283" s="2"/>
      <c r="P283" s="2"/>
      <c r="Q283" s="2"/>
      <c r="R283" s="2"/>
      <c r="S283" s="2"/>
      <c r="T283" s="2"/>
      <c r="U283" s="264">
        <v>279</v>
      </c>
      <c r="V283" s="16" t="str">
        <f t="shared" si="182"/>
        <v/>
      </c>
      <c r="W283" s="16" t="str">
        <f t="shared" si="183"/>
        <v/>
      </c>
      <c r="X283" s="16" t="str">
        <f t="shared" si="186"/>
        <v/>
      </c>
      <c r="Y283" s="16" t="str">
        <f t="shared" si="187"/>
        <v/>
      </c>
      <c r="Z283" s="16" t="str">
        <f t="shared" si="188"/>
        <v/>
      </c>
      <c r="AA283" s="16" t="str">
        <f t="shared" si="184"/>
        <v/>
      </c>
      <c r="AB283" s="16" t="str">
        <f t="shared" si="185"/>
        <v/>
      </c>
      <c r="AC283" s="29" t="str">
        <f t="shared" si="189"/>
        <v/>
      </c>
      <c r="AD283" s="29" t="str">
        <f t="shared" si="190"/>
        <v/>
      </c>
      <c r="AE283" s="2"/>
      <c r="AF283" s="2"/>
      <c r="AG283" s="2"/>
      <c r="AH283" s="2"/>
      <c r="AI283" s="2"/>
      <c r="AJ283" s="2"/>
      <c r="AK283" s="2"/>
      <c r="AL283" s="2"/>
      <c r="AM283" s="2"/>
      <c r="AN283" s="2"/>
      <c r="AO283" s="2"/>
      <c r="AP283" s="2"/>
      <c r="AQ283" s="2"/>
    </row>
    <row r="284" spans="4:43" x14ac:dyDescent="0.25">
      <c r="D284" s="54"/>
      <c r="E284" s="54"/>
      <c r="F284" s="54"/>
      <c r="G284" s="54"/>
      <c r="H284" s="54"/>
      <c r="I284" s="54"/>
      <c r="J284" s="2"/>
      <c r="K284" s="2"/>
      <c r="L284" s="2"/>
      <c r="M284" s="2"/>
      <c r="N284" s="2"/>
      <c r="O284" s="2"/>
      <c r="P284" s="2"/>
      <c r="Q284" s="2"/>
      <c r="R284" s="2"/>
      <c r="S284" s="2"/>
      <c r="T284" s="2"/>
      <c r="U284" s="264">
        <v>280</v>
      </c>
      <c r="V284" s="16" t="str">
        <f t="shared" si="182"/>
        <v/>
      </c>
      <c r="W284" s="16" t="str">
        <f t="shared" si="183"/>
        <v/>
      </c>
      <c r="X284" s="16" t="str">
        <f t="shared" si="186"/>
        <v/>
      </c>
      <c r="Y284" s="16" t="str">
        <f t="shared" si="187"/>
        <v/>
      </c>
      <c r="Z284" s="16" t="str">
        <f t="shared" si="188"/>
        <v/>
      </c>
      <c r="AA284" s="16" t="str">
        <f t="shared" si="184"/>
        <v/>
      </c>
      <c r="AB284" s="16" t="str">
        <f t="shared" si="185"/>
        <v/>
      </c>
      <c r="AC284" s="29" t="str">
        <f t="shared" si="189"/>
        <v/>
      </c>
      <c r="AD284" s="29" t="str">
        <f t="shared" si="190"/>
        <v/>
      </c>
      <c r="AE284" s="2"/>
      <c r="AF284" s="2"/>
      <c r="AG284" s="2"/>
      <c r="AH284" s="2"/>
      <c r="AI284" s="2"/>
      <c r="AJ284" s="2"/>
      <c r="AK284" s="2"/>
      <c r="AL284" s="2"/>
      <c r="AM284" s="2"/>
      <c r="AN284" s="2"/>
      <c r="AO284" s="2"/>
      <c r="AP284" s="2"/>
      <c r="AQ284" s="2"/>
    </row>
    <row r="285" spans="4:43" x14ac:dyDescent="0.25">
      <c r="D285" s="54"/>
      <c r="E285" s="54"/>
      <c r="F285" s="54"/>
      <c r="G285" s="54"/>
      <c r="H285" s="54"/>
      <c r="I285" s="54"/>
      <c r="J285" s="2"/>
      <c r="K285" s="2"/>
      <c r="L285" s="2"/>
      <c r="M285" s="2"/>
      <c r="N285" s="2"/>
      <c r="O285" s="2"/>
      <c r="P285" s="2"/>
      <c r="Q285" s="2"/>
      <c r="R285" s="2"/>
      <c r="S285" s="2"/>
      <c r="T285" s="2"/>
      <c r="U285" s="264">
        <v>281</v>
      </c>
      <c r="V285" s="16" t="str">
        <f t="shared" si="182"/>
        <v/>
      </c>
      <c r="W285" s="16" t="str">
        <f t="shared" si="183"/>
        <v/>
      </c>
      <c r="X285" s="16" t="str">
        <f t="shared" si="186"/>
        <v/>
      </c>
      <c r="Y285" s="16" t="str">
        <f t="shared" si="187"/>
        <v/>
      </c>
      <c r="Z285" s="16" t="str">
        <f t="shared" si="188"/>
        <v/>
      </c>
      <c r="AA285" s="16" t="str">
        <f t="shared" si="184"/>
        <v/>
      </c>
      <c r="AB285" s="16" t="str">
        <f t="shared" si="185"/>
        <v/>
      </c>
      <c r="AC285" s="29" t="str">
        <f t="shared" si="189"/>
        <v/>
      </c>
      <c r="AD285" s="29" t="str">
        <f t="shared" si="190"/>
        <v/>
      </c>
      <c r="AE285" s="2"/>
      <c r="AF285" s="2"/>
      <c r="AG285" s="2"/>
      <c r="AH285" s="2"/>
      <c r="AI285" s="2"/>
      <c r="AJ285" s="2"/>
      <c r="AK285" s="2"/>
      <c r="AL285" s="2"/>
      <c r="AM285" s="2"/>
      <c r="AN285" s="2"/>
      <c r="AO285" s="2"/>
      <c r="AP285" s="2"/>
      <c r="AQ285" s="2"/>
    </row>
    <row r="286" spans="4:43" x14ac:dyDescent="0.25">
      <c r="D286" s="54"/>
      <c r="E286" s="54"/>
      <c r="F286" s="54"/>
      <c r="G286" s="54"/>
      <c r="H286" s="54"/>
      <c r="I286" s="54"/>
      <c r="J286" s="2"/>
      <c r="K286" s="2"/>
      <c r="L286" s="2"/>
      <c r="M286" s="2"/>
      <c r="N286" s="2"/>
      <c r="O286" s="2"/>
      <c r="P286" s="2"/>
      <c r="Q286" s="2"/>
      <c r="R286" s="2"/>
      <c r="S286" s="2"/>
      <c r="T286" s="2"/>
      <c r="U286" s="264">
        <v>282</v>
      </c>
      <c r="V286" s="16" t="str">
        <f t="shared" si="182"/>
        <v/>
      </c>
      <c r="W286" s="16" t="str">
        <f t="shared" si="183"/>
        <v/>
      </c>
      <c r="X286" s="16" t="str">
        <f t="shared" si="186"/>
        <v/>
      </c>
      <c r="Y286" s="16" t="str">
        <f t="shared" si="187"/>
        <v/>
      </c>
      <c r="Z286" s="16" t="str">
        <f t="shared" si="188"/>
        <v/>
      </c>
      <c r="AA286" s="16" t="str">
        <f t="shared" si="184"/>
        <v/>
      </c>
      <c r="AB286" s="16" t="str">
        <f t="shared" si="185"/>
        <v/>
      </c>
      <c r="AC286" s="29" t="str">
        <f t="shared" si="189"/>
        <v/>
      </c>
      <c r="AD286" s="29" t="str">
        <f t="shared" si="190"/>
        <v/>
      </c>
      <c r="AE286" s="2"/>
      <c r="AF286" s="2"/>
      <c r="AG286" s="2"/>
      <c r="AH286" s="2"/>
      <c r="AI286" s="2"/>
      <c r="AJ286" s="2"/>
      <c r="AK286" s="2"/>
      <c r="AL286" s="2"/>
      <c r="AM286" s="2"/>
      <c r="AN286" s="2"/>
      <c r="AO286" s="2"/>
      <c r="AP286" s="2"/>
      <c r="AQ286" s="2"/>
    </row>
    <row r="287" spans="4:43" x14ac:dyDescent="0.25">
      <c r="D287" s="54"/>
      <c r="E287" s="54"/>
      <c r="F287" s="54"/>
      <c r="G287" s="54"/>
      <c r="H287" s="54"/>
      <c r="I287" s="54"/>
      <c r="J287" s="2"/>
      <c r="K287" s="2"/>
      <c r="L287" s="2"/>
      <c r="M287" s="2"/>
      <c r="N287" s="2"/>
      <c r="O287" s="2"/>
      <c r="P287" s="2"/>
      <c r="Q287" s="2"/>
      <c r="R287" s="2"/>
      <c r="S287" s="2"/>
      <c r="T287" s="2"/>
      <c r="U287" s="264">
        <v>283</v>
      </c>
      <c r="V287" s="16" t="str">
        <f t="shared" ref="V287:V304" si="191">IF($C$9&gt;=$U287,$R45+0.000001-$V$310,"")</f>
        <v/>
      </c>
      <c r="W287" s="16" t="str">
        <f t="shared" ref="W287:W304" si="192">IF($C$9&gt;=$U287,$Q45+0.000001-$V$309,"")</f>
        <v/>
      </c>
      <c r="X287" s="16" t="str">
        <f t="shared" si="186"/>
        <v/>
      </c>
      <c r="Y287" s="16" t="str">
        <f t="shared" si="187"/>
        <v/>
      </c>
      <c r="Z287" s="16" t="str">
        <f t="shared" si="188"/>
        <v/>
      </c>
      <c r="AA287" s="16" t="str">
        <f t="shared" ref="AA287:AA304" si="193">IF($C$9&gt;=$U287,$Q45-$V$309,"")</f>
        <v/>
      </c>
      <c r="AB287" s="16" t="str">
        <f t="shared" ref="AB287:AB304" si="194">IF($C$9&gt;=$U287,$R45-$V$310,"")</f>
        <v/>
      </c>
      <c r="AC287" s="29" t="str">
        <f t="shared" si="189"/>
        <v/>
      </c>
      <c r="AD287" s="29" t="str">
        <f t="shared" si="190"/>
        <v/>
      </c>
      <c r="AE287" s="2"/>
      <c r="AF287" s="2"/>
      <c r="AG287" s="2"/>
      <c r="AH287" s="2"/>
      <c r="AI287" s="2"/>
      <c r="AJ287" s="2"/>
      <c r="AK287" s="2"/>
      <c r="AL287" s="2"/>
      <c r="AM287" s="2"/>
      <c r="AN287" s="2"/>
      <c r="AO287" s="2"/>
      <c r="AP287" s="2"/>
      <c r="AQ287" s="2"/>
    </row>
    <row r="288" spans="4:43" x14ac:dyDescent="0.25">
      <c r="D288" s="54"/>
      <c r="E288" s="54"/>
      <c r="F288" s="54"/>
      <c r="G288" s="54"/>
      <c r="H288" s="54"/>
      <c r="I288" s="54"/>
      <c r="J288" s="2"/>
      <c r="K288" s="2"/>
      <c r="L288" s="2"/>
      <c r="M288" s="2"/>
      <c r="N288" s="2"/>
      <c r="O288" s="2"/>
      <c r="P288" s="2"/>
      <c r="Q288" s="2"/>
      <c r="R288" s="2"/>
      <c r="S288" s="2"/>
      <c r="T288" s="2"/>
      <c r="U288" s="264">
        <v>284</v>
      </c>
      <c r="V288" s="16" t="str">
        <f t="shared" si="191"/>
        <v/>
      </c>
      <c r="W288" s="16" t="str">
        <f t="shared" si="192"/>
        <v/>
      </c>
      <c r="X288" s="16" t="str">
        <f t="shared" si="186"/>
        <v/>
      </c>
      <c r="Y288" s="16" t="str">
        <f t="shared" si="187"/>
        <v/>
      </c>
      <c r="Z288" s="16" t="str">
        <f t="shared" si="188"/>
        <v/>
      </c>
      <c r="AA288" s="16" t="str">
        <f t="shared" si="193"/>
        <v/>
      </c>
      <c r="AB288" s="16" t="str">
        <f t="shared" si="194"/>
        <v/>
      </c>
      <c r="AC288" s="29" t="str">
        <f t="shared" si="189"/>
        <v/>
      </c>
      <c r="AD288" s="29" t="str">
        <f t="shared" si="190"/>
        <v/>
      </c>
      <c r="AE288" s="2"/>
      <c r="AF288" s="2"/>
      <c r="AG288" s="2"/>
      <c r="AH288" s="2"/>
      <c r="AI288" s="2"/>
      <c r="AJ288" s="2"/>
      <c r="AK288" s="2"/>
      <c r="AL288" s="2"/>
      <c r="AM288" s="2"/>
      <c r="AN288" s="2"/>
      <c r="AO288" s="2"/>
      <c r="AP288" s="2"/>
      <c r="AQ288" s="2"/>
    </row>
    <row r="289" spans="4:43" x14ac:dyDescent="0.25">
      <c r="D289" s="54"/>
      <c r="E289" s="54"/>
      <c r="F289" s="54"/>
      <c r="G289" s="54"/>
      <c r="H289" s="54"/>
      <c r="I289" s="54"/>
      <c r="J289" s="2"/>
      <c r="K289" s="2"/>
      <c r="L289" s="2"/>
      <c r="M289" s="2"/>
      <c r="N289" s="2"/>
      <c r="O289" s="2"/>
      <c r="P289" s="2"/>
      <c r="Q289" s="2"/>
      <c r="R289" s="2"/>
      <c r="S289" s="2"/>
      <c r="T289" s="2"/>
      <c r="U289" s="264">
        <v>285</v>
      </c>
      <c r="V289" s="16" t="str">
        <f t="shared" si="191"/>
        <v/>
      </c>
      <c r="W289" s="16" t="str">
        <f t="shared" si="192"/>
        <v/>
      </c>
      <c r="X289" s="16" t="str">
        <f t="shared" si="186"/>
        <v/>
      </c>
      <c r="Y289" s="16" t="str">
        <f t="shared" si="187"/>
        <v/>
      </c>
      <c r="Z289" s="16" t="str">
        <f t="shared" si="188"/>
        <v/>
      </c>
      <c r="AA289" s="16" t="str">
        <f t="shared" si="193"/>
        <v/>
      </c>
      <c r="AB289" s="16" t="str">
        <f t="shared" si="194"/>
        <v/>
      </c>
      <c r="AC289" s="29" t="str">
        <f t="shared" si="189"/>
        <v/>
      </c>
      <c r="AD289" s="29" t="str">
        <f t="shared" si="190"/>
        <v/>
      </c>
      <c r="AE289" s="2"/>
      <c r="AF289" s="2"/>
      <c r="AG289" s="2"/>
      <c r="AH289" s="2"/>
      <c r="AI289" s="2"/>
      <c r="AJ289" s="2"/>
      <c r="AK289" s="2"/>
      <c r="AL289" s="2"/>
      <c r="AM289" s="2"/>
      <c r="AN289" s="2"/>
      <c r="AO289" s="2"/>
      <c r="AP289" s="2"/>
      <c r="AQ289" s="2"/>
    </row>
    <row r="290" spans="4:43" x14ac:dyDescent="0.25">
      <c r="D290" s="54"/>
      <c r="E290" s="54"/>
      <c r="F290" s="54"/>
      <c r="G290" s="54"/>
      <c r="H290" s="54"/>
      <c r="I290" s="54"/>
      <c r="J290" s="2"/>
      <c r="K290" s="2"/>
      <c r="L290" s="2"/>
      <c r="M290" s="2"/>
      <c r="N290" s="2"/>
      <c r="O290" s="2"/>
      <c r="P290" s="2"/>
      <c r="Q290" s="2"/>
      <c r="R290" s="2"/>
      <c r="S290" s="2"/>
      <c r="T290" s="2"/>
      <c r="U290" s="264">
        <v>286</v>
      </c>
      <c r="V290" s="16" t="str">
        <f t="shared" si="191"/>
        <v/>
      </c>
      <c r="W290" s="16" t="str">
        <f t="shared" si="192"/>
        <v/>
      </c>
      <c r="X290" s="16" t="str">
        <f t="shared" si="186"/>
        <v/>
      </c>
      <c r="Y290" s="16" t="str">
        <f t="shared" si="187"/>
        <v/>
      </c>
      <c r="Z290" s="16" t="str">
        <f t="shared" si="188"/>
        <v/>
      </c>
      <c r="AA290" s="16" t="str">
        <f t="shared" si="193"/>
        <v/>
      </c>
      <c r="AB290" s="16" t="str">
        <f t="shared" si="194"/>
        <v/>
      </c>
      <c r="AC290" s="29" t="str">
        <f t="shared" si="189"/>
        <v/>
      </c>
      <c r="AD290" s="29" t="str">
        <f t="shared" si="190"/>
        <v/>
      </c>
      <c r="AE290" s="2"/>
      <c r="AF290" s="2"/>
      <c r="AG290" s="2"/>
      <c r="AH290" s="2"/>
      <c r="AI290" s="2"/>
      <c r="AJ290" s="2"/>
      <c r="AK290" s="2"/>
      <c r="AL290" s="2"/>
      <c r="AM290" s="2"/>
      <c r="AN290" s="2"/>
      <c r="AO290" s="2"/>
      <c r="AP290" s="2"/>
      <c r="AQ290" s="2"/>
    </row>
    <row r="291" spans="4:43" x14ac:dyDescent="0.25">
      <c r="D291" s="54"/>
      <c r="E291" s="54"/>
      <c r="F291" s="54"/>
      <c r="G291" s="54"/>
      <c r="H291" s="54"/>
      <c r="I291" s="54"/>
      <c r="J291" s="2"/>
      <c r="K291" s="2"/>
      <c r="L291" s="2"/>
      <c r="M291" s="2"/>
      <c r="N291" s="2"/>
      <c r="O291" s="2"/>
      <c r="P291" s="2"/>
      <c r="Q291" s="2"/>
      <c r="R291" s="2"/>
      <c r="S291" s="2"/>
      <c r="T291" s="2"/>
      <c r="U291" s="264">
        <v>287</v>
      </c>
      <c r="V291" s="16" t="str">
        <f t="shared" si="191"/>
        <v/>
      </c>
      <c r="W291" s="16" t="str">
        <f t="shared" si="192"/>
        <v/>
      </c>
      <c r="X291" s="16" t="str">
        <f t="shared" si="186"/>
        <v/>
      </c>
      <c r="Y291" s="16" t="str">
        <f t="shared" si="187"/>
        <v/>
      </c>
      <c r="Z291" s="16" t="str">
        <f t="shared" si="188"/>
        <v/>
      </c>
      <c r="AA291" s="16" t="str">
        <f t="shared" si="193"/>
        <v/>
      </c>
      <c r="AB291" s="16" t="str">
        <f t="shared" si="194"/>
        <v/>
      </c>
      <c r="AC291" s="29" t="str">
        <f t="shared" si="189"/>
        <v/>
      </c>
      <c r="AD291" s="29" t="str">
        <f t="shared" si="190"/>
        <v/>
      </c>
      <c r="AE291" s="2"/>
      <c r="AF291" s="2"/>
      <c r="AG291" s="2"/>
      <c r="AH291" s="2"/>
      <c r="AI291" s="2"/>
      <c r="AJ291" s="2"/>
      <c r="AK291" s="2"/>
      <c r="AL291" s="2"/>
      <c r="AM291" s="2"/>
      <c r="AN291" s="2"/>
      <c r="AO291" s="2"/>
      <c r="AP291" s="2"/>
      <c r="AQ291" s="2"/>
    </row>
    <row r="292" spans="4:43" x14ac:dyDescent="0.25">
      <c r="D292" s="54"/>
      <c r="E292" s="54"/>
      <c r="F292" s="54"/>
      <c r="G292" s="54"/>
      <c r="H292" s="54"/>
      <c r="I292" s="54"/>
      <c r="J292" s="2"/>
      <c r="K292" s="2"/>
      <c r="L292" s="2"/>
      <c r="M292" s="2"/>
      <c r="N292" s="2"/>
      <c r="O292" s="2"/>
      <c r="P292" s="2"/>
      <c r="Q292" s="2"/>
      <c r="R292" s="2"/>
      <c r="S292" s="2"/>
      <c r="T292" s="2"/>
      <c r="U292" s="264">
        <v>288</v>
      </c>
      <c r="V292" s="16" t="str">
        <f t="shared" si="191"/>
        <v/>
      </c>
      <c r="W292" s="16" t="str">
        <f t="shared" si="192"/>
        <v/>
      </c>
      <c r="X292" s="16" t="str">
        <f t="shared" si="186"/>
        <v/>
      </c>
      <c r="Y292" s="16" t="str">
        <f t="shared" si="187"/>
        <v/>
      </c>
      <c r="Z292" s="16" t="str">
        <f t="shared" si="188"/>
        <v/>
      </c>
      <c r="AA292" s="16" t="str">
        <f t="shared" si="193"/>
        <v/>
      </c>
      <c r="AB292" s="16" t="str">
        <f t="shared" si="194"/>
        <v/>
      </c>
      <c r="AC292" s="29" t="str">
        <f t="shared" si="189"/>
        <v/>
      </c>
      <c r="AD292" s="29" t="str">
        <f t="shared" si="190"/>
        <v/>
      </c>
      <c r="AE292" s="2"/>
      <c r="AF292" s="2"/>
      <c r="AG292" s="2"/>
      <c r="AH292" s="2"/>
      <c r="AI292" s="2"/>
      <c r="AJ292" s="2"/>
      <c r="AK292" s="2"/>
      <c r="AL292" s="2"/>
      <c r="AM292" s="2"/>
      <c r="AN292" s="2"/>
      <c r="AO292" s="2"/>
      <c r="AP292" s="2"/>
      <c r="AQ292" s="2"/>
    </row>
    <row r="293" spans="4:43" x14ac:dyDescent="0.25">
      <c r="D293" s="54"/>
      <c r="E293" s="54"/>
      <c r="F293" s="54"/>
      <c r="G293" s="54"/>
      <c r="H293" s="54"/>
      <c r="I293" s="54"/>
      <c r="J293" s="2"/>
      <c r="K293" s="2"/>
      <c r="L293" s="2"/>
      <c r="M293" s="2"/>
      <c r="N293" s="2"/>
      <c r="O293" s="2"/>
      <c r="P293" s="2"/>
      <c r="Q293" s="2"/>
      <c r="R293" s="2"/>
      <c r="S293" s="2"/>
      <c r="T293" s="2"/>
      <c r="U293" s="264">
        <v>289</v>
      </c>
      <c r="V293" s="16" t="str">
        <f t="shared" si="191"/>
        <v/>
      </c>
      <c r="W293" s="16" t="str">
        <f t="shared" si="192"/>
        <v/>
      </c>
      <c r="X293" s="16" t="str">
        <f t="shared" si="186"/>
        <v/>
      </c>
      <c r="Y293" s="16" t="str">
        <f t="shared" si="187"/>
        <v/>
      </c>
      <c r="Z293" s="16" t="str">
        <f t="shared" si="188"/>
        <v/>
      </c>
      <c r="AA293" s="16" t="str">
        <f t="shared" si="193"/>
        <v/>
      </c>
      <c r="AB293" s="16" t="str">
        <f t="shared" si="194"/>
        <v/>
      </c>
      <c r="AC293" s="29" t="str">
        <f t="shared" si="189"/>
        <v/>
      </c>
      <c r="AD293" s="29" t="str">
        <f t="shared" si="190"/>
        <v/>
      </c>
      <c r="AE293" s="2"/>
      <c r="AF293" s="2"/>
      <c r="AG293" s="2"/>
      <c r="AH293" s="2"/>
      <c r="AI293" s="2"/>
      <c r="AJ293" s="2"/>
      <c r="AK293" s="2"/>
      <c r="AL293" s="2"/>
      <c r="AM293" s="2"/>
      <c r="AN293" s="2"/>
      <c r="AO293" s="2"/>
      <c r="AP293" s="2"/>
      <c r="AQ293" s="2"/>
    </row>
    <row r="294" spans="4:43" x14ac:dyDescent="0.25">
      <c r="D294" s="54"/>
      <c r="E294" s="54"/>
      <c r="F294" s="54"/>
      <c r="G294" s="54"/>
      <c r="H294" s="54"/>
      <c r="I294" s="54"/>
      <c r="J294" s="2"/>
      <c r="K294" s="2"/>
      <c r="L294" s="2"/>
      <c r="M294" s="2"/>
      <c r="N294" s="2"/>
      <c r="O294" s="2"/>
      <c r="P294" s="2"/>
      <c r="Q294" s="2"/>
      <c r="R294" s="2"/>
      <c r="S294" s="2"/>
      <c r="T294" s="2"/>
      <c r="U294" s="264">
        <v>290</v>
      </c>
      <c r="V294" s="16" t="str">
        <f t="shared" si="191"/>
        <v/>
      </c>
      <c r="W294" s="16" t="str">
        <f t="shared" si="192"/>
        <v/>
      </c>
      <c r="X294" s="16" t="str">
        <f t="shared" si="186"/>
        <v/>
      </c>
      <c r="Y294" s="16" t="str">
        <f t="shared" si="187"/>
        <v/>
      </c>
      <c r="Z294" s="16" t="str">
        <f t="shared" si="188"/>
        <v/>
      </c>
      <c r="AA294" s="16" t="str">
        <f t="shared" si="193"/>
        <v/>
      </c>
      <c r="AB294" s="16" t="str">
        <f t="shared" si="194"/>
        <v/>
      </c>
      <c r="AC294" s="29" t="str">
        <f t="shared" si="189"/>
        <v/>
      </c>
      <c r="AD294" s="29" t="str">
        <f t="shared" si="190"/>
        <v/>
      </c>
      <c r="AE294" s="2"/>
      <c r="AF294" s="2"/>
      <c r="AG294" s="2"/>
      <c r="AH294" s="2"/>
      <c r="AI294" s="2"/>
      <c r="AJ294" s="2"/>
      <c r="AK294" s="2"/>
      <c r="AL294" s="2"/>
      <c r="AM294" s="2"/>
      <c r="AN294" s="2"/>
      <c r="AO294" s="2"/>
      <c r="AP294" s="2"/>
      <c r="AQ294" s="2"/>
    </row>
    <row r="295" spans="4:43" x14ac:dyDescent="0.25">
      <c r="D295" s="54"/>
      <c r="E295" s="54"/>
      <c r="F295" s="54"/>
      <c r="G295" s="54"/>
      <c r="H295" s="54"/>
      <c r="I295" s="54"/>
      <c r="J295" s="2"/>
      <c r="K295" s="2"/>
      <c r="L295" s="2"/>
      <c r="M295" s="2"/>
      <c r="N295" s="2"/>
      <c r="O295" s="2"/>
      <c r="P295" s="2"/>
      <c r="Q295" s="2"/>
      <c r="R295" s="2"/>
      <c r="S295" s="2"/>
      <c r="T295" s="2"/>
      <c r="U295" s="264">
        <v>291</v>
      </c>
      <c r="V295" s="16" t="str">
        <f t="shared" si="191"/>
        <v/>
      </c>
      <c r="W295" s="16" t="str">
        <f t="shared" si="192"/>
        <v/>
      </c>
      <c r="X295" s="16" t="str">
        <f t="shared" si="186"/>
        <v/>
      </c>
      <c r="Y295" s="16" t="str">
        <f t="shared" si="187"/>
        <v/>
      </c>
      <c r="Z295" s="16" t="str">
        <f t="shared" si="188"/>
        <v/>
      </c>
      <c r="AA295" s="16" t="str">
        <f t="shared" si="193"/>
        <v/>
      </c>
      <c r="AB295" s="16" t="str">
        <f t="shared" si="194"/>
        <v/>
      </c>
      <c r="AC295" s="29" t="str">
        <f t="shared" si="189"/>
        <v/>
      </c>
      <c r="AD295" s="29" t="str">
        <f t="shared" si="190"/>
        <v/>
      </c>
      <c r="AE295" s="2"/>
      <c r="AF295" s="2"/>
      <c r="AG295" s="2"/>
      <c r="AH295" s="2"/>
      <c r="AI295" s="2"/>
      <c r="AJ295" s="2"/>
      <c r="AK295" s="2"/>
      <c r="AL295" s="2"/>
      <c r="AM295" s="2"/>
      <c r="AN295" s="2"/>
      <c r="AO295" s="2"/>
      <c r="AP295" s="2"/>
      <c r="AQ295" s="2"/>
    </row>
    <row r="296" spans="4:43" x14ac:dyDescent="0.25">
      <c r="D296" s="54"/>
      <c r="E296" s="54"/>
      <c r="F296" s="54"/>
      <c r="G296" s="54"/>
      <c r="H296" s="54"/>
      <c r="I296" s="54"/>
      <c r="J296" s="2"/>
      <c r="K296" s="2"/>
      <c r="L296" s="2"/>
      <c r="M296" s="2"/>
      <c r="N296" s="2"/>
      <c r="O296" s="2"/>
      <c r="P296" s="2"/>
      <c r="Q296" s="2"/>
      <c r="R296" s="2"/>
      <c r="S296" s="2"/>
      <c r="T296" s="2"/>
      <c r="U296" s="264">
        <v>292</v>
      </c>
      <c r="V296" s="16" t="str">
        <f t="shared" si="191"/>
        <v/>
      </c>
      <c r="W296" s="16" t="str">
        <f t="shared" si="192"/>
        <v/>
      </c>
      <c r="X296" s="16" t="str">
        <f t="shared" si="186"/>
        <v/>
      </c>
      <c r="Y296" s="16" t="str">
        <f t="shared" si="187"/>
        <v/>
      </c>
      <c r="Z296" s="16" t="str">
        <f t="shared" si="188"/>
        <v/>
      </c>
      <c r="AA296" s="16" t="str">
        <f t="shared" si="193"/>
        <v/>
      </c>
      <c r="AB296" s="16" t="str">
        <f t="shared" si="194"/>
        <v/>
      </c>
      <c r="AC296" s="29" t="str">
        <f t="shared" si="189"/>
        <v/>
      </c>
      <c r="AD296" s="29" t="str">
        <f t="shared" si="190"/>
        <v/>
      </c>
      <c r="AE296" s="2"/>
      <c r="AF296" s="2"/>
      <c r="AG296" s="2"/>
      <c r="AH296" s="2"/>
      <c r="AI296" s="2"/>
      <c r="AJ296" s="2"/>
      <c r="AK296" s="2"/>
      <c r="AL296" s="2"/>
      <c r="AM296" s="2"/>
      <c r="AN296" s="2"/>
      <c r="AO296" s="2"/>
      <c r="AP296" s="2"/>
      <c r="AQ296" s="2"/>
    </row>
    <row r="297" spans="4:43" x14ac:dyDescent="0.25">
      <c r="D297" s="54"/>
      <c r="E297" s="54"/>
      <c r="F297" s="54"/>
      <c r="G297" s="54"/>
      <c r="H297" s="54"/>
      <c r="I297" s="54"/>
      <c r="J297" s="2"/>
      <c r="K297" s="2"/>
      <c r="L297" s="2"/>
      <c r="M297" s="2"/>
      <c r="N297" s="2"/>
      <c r="O297" s="2"/>
      <c r="P297" s="2"/>
      <c r="Q297" s="2"/>
      <c r="R297" s="2"/>
      <c r="S297" s="2"/>
      <c r="T297" s="2"/>
      <c r="U297" s="264">
        <v>293</v>
      </c>
      <c r="V297" s="16" t="str">
        <f t="shared" si="191"/>
        <v/>
      </c>
      <c r="W297" s="16" t="str">
        <f t="shared" si="192"/>
        <v/>
      </c>
      <c r="X297" s="16" t="str">
        <f t="shared" si="186"/>
        <v/>
      </c>
      <c r="Y297" s="16" t="str">
        <f t="shared" si="187"/>
        <v/>
      </c>
      <c r="Z297" s="16" t="str">
        <f t="shared" si="188"/>
        <v/>
      </c>
      <c r="AA297" s="16" t="str">
        <f t="shared" si="193"/>
        <v/>
      </c>
      <c r="AB297" s="16" t="str">
        <f t="shared" si="194"/>
        <v/>
      </c>
      <c r="AC297" s="29" t="str">
        <f t="shared" si="189"/>
        <v/>
      </c>
      <c r="AD297" s="29" t="str">
        <f t="shared" si="190"/>
        <v/>
      </c>
      <c r="AE297" s="2"/>
      <c r="AF297" s="2"/>
      <c r="AG297" s="2"/>
      <c r="AH297" s="2"/>
      <c r="AI297" s="2"/>
      <c r="AJ297" s="2"/>
      <c r="AK297" s="2"/>
      <c r="AL297" s="2"/>
      <c r="AM297" s="2"/>
      <c r="AN297" s="2"/>
      <c r="AO297" s="2"/>
      <c r="AP297" s="2"/>
      <c r="AQ297" s="2"/>
    </row>
    <row r="298" spans="4:43" x14ac:dyDescent="0.25">
      <c r="D298" s="54"/>
      <c r="E298" s="54"/>
      <c r="F298" s="54"/>
      <c r="G298" s="54"/>
      <c r="H298" s="54"/>
      <c r="I298" s="54"/>
      <c r="J298" s="2"/>
      <c r="K298" s="2"/>
      <c r="L298" s="2"/>
      <c r="M298" s="2"/>
      <c r="N298" s="2"/>
      <c r="O298" s="2"/>
      <c r="P298" s="2"/>
      <c r="Q298" s="2"/>
      <c r="R298" s="2"/>
      <c r="S298" s="2"/>
      <c r="T298" s="2"/>
      <c r="U298" s="264">
        <v>294</v>
      </c>
      <c r="V298" s="16" t="str">
        <f t="shared" si="191"/>
        <v/>
      </c>
      <c r="W298" s="16" t="str">
        <f t="shared" si="192"/>
        <v/>
      </c>
      <c r="X298" s="16" t="str">
        <f t="shared" si="186"/>
        <v/>
      </c>
      <c r="Y298" s="16" t="str">
        <f t="shared" si="187"/>
        <v/>
      </c>
      <c r="Z298" s="16" t="str">
        <f t="shared" si="188"/>
        <v/>
      </c>
      <c r="AA298" s="16" t="str">
        <f t="shared" si="193"/>
        <v/>
      </c>
      <c r="AB298" s="16" t="str">
        <f t="shared" si="194"/>
        <v/>
      </c>
      <c r="AC298" s="29" t="str">
        <f t="shared" si="189"/>
        <v/>
      </c>
      <c r="AD298" s="29" t="str">
        <f t="shared" si="190"/>
        <v/>
      </c>
      <c r="AE298" s="2"/>
      <c r="AF298" s="2"/>
      <c r="AG298" s="2"/>
      <c r="AH298" s="2"/>
      <c r="AI298" s="2"/>
      <c r="AJ298" s="2"/>
      <c r="AK298" s="2"/>
      <c r="AL298" s="2"/>
      <c r="AM298" s="2"/>
      <c r="AN298" s="2"/>
      <c r="AO298" s="2"/>
      <c r="AP298" s="2"/>
      <c r="AQ298" s="2"/>
    </row>
    <row r="299" spans="4:43" x14ac:dyDescent="0.25">
      <c r="D299" s="54"/>
      <c r="E299" s="54"/>
      <c r="F299" s="54"/>
      <c r="G299" s="54"/>
      <c r="H299" s="54"/>
      <c r="I299" s="54"/>
      <c r="J299" s="2"/>
      <c r="K299" s="2"/>
      <c r="L299" s="2"/>
      <c r="M299" s="2"/>
      <c r="N299" s="2"/>
      <c r="O299" s="2"/>
      <c r="P299" s="2"/>
      <c r="Q299" s="2"/>
      <c r="R299" s="2"/>
      <c r="S299" s="2"/>
      <c r="T299" s="2"/>
      <c r="U299" s="264">
        <v>295</v>
      </c>
      <c r="V299" s="16" t="str">
        <f t="shared" si="191"/>
        <v/>
      </c>
      <c r="W299" s="16" t="str">
        <f t="shared" si="192"/>
        <v/>
      </c>
      <c r="X299" s="16" t="str">
        <f t="shared" si="186"/>
        <v/>
      </c>
      <c r="Y299" s="16" t="str">
        <f t="shared" si="187"/>
        <v/>
      </c>
      <c r="Z299" s="16" t="str">
        <f t="shared" si="188"/>
        <v/>
      </c>
      <c r="AA299" s="16" t="str">
        <f t="shared" si="193"/>
        <v/>
      </c>
      <c r="AB299" s="16" t="str">
        <f t="shared" si="194"/>
        <v/>
      </c>
      <c r="AC299" s="29" t="str">
        <f t="shared" si="189"/>
        <v/>
      </c>
      <c r="AD299" s="29" t="str">
        <f t="shared" si="190"/>
        <v/>
      </c>
      <c r="AE299" s="2"/>
      <c r="AF299" s="2"/>
      <c r="AG299" s="2"/>
      <c r="AH299" s="2"/>
      <c r="AI299" s="2"/>
      <c r="AJ299" s="2"/>
      <c r="AK299" s="2"/>
      <c r="AL299" s="2"/>
      <c r="AM299" s="2"/>
      <c r="AN299" s="2"/>
      <c r="AO299" s="2"/>
      <c r="AP299" s="2"/>
      <c r="AQ299" s="2"/>
    </row>
    <row r="300" spans="4:43" x14ac:dyDescent="0.25">
      <c r="D300" s="54"/>
      <c r="E300" s="54"/>
      <c r="F300" s="54"/>
      <c r="G300" s="54"/>
      <c r="H300" s="54"/>
      <c r="I300" s="54"/>
      <c r="J300" s="2"/>
      <c r="K300" s="2"/>
      <c r="L300" s="2"/>
      <c r="M300" s="2"/>
      <c r="N300" s="2"/>
      <c r="O300" s="2"/>
      <c r="P300" s="2"/>
      <c r="Q300" s="2"/>
      <c r="R300" s="2"/>
      <c r="S300" s="2"/>
      <c r="T300" s="2"/>
      <c r="U300" s="264">
        <v>296</v>
      </c>
      <c r="V300" s="16" t="str">
        <f t="shared" si="191"/>
        <v/>
      </c>
      <c r="W300" s="16" t="str">
        <f t="shared" si="192"/>
        <v/>
      </c>
      <c r="X300" s="16" t="str">
        <f t="shared" si="186"/>
        <v/>
      </c>
      <c r="Y300" s="16" t="str">
        <f t="shared" si="187"/>
        <v/>
      </c>
      <c r="Z300" s="16" t="str">
        <f t="shared" si="188"/>
        <v/>
      </c>
      <c r="AA300" s="16" t="str">
        <f t="shared" si="193"/>
        <v/>
      </c>
      <c r="AB300" s="16" t="str">
        <f t="shared" si="194"/>
        <v/>
      </c>
      <c r="AC300" s="29" t="str">
        <f t="shared" si="189"/>
        <v/>
      </c>
      <c r="AD300" s="29" t="str">
        <f t="shared" si="190"/>
        <v/>
      </c>
      <c r="AE300" s="2"/>
      <c r="AF300" s="2"/>
      <c r="AG300" s="2"/>
      <c r="AH300" s="2"/>
      <c r="AI300" s="2"/>
      <c r="AJ300" s="2"/>
      <c r="AK300" s="2"/>
      <c r="AL300" s="2"/>
      <c r="AM300" s="2"/>
      <c r="AN300" s="2"/>
      <c r="AO300" s="2"/>
      <c r="AP300" s="2"/>
      <c r="AQ300" s="2"/>
    </row>
    <row r="301" spans="4:43" x14ac:dyDescent="0.25">
      <c r="D301" s="54"/>
      <c r="E301" s="54"/>
      <c r="F301" s="54"/>
      <c r="G301" s="54"/>
      <c r="H301" s="54"/>
      <c r="I301" s="54"/>
      <c r="J301" s="2"/>
      <c r="K301" s="2"/>
      <c r="L301" s="2"/>
      <c r="M301" s="2"/>
      <c r="N301" s="2"/>
      <c r="O301" s="2"/>
      <c r="P301" s="2"/>
      <c r="Q301" s="2"/>
      <c r="R301" s="2"/>
      <c r="S301" s="2"/>
      <c r="T301" s="2"/>
      <c r="U301" s="264">
        <v>297</v>
      </c>
      <c r="V301" s="16" t="str">
        <f t="shared" si="191"/>
        <v/>
      </c>
      <c r="W301" s="16" t="str">
        <f t="shared" si="192"/>
        <v/>
      </c>
      <c r="X301" s="16" t="str">
        <f t="shared" si="186"/>
        <v/>
      </c>
      <c r="Y301" s="16" t="str">
        <f t="shared" si="187"/>
        <v/>
      </c>
      <c r="Z301" s="16" t="str">
        <f t="shared" si="188"/>
        <v/>
      </c>
      <c r="AA301" s="16" t="str">
        <f t="shared" si="193"/>
        <v/>
      </c>
      <c r="AB301" s="16" t="str">
        <f t="shared" si="194"/>
        <v/>
      </c>
      <c r="AC301" s="29" t="str">
        <f t="shared" si="189"/>
        <v/>
      </c>
      <c r="AD301" s="29" t="str">
        <f t="shared" si="190"/>
        <v/>
      </c>
      <c r="AE301" s="2"/>
      <c r="AF301" s="2"/>
      <c r="AG301" s="2"/>
      <c r="AH301" s="2"/>
      <c r="AI301" s="2"/>
      <c r="AJ301" s="2"/>
      <c r="AK301" s="2"/>
      <c r="AL301" s="2"/>
      <c r="AM301" s="2"/>
      <c r="AN301" s="2"/>
      <c r="AO301" s="2"/>
      <c r="AP301" s="2"/>
      <c r="AQ301" s="2"/>
    </row>
    <row r="302" spans="4:43" x14ac:dyDescent="0.25">
      <c r="D302" s="54"/>
      <c r="E302" s="54"/>
      <c r="F302" s="54"/>
      <c r="G302" s="54"/>
      <c r="H302" s="54"/>
      <c r="I302" s="54"/>
      <c r="J302" s="2"/>
      <c r="K302" s="2"/>
      <c r="L302" s="2"/>
      <c r="M302" s="2"/>
      <c r="N302" s="2"/>
      <c r="O302" s="2"/>
      <c r="P302" s="2"/>
      <c r="Q302" s="2"/>
      <c r="R302" s="2"/>
      <c r="S302" s="2"/>
      <c r="T302" s="2"/>
      <c r="U302" s="264">
        <v>298</v>
      </c>
      <c r="V302" s="16" t="str">
        <f t="shared" si="191"/>
        <v/>
      </c>
      <c r="W302" s="16" t="str">
        <f t="shared" si="192"/>
        <v/>
      </c>
      <c r="X302" s="16" t="str">
        <f t="shared" si="186"/>
        <v/>
      </c>
      <c r="Y302" s="16" t="str">
        <f t="shared" si="187"/>
        <v/>
      </c>
      <c r="Z302" s="16" t="str">
        <f t="shared" si="188"/>
        <v/>
      </c>
      <c r="AA302" s="16" t="str">
        <f t="shared" si="193"/>
        <v/>
      </c>
      <c r="AB302" s="16" t="str">
        <f t="shared" si="194"/>
        <v/>
      </c>
      <c r="AC302" s="29" t="str">
        <f t="shared" si="189"/>
        <v/>
      </c>
      <c r="AD302" s="29" t="str">
        <f t="shared" si="190"/>
        <v/>
      </c>
      <c r="AE302" s="2"/>
      <c r="AF302" s="2"/>
      <c r="AG302" s="2"/>
      <c r="AH302" s="2"/>
      <c r="AI302" s="2"/>
      <c r="AJ302" s="2"/>
      <c r="AK302" s="2"/>
      <c r="AL302" s="2"/>
      <c r="AM302" s="2"/>
      <c r="AN302" s="2"/>
      <c r="AO302" s="2"/>
      <c r="AP302" s="2"/>
      <c r="AQ302" s="2"/>
    </row>
    <row r="303" spans="4:43" x14ac:dyDescent="0.25">
      <c r="D303" s="54"/>
      <c r="E303" s="54"/>
      <c r="F303" s="54"/>
      <c r="G303" s="54"/>
      <c r="H303" s="54"/>
      <c r="I303" s="54"/>
      <c r="J303" s="2"/>
      <c r="K303" s="2"/>
      <c r="L303" s="2"/>
      <c r="M303" s="2"/>
      <c r="N303" s="2"/>
      <c r="O303" s="2"/>
      <c r="P303" s="2"/>
      <c r="Q303" s="2"/>
      <c r="R303" s="2"/>
      <c r="S303" s="2"/>
      <c r="T303" s="2"/>
      <c r="U303" s="264">
        <v>299</v>
      </c>
      <c r="V303" s="16" t="str">
        <f t="shared" si="191"/>
        <v/>
      </c>
      <c r="W303" s="16" t="str">
        <f t="shared" si="192"/>
        <v/>
      </c>
      <c r="X303" s="16" t="str">
        <f t="shared" si="186"/>
        <v/>
      </c>
      <c r="Y303" s="16" t="str">
        <f t="shared" si="187"/>
        <v/>
      </c>
      <c r="Z303" s="16" t="str">
        <f t="shared" si="188"/>
        <v/>
      </c>
      <c r="AA303" s="16" t="str">
        <f t="shared" si="193"/>
        <v/>
      </c>
      <c r="AB303" s="16" t="str">
        <f t="shared" si="194"/>
        <v/>
      </c>
      <c r="AC303" s="29" t="str">
        <f t="shared" si="189"/>
        <v/>
      </c>
      <c r="AD303" s="29" t="str">
        <f t="shared" si="190"/>
        <v/>
      </c>
      <c r="AE303" s="2"/>
      <c r="AF303" s="2"/>
      <c r="AG303" s="2"/>
      <c r="AH303" s="2"/>
      <c r="AI303" s="2"/>
      <c r="AJ303" s="2"/>
      <c r="AK303" s="2"/>
      <c r="AL303" s="2"/>
      <c r="AM303" s="2"/>
      <c r="AN303" s="2"/>
      <c r="AO303" s="2"/>
      <c r="AP303" s="2"/>
      <c r="AQ303" s="2"/>
    </row>
    <row r="304" spans="4:43" x14ac:dyDescent="0.25">
      <c r="D304" s="54"/>
      <c r="E304" s="54"/>
      <c r="F304" s="54"/>
      <c r="G304" s="54"/>
      <c r="H304" s="54"/>
      <c r="I304" s="54"/>
      <c r="J304" s="2"/>
      <c r="K304" s="2"/>
      <c r="L304" s="2"/>
      <c r="M304" s="2"/>
      <c r="N304" s="2"/>
      <c r="O304" s="2"/>
      <c r="P304" s="2"/>
      <c r="Q304" s="2"/>
      <c r="R304" s="2"/>
      <c r="S304" s="2"/>
      <c r="T304" s="2"/>
      <c r="U304" s="264">
        <v>300</v>
      </c>
      <c r="V304" s="16" t="str">
        <f t="shared" si="191"/>
        <v/>
      </c>
      <c r="W304" s="16" t="str">
        <f t="shared" si="192"/>
        <v/>
      </c>
      <c r="X304" s="16" t="str">
        <f t="shared" si="186"/>
        <v/>
      </c>
      <c r="Y304" s="16" t="str">
        <f t="shared" si="187"/>
        <v/>
      </c>
      <c r="Z304" s="16" t="str">
        <f t="shared" si="188"/>
        <v/>
      </c>
      <c r="AA304" s="16" t="str">
        <f t="shared" si="193"/>
        <v/>
      </c>
      <c r="AB304" s="16" t="str">
        <f t="shared" si="194"/>
        <v/>
      </c>
      <c r="AC304" s="29" t="str">
        <f t="shared" si="189"/>
        <v/>
      </c>
      <c r="AD304" s="29" t="str">
        <f t="shared" si="190"/>
        <v/>
      </c>
      <c r="AE304" s="2"/>
      <c r="AF304" s="2"/>
      <c r="AG304" s="2"/>
      <c r="AH304" s="2"/>
      <c r="AI304" s="2"/>
      <c r="AJ304" s="2"/>
      <c r="AK304" s="2"/>
      <c r="AL304" s="2"/>
      <c r="AM304" s="2"/>
      <c r="AN304" s="2"/>
      <c r="AO304" s="2"/>
      <c r="AP304" s="2"/>
      <c r="AQ304" s="2"/>
    </row>
    <row r="305" spans="4:45" x14ac:dyDescent="0.25">
      <c r="D305" s="54"/>
      <c r="E305" s="54"/>
      <c r="F305" s="54"/>
      <c r="G305" s="54"/>
      <c r="H305" s="54"/>
      <c r="I305" s="54"/>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row>
    <row r="306" spans="4:45" x14ac:dyDescent="0.25">
      <c r="D306" s="54"/>
      <c r="E306" s="54"/>
      <c r="F306" s="54"/>
      <c r="G306" s="54"/>
      <c r="H306" s="54"/>
      <c r="I306" s="54"/>
      <c r="J306" s="2"/>
      <c r="K306" s="2"/>
      <c r="L306" s="2"/>
      <c r="M306" s="2"/>
      <c r="N306" s="2"/>
      <c r="O306" s="2"/>
      <c r="P306" s="2"/>
      <c r="Q306" s="2"/>
      <c r="R306" s="2"/>
      <c r="S306" s="2"/>
      <c r="T306" s="2"/>
      <c r="U306" s="7" t="s">
        <v>32</v>
      </c>
      <c r="V306" s="5"/>
      <c r="W306" s="5"/>
      <c r="X306" s="3"/>
      <c r="Y306" s="7" t="s">
        <v>7</v>
      </c>
      <c r="Z306" s="2"/>
      <c r="AA306" s="2"/>
      <c r="AB306" s="2"/>
      <c r="AC306" s="2"/>
      <c r="AD306" s="278"/>
      <c r="AE306" s="2"/>
      <c r="AF306" s="2"/>
      <c r="AG306" s="2"/>
      <c r="AH306" s="2"/>
      <c r="AI306" s="2"/>
      <c r="AJ306" s="2"/>
      <c r="AK306" s="2"/>
      <c r="AL306" s="2"/>
      <c r="AM306" s="2"/>
      <c r="AN306" s="2"/>
      <c r="AO306" s="2"/>
      <c r="AP306" s="2"/>
      <c r="AQ306" s="2"/>
    </row>
    <row r="307" spans="4:45" x14ac:dyDescent="0.25">
      <c r="D307" s="54"/>
      <c r="E307" s="54"/>
      <c r="F307" s="54"/>
      <c r="G307" s="54"/>
      <c r="H307" s="54"/>
      <c r="I307" s="54"/>
      <c r="J307" s="2"/>
      <c r="K307" s="2"/>
      <c r="L307" s="2"/>
      <c r="M307" s="2"/>
      <c r="N307" s="2"/>
      <c r="O307" s="2"/>
      <c r="P307" s="2"/>
      <c r="Q307" s="2"/>
      <c r="R307" s="2"/>
      <c r="S307" s="2"/>
      <c r="T307" s="2"/>
      <c r="U307" s="11" t="s">
        <v>85</v>
      </c>
      <c r="V307" s="4">
        <f>SUM($B$13:$B$62,$E$13:$E$62,$H$13:$H$62,$K$13:$K$62,$N$13:$N$62,$Q$13:$Q$62)</f>
        <v>180</v>
      </c>
      <c r="W307" s="2"/>
      <c r="X307" s="2"/>
      <c r="Y307" s="5"/>
      <c r="Z307" s="23" t="s">
        <v>8</v>
      </c>
      <c r="AA307" s="23" t="s">
        <v>9</v>
      </c>
      <c r="AB307" s="23" t="s">
        <v>10</v>
      </c>
      <c r="AC307" s="23" t="s">
        <v>11</v>
      </c>
      <c r="AD307" s="23" t="s">
        <v>45</v>
      </c>
      <c r="AE307" s="23" t="s">
        <v>46</v>
      </c>
      <c r="AF307" s="23" t="s">
        <v>47</v>
      </c>
      <c r="AG307" s="23" t="s">
        <v>48</v>
      </c>
      <c r="AH307" s="23" t="s">
        <v>243</v>
      </c>
      <c r="AI307" s="23" t="s">
        <v>244</v>
      </c>
      <c r="AJ307" s="23" t="s">
        <v>245</v>
      </c>
      <c r="AK307" s="23" t="s">
        <v>246</v>
      </c>
      <c r="AL307" s="23" t="s">
        <v>247</v>
      </c>
      <c r="AM307" s="23" t="s">
        <v>248</v>
      </c>
      <c r="AN307" s="23" t="s">
        <v>249</v>
      </c>
      <c r="AO307" s="23" t="s">
        <v>250</v>
      </c>
      <c r="AP307" s="23" t="s">
        <v>350</v>
      </c>
      <c r="AR307" s="23"/>
      <c r="AS307" s="23"/>
    </row>
    <row r="308" spans="4:45" x14ac:dyDescent="0.25">
      <c r="D308" s="54"/>
      <c r="E308" s="54"/>
      <c r="F308" s="54"/>
      <c r="G308" s="54"/>
      <c r="H308" s="54"/>
      <c r="I308" s="54"/>
      <c r="J308" s="2"/>
      <c r="K308" s="2"/>
      <c r="L308" s="2"/>
      <c r="M308" s="2"/>
      <c r="N308" s="2"/>
      <c r="O308" s="2"/>
      <c r="P308" s="2"/>
      <c r="Q308" s="2"/>
      <c r="R308" s="2"/>
      <c r="S308" s="2"/>
      <c r="T308" s="2"/>
      <c r="U308" s="11" t="s">
        <v>86</v>
      </c>
      <c r="V308" s="4">
        <f>SUM($C$13:$C$62,$F$13:$F$62,$I$13:$I$62,$L$13:$L$62,$O$13:$O$62,$R$13:$R$62)</f>
        <v>540</v>
      </c>
      <c r="W308" s="2"/>
      <c r="X308" s="2"/>
      <c r="Y308" s="4" t="s">
        <v>88</v>
      </c>
      <c r="Z308" s="3">
        <f>IF($B$64&gt;=1,$B$67-$V$309,"")</f>
        <v>0</v>
      </c>
      <c r="AA308" s="3">
        <f>IF($B$64&gt;=2,$C$67-$V$309,"")</f>
        <v>0</v>
      </c>
      <c r="AB308" s="3" t="str">
        <f>IF($B$64&gt;=3,$D$67-$V$309,"")</f>
        <v/>
      </c>
      <c r="AC308" s="3" t="str">
        <f>IF($B$64&gt;=4,$E$67-$V$309,"")</f>
        <v/>
      </c>
      <c r="AD308" s="3" t="str">
        <f>IF($B$64&gt;=5,$F$67-$V$309,"")</f>
        <v/>
      </c>
      <c r="AE308" s="3" t="str">
        <f>IF($B$64&gt;=6,$G$67-$V$309,"")</f>
        <v/>
      </c>
      <c r="AF308" s="3" t="str">
        <f>IF($B$64&gt;=7,$H$67-$V$309,"")</f>
        <v/>
      </c>
      <c r="AG308" s="3" t="str">
        <f>IF($B$64&gt;=8,$I$67-$V$309,"")</f>
        <v/>
      </c>
      <c r="AH308" s="3" t="str">
        <f>IF($B$64&gt;=9,$J$67-$V$309,"")</f>
        <v/>
      </c>
      <c r="AI308" s="3" t="str">
        <f>IF($B$64&gt;=10,$K$67-$V$309,"")</f>
        <v/>
      </c>
      <c r="AJ308" s="3" t="str">
        <f>IF($B$64&gt;=11,$L$67-$V$309,"")</f>
        <v/>
      </c>
      <c r="AK308" s="3" t="str">
        <f>IF($B$64&gt;=12,$M$67-$V$309,"")</f>
        <v/>
      </c>
      <c r="AL308" s="3" t="str">
        <f>IF($B$64&gt;=13,$N$67-$V$309,"")</f>
        <v/>
      </c>
      <c r="AM308" s="3" t="str">
        <f>IF($B$64&gt;=14,$O$67-$V$309,"")</f>
        <v/>
      </c>
      <c r="AN308" s="3" t="str">
        <f>IF($B$64&gt;=15,$P$67-$V$309,"")</f>
        <v/>
      </c>
      <c r="AO308" s="3" t="str">
        <f>IF($B$64&gt;=16,$Q$67-$V$309,"")</f>
        <v/>
      </c>
      <c r="AP308" s="3" t="str">
        <f>IF($B$64=17,$R$67-$V$309,"")</f>
        <v/>
      </c>
      <c r="AQ308" s="3"/>
    </row>
    <row r="309" spans="4:45" x14ac:dyDescent="0.25">
      <c r="D309" s="54"/>
      <c r="E309" s="54"/>
      <c r="F309" s="54"/>
      <c r="G309" s="54"/>
      <c r="H309" s="54"/>
      <c r="I309" s="54"/>
      <c r="J309" s="2"/>
      <c r="K309" s="2"/>
      <c r="L309" s="2"/>
      <c r="M309" s="2"/>
      <c r="N309" s="2"/>
      <c r="O309" s="2"/>
      <c r="P309" s="2"/>
      <c r="Q309" s="2"/>
      <c r="R309" s="2"/>
      <c r="S309" s="2"/>
      <c r="T309" s="2"/>
      <c r="U309" s="19" t="s">
        <v>5</v>
      </c>
      <c r="V309" s="16">
        <f>$V$307/$C$9</f>
        <v>4.5</v>
      </c>
      <c r="W309" s="2"/>
      <c r="X309" s="2"/>
      <c r="Y309" s="4" t="s">
        <v>87</v>
      </c>
      <c r="Z309" s="3">
        <f>IF($B$64&gt;=1,$B$68-$V$310,"")</f>
        <v>-4.5</v>
      </c>
      <c r="AA309" s="3">
        <f>IF($B$64&gt;=2,$C$68-$V$310,"")</f>
        <v>4.5</v>
      </c>
      <c r="AB309" s="3" t="str">
        <f>IF($B$64&gt;=3,$D$68-$V$310,"")</f>
        <v/>
      </c>
      <c r="AC309" s="3" t="str">
        <f>IF($B$64&gt;=4,$E$68-$V$310,"")</f>
        <v/>
      </c>
      <c r="AD309" s="3" t="str">
        <f>IF($B$64&gt;=5,$F$68-$V$310,"")</f>
        <v/>
      </c>
      <c r="AE309" s="3" t="str">
        <f>IF($B$64&gt;=6,$G$68-$V$310,"")</f>
        <v/>
      </c>
      <c r="AF309" s="3" t="str">
        <f>IF($B$64&gt;=7,$H$68-$V$310,"")</f>
        <v/>
      </c>
      <c r="AG309" s="3" t="str">
        <f>IF($B$64&gt;=8,$I$68-$V$310,"")</f>
        <v/>
      </c>
      <c r="AH309" s="3" t="str">
        <f>IF($B$64&gt;=9,$J$68-$V$310,"")</f>
        <v/>
      </c>
      <c r="AI309" s="3" t="str">
        <f>IF($B$64&gt;=10,$K$68-$V$310,"")</f>
        <v/>
      </c>
      <c r="AJ309" s="3" t="str">
        <f>IF($B$64&gt;=11,$L$68-$V$310,"")</f>
        <v/>
      </c>
      <c r="AK309" s="3" t="str">
        <f>IF($B$64&gt;=12,$M$68-$V$310,"")</f>
        <v/>
      </c>
      <c r="AL309" s="3" t="str">
        <f>IF($B$64&gt;=13,$N$68-$V$310,"")</f>
        <v/>
      </c>
      <c r="AM309" s="3" t="str">
        <f>IF($B$64&gt;=14,$O$68-$V$310,"")</f>
        <v/>
      </c>
      <c r="AN309" s="3" t="str">
        <f>IF($B$64&gt;=15,$P$68-$V$310,"")</f>
        <v/>
      </c>
      <c r="AO309" s="3" t="str">
        <f>IF($B$64&gt;=16,$Q$68-$V$310,"")</f>
        <v/>
      </c>
      <c r="AP309" s="3" t="str">
        <f>IF($B$64=17,$R$68-$V$310,"")</f>
        <v/>
      </c>
      <c r="AQ309" s="3"/>
    </row>
    <row r="310" spans="4:45" x14ac:dyDescent="0.25">
      <c r="D310" s="54"/>
      <c r="E310" s="54"/>
      <c r="F310" s="54"/>
      <c r="G310" s="54"/>
      <c r="H310" s="54"/>
      <c r="I310" s="54"/>
      <c r="J310" s="2"/>
      <c r="K310" s="2"/>
      <c r="L310" s="2"/>
      <c r="M310" s="2"/>
      <c r="N310" s="2"/>
      <c r="O310" s="2"/>
      <c r="P310" s="2"/>
      <c r="Q310" s="2"/>
      <c r="R310" s="2"/>
      <c r="S310" s="2"/>
      <c r="T310" s="2"/>
      <c r="U310" s="19" t="s">
        <v>6</v>
      </c>
      <c r="V310" s="16">
        <f>$V$308/$C$9</f>
        <v>13.5</v>
      </c>
      <c r="W310" s="2"/>
      <c r="X310" s="2"/>
      <c r="Y310" s="23" t="s">
        <v>12</v>
      </c>
      <c r="Z310" s="3">
        <f>IF($B$64&gt;=1,$B$70*$Z$309,"")</f>
        <v>6750</v>
      </c>
      <c r="AA310" s="3">
        <f>IF($B$64&gt;=2,$C$70*$AA$309,"")</f>
        <v>-6750</v>
      </c>
      <c r="AB310" s="3" t="str">
        <f>IF($B$64&gt;=3,$D$70*$AB$309,"")</f>
        <v/>
      </c>
      <c r="AC310" s="3" t="str">
        <f>IF($B$64&gt;=4,$E$70*$AC$309,"")</f>
        <v/>
      </c>
      <c r="AD310" s="3" t="str">
        <f>IF($B$64&gt;=5,$F$70*$AD$309,"")</f>
        <v/>
      </c>
      <c r="AE310" s="3" t="str">
        <f>IF($B$64&gt;=6,$G$70*$AE$309,"")</f>
        <v/>
      </c>
      <c r="AF310" s="3" t="str">
        <f>IF($B$64&gt;=7,$H$70*$AF$309,"")</f>
        <v/>
      </c>
      <c r="AG310" s="3" t="str">
        <f>IF($B$64&gt;=8,$I$70*$AG$309,"")</f>
        <v/>
      </c>
      <c r="AH310" s="3" t="str">
        <f>IF($B$64&gt;=9,$J$70*$AH$309,"")</f>
        <v/>
      </c>
      <c r="AI310" s="3" t="str">
        <f>IF($B$64&gt;=10,$K$70*$AI$309,"")</f>
        <v/>
      </c>
      <c r="AJ310" s="3" t="str">
        <f>IF($B$64&gt;=11,$L$70*$AJ$309,"")</f>
        <v/>
      </c>
      <c r="AK310" s="3" t="str">
        <f>IF($B$64&gt;=12,$M$70*$AK$309,"")</f>
        <v/>
      </c>
      <c r="AL310" s="3" t="str">
        <f>IF($B$64&gt;=13,$N$70*$AL$309,"")</f>
        <v/>
      </c>
      <c r="AM310" s="3" t="str">
        <f>IF($B$64&gt;=14,$O$70*$AM$309,"")</f>
        <v/>
      </c>
      <c r="AN310" s="3" t="str">
        <f>IF($B$64&gt;=15,$P$70*$AN$309,"")</f>
        <v/>
      </c>
      <c r="AO310" s="3" t="str">
        <f>IF($B$64&gt;=16,$Q$70*$AO$309,"")</f>
        <v/>
      </c>
      <c r="AP310" s="3" t="str">
        <f>IF($B$64=17,$R$70*$AP$309,"")</f>
        <v/>
      </c>
      <c r="AQ310" s="3"/>
    </row>
    <row r="311" spans="4:45" x14ac:dyDescent="0.25">
      <c r="D311" s="54"/>
      <c r="E311" s="54"/>
      <c r="F311" s="54"/>
      <c r="G311" s="54"/>
      <c r="H311" s="54"/>
      <c r="I311" s="54"/>
      <c r="J311" s="2"/>
      <c r="K311" s="2"/>
      <c r="L311" s="2"/>
      <c r="M311" s="2"/>
      <c r="N311" s="2"/>
      <c r="O311" s="2"/>
      <c r="P311" s="2"/>
      <c r="Q311" s="2"/>
      <c r="R311" s="2"/>
      <c r="S311" s="2"/>
      <c r="T311" s="2"/>
      <c r="U311" s="20" t="s">
        <v>92</v>
      </c>
      <c r="V311" s="30">
        <f>SUM($X$5:$X$304)</f>
        <v>2970.0000000000405</v>
      </c>
      <c r="W311" s="2"/>
      <c r="X311" s="2"/>
      <c r="Y311" s="23" t="s">
        <v>13</v>
      </c>
      <c r="Z311" s="3">
        <f>IF($B$64&gt;=1,$B$70*-$Z$308,"")</f>
        <v>0</v>
      </c>
      <c r="AA311" s="3">
        <f>IF($B$64&gt;=2,$C$70*-$AA$308,"")</f>
        <v>0</v>
      </c>
      <c r="AB311" s="3" t="str">
        <f>IF($B$64&gt;=3,$D$70*-$AB$308,"")</f>
        <v/>
      </c>
      <c r="AC311" s="3" t="str">
        <f>IF($B$64&gt;=4,$E$70*-$AC$308,"")</f>
        <v/>
      </c>
      <c r="AD311" s="3" t="str">
        <f>IF($B$64&gt;=5,$F$70*-$AD$308,"")</f>
        <v/>
      </c>
      <c r="AE311" s="3" t="str">
        <f>IF($B$64&gt;=6,$G$70*-$AE$308,"")</f>
        <v/>
      </c>
      <c r="AF311" s="3" t="str">
        <f>IF($B$64&gt;=7,$H$70*-$AF$308,"")</f>
        <v/>
      </c>
      <c r="AG311" s="3" t="str">
        <f>IF($B$64&gt;=8,$I$70*-$AG$308,"")</f>
        <v/>
      </c>
      <c r="AH311" s="3" t="str">
        <f>IF($B$64&gt;=9,$J$70*-$AH$308,"")</f>
        <v/>
      </c>
      <c r="AI311" s="3" t="str">
        <f>IF($B$64&gt;=10,$K$70*-$AI$308,"")</f>
        <v/>
      </c>
      <c r="AJ311" s="3" t="str">
        <f>IF($B$64&gt;=11,$L$70*-$AJ$308,"")</f>
        <v/>
      </c>
      <c r="AK311" s="3" t="str">
        <f>IF($B$64&gt;=12,$M$70*-$AK$308,"")</f>
        <v/>
      </c>
      <c r="AL311" s="3" t="str">
        <f>IF($B$64&gt;=13,$N$70*-$AL$308,"")</f>
        <v/>
      </c>
      <c r="AM311" s="3" t="str">
        <f>IF($B$64&gt;=14,$O$70*-$AM$308,"")</f>
        <v/>
      </c>
      <c r="AN311" s="3" t="str">
        <f>IF($B$64&gt;=15,$P$70*-$AN$308,"")</f>
        <v/>
      </c>
      <c r="AO311" s="3" t="str">
        <f>IF($B$64&gt;=16,$Q$70*-$AO$308,"")</f>
        <v/>
      </c>
      <c r="AP311" s="3" t="str">
        <f>IF($B$64=17,$R$70*-$AP$308,"")</f>
        <v/>
      </c>
      <c r="AQ311" s="3"/>
    </row>
    <row r="312" spans="4:45" x14ac:dyDescent="0.25">
      <c r="D312" s="54"/>
      <c r="E312" s="54"/>
      <c r="F312" s="54"/>
      <c r="G312" s="54"/>
      <c r="H312" s="54"/>
      <c r="I312" s="54"/>
      <c r="J312" s="2"/>
      <c r="K312" s="2"/>
      <c r="L312" s="2"/>
      <c r="M312" s="2"/>
      <c r="N312" s="2"/>
      <c r="O312" s="2"/>
      <c r="P312" s="2"/>
      <c r="Q312" s="2"/>
      <c r="R312" s="2"/>
      <c r="S312" s="2"/>
      <c r="T312" s="2"/>
      <c r="U312" s="20" t="s">
        <v>93</v>
      </c>
      <c r="V312" s="30">
        <f>SUM($Y$5:$Y$304)</f>
        <v>450.00000000003985</v>
      </c>
      <c r="W312" s="2"/>
      <c r="X312" s="2"/>
      <c r="Y312" s="23" t="s">
        <v>14</v>
      </c>
      <c r="Z312" s="3">
        <f>IF($B$64&gt;=1,$B$69*-$B$72,"")</f>
        <v>150</v>
      </c>
      <c r="AA312" s="3">
        <f>IF($B$64&gt;=2,$C$69*-$C$72,"")</f>
        <v>150</v>
      </c>
      <c r="AB312" s="3" t="str">
        <f>IF($B$64&gt;=3,$D$69*-$D$72,"")</f>
        <v/>
      </c>
      <c r="AC312" s="3" t="str">
        <f>IF($B$64&gt;=4,$E$69*-$E$72,"")</f>
        <v/>
      </c>
      <c r="AD312" s="3" t="str">
        <f>IF($B$64&gt;=5,$F$69*-$F$72,"")</f>
        <v/>
      </c>
      <c r="AE312" s="3" t="str">
        <f>IF($B$64&gt;=6,$G$69*-$G$72,"")</f>
        <v/>
      </c>
      <c r="AF312" s="3" t="str">
        <f>IF($B$64&gt;=7,$H$69*-$H$72,"")</f>
        <v/>
      </c>
      <c r="AG312" s="3" t="str">
        <f>IF($B$64&gt;=8,$I$69*-$I$72,"")</f>
        <v/>
      </c>
      <c r="AH312" s="3" t="str">
        <f>IF($B$64&gt;=9,$J$69*-$J$72,"")</f>
        <v/>
      </c>
      <c r="AI312" s="3" t="str">
        <f>IF($B$64&gt;=10,$K$69*-$K$72,"")</f>
        <v/>
      </c>
      <c r="AJ312" s="3" t="str">
        <f>IF($B$64&gt;=11,$L$69*-$L$72,"")</f>
        <v/>
      </c>
      <c r="AK312" s="3" t="str">
        <f>IF($B$64&gt;=12,$M$69*-$M$72,"")</f>
        <v/>
      </c>
      <c r="AL312" s="3" t="str">
        <f>IF($B$64&gt;=13,$N$69*-$N$72,"")</f>
        <v/>
      </c>
      <c r="AM312" s="3" t="str">
        <f>IF($B$64&gt;=14,$O$69*-$O$72,"")</f>
        <v/>
      </c>
      <c r="AN312" s="3" t="str">
        <f>IF($B$64&gt;=15,$P$69*-$P$72,"")</f>
        <v/>
      </c>
      <c r="AO312" s="3" t="str">
        <f>IF($B$64&gt;=16,$Q$69*-$Q$72,"")</f>
        <v/>
      </c>
      <c r="AP312" s="3" t="str">
        <f>IF($B$64=17,$R$69*-$R$72,"")</f>
        <v/>
      </c>
      <c r="AQ312" s="3"/>
    </row>
    <row r="313" spans="4:45" x14ac:dyDescent="0.25">
      <c r="D313" s="54"/>
      <c r="E313" s="54"/>
      <c r="F313" s="54"/>
      <c r="G313" s="54"/>
      <c r="H313" s="54"/>
      <c r="I313" s="54"/>
      <c r="J313" s="2"/>
      <c r="U313" s="20" t="s">
        <v>22</v>
      </c>
      <c r="V313" s="30">
        <f>$V$311+$V$312</f>
        <v>3420.0000000000805</v>
      </c>
      <c r="Y313" s="23" t="s">
        <v>15</v>
      </c>
      <c r="Z313" s="3">
        <f>IF($B$64&gt;=1,$B$69*$B$71,"")</f>
        <v>-100</v>
      </c>
      <c r="AA313" s="3">
        <f>IF($B$64&gt;=2,$C$69*$C$71,"")</f>
        <v>-100</v>
      </c>
      <c r="AB313" s="3" t="str">
        <f>IF($B$64&gt;=3,$D$69*$D$71,"")</f>
        <v/>
      </c>
      <c r="AC313" s="3" t="str">
        <f>IF($B$64&gt;=4,$E$69*$E$71,"")</f>
        <v/>
      </c>
      <c r="AD313" s="3" t="str">
        <f>IF($B$64&gt;=5,$F$69*$F$71,"")</f>
        <v/>
      </c>
      <c r="AE313" s="3" t="str">
        <f>IF($B$64&gt;=6,$G$69*$G$71,"")</f>
        <v/>
      </c>
      <c r="AF313" s="3" t="str">
        <f>IF($B$64&gt;=7,$H$69*$H$71,"")</f>
        <v/>
      </c>
      <c r="AG313" s="3" t="str">
        <f>IF($B$64&gt;=8,$I$69*$I$71,"")</f>
        <v/>
      </c>
      <c r="AH313" s="3" t="str">
        <f>IF($B$64&gt;=9,$J$69*$J$71,"")</f>
        <v/>
      </c>
      <c r="AI313" s="3" t="str">
        <f>IF($B$64&gt;=10,$K$69*$K$71,"")</f>
        <v/>
      </c>
      <c r="AJ313" s="3" t="str">
        <f>IF($B$64&gt;=11,$L$69*$L$71,"")</f>
        <v/>
      </c>
      <c r="AK313" s="3" t="str">
        <f>IF($B$64&gt;=12,$M$69*$M$71,"")</f>
        <v/>
      </c>
      <c r="AL313" s="3" t="str">
        <f>IF($B$64&gt;=13,$N$69*$N$71,"")</f>
        <v/>
      </c>
      <c r="AM313" s="3" t="str">
        <f>IF($B$64&gt;=14,$O$69*$O$71,"")</f>
        <v/>
      </c>
      <c r="AN313" s="3" t="str">
        <f>IF($B$64&gt;=15,$P$69*$P$71,"")</f>
        <v/>
      </c>
      <c r="AO313" s="3" t="str">
        <f>IF($B$64&gt;=16,$Q$69*$Q$71,"")</f>
        <v/>
      </c>
      <c r="AP313" s="3" t="str">
        <f>IF($B$64=17,$R$69*$R$71,"")</f>
        <v/>
      </c>
      <c r="AQ313" s="3"/>
    </row>
    <row r="314" spans="4:45" x14ac:dyDescent="0.25">
      <c r="D314" s="54"/>
      <c r="E314" s="54"/>
      <c r="F314" s="54"/>
      <c r="G314" s="54"/>
      <c r="H314" s="54"/>
      <c r="I314" s="54"/>
      <c r="J314" s="2"/>
      <c r="U314" s="20" t="s">
        <v>94</v>
      </c>
      <c r="V314" s="4">
        <f>IF(ABS(SUM($Z$5:$Z$304))&lt;0.0005,0,SUM($Z$5:$Z$304))</f>
        <v>0</v>
      </c>
      <c r="Y314" s="9" t="s">
        <v>16</v>
      </c>
      <c r="Z314" s="28">
        <f>IF($B$64&gt;=1,$B$71*-$Z$309,"")</f>
        <v>-90</v>
      </c>
      <c r="AA314" s="3">
        <f>IF($B$64&gt;=2,$C$71*-$AA$309,"")</f>
        <v>90</v>
      </c>
      <c r="AB314" s="28" t="str">
        <f>IF($B$64&gt;=3,$D$71*-$AB$309,"")</f>
        <v/>
      </c>
      <c r="AC314" s="28" t="str">
        <f>IF($B$64&gt;=4,$E$71*-$AC$309,"")</f>
        <v/>
      </c>
      <c r="AD314" s="28" t="str">
        <f>IF($B$64&gt;=5,$F$71*-$AD$309,"")</f>
        <v/>
      </c>
      <c r="AE314" s="3" t="str">
        <f>IF($B$64&gt;=6,$G$71*-$AE$309,"")</f>
        <v/>
      </c>
      <c r="AF314" s="28" t="str">
        <f>IF($B$64&gt;=7,$H$71*-$AF$309,"")</f>
        <v/>
      </c>
      <c r="AG314" s="28" t="str">
        <f>IF($B$64&gt;=8,$I$71*-$AG$309,"")</f>
        <v/>
      </c>
      <c r="AH314" s="28" t="str">
        <f>IF($B$64&gt;=9,$J$71*-$AH$309,"")</f>
        <v/>
      </c>
      <c r="AI314" s="28" t="str">
        <f>IF($B$64&gt;=10,$K$71*-$AI$309,"")</f>
        <v/>
      </c>
      <c r="AJ314" s="28" t="str">
        <f>IF($B$64&gt;=11,$L$71*-$AJ$309,"")</f>
        <v/>
      </c>
      <c r="AK314" s="28" t="str">
        <f>IF($B$64&gt;=12,$M$71*-$AK$309,"")</f>
        <v/>
      </c>
      <c r="AL314" s="28" t="str">
        <f>IF($B$64&gt;=13,$N$71*-$AL$309,"")</f>
        <v/>
      </c>
      <c r="AM314" s="28" t="str">
        <f>IF($B$64&gt;=14,$O$71*-$AM$309,"")</f>
        <v/>
      </c>
      <c r="AN314" s="28" t="str">
        <f>IF($B$64&gt;=15,$P$71*-$AN$309,"")</f>
        <v/>
      </c>
      <c r="AO314" s="28" t="str">
        <f>IF($B$64&gt;=16,$Q$71*-$AO$309,"")</f>
        <v/>
      </c>
      <c r="AP314" s="28" t="str">
        <f>IF($B$64=17,$R$71*-$AP$309,"")</f>
        <v/>
      </c>
      <c r="AQ314" s="28"/>
    </row>
    <row r="315" spans="4:45" x14ac:dyDescent="0.25">
      <c r="D315" s="54"/>
      <c r="E315" s="54"/>
      <c r="F315" s="54"/>
      <c r="G315" s="54"/>
      <c r="H315" s="54"/>
      <c r="I315" s="54"/>
      <c r="J315" s="2"/>
      <c r="U315" s="11" t="s">
        <v>23</v>
      </c>
      <c r="V315" s="4">
        <f>IF(ABS($V$311-$V$312)&lt;0.0005,IF($V$314&gt;0,-45,IF($V$314&lt;0,45,0)),DEGREES(ATAN(-2*$V$314/($V$311-$V$312))/2))</f>
        <v>0</v>
      </c>
      <c r="Y315" s="9" t="s">
        <v>17</v>
      </c>
      <c r="Z315" s="28">
        <f>IF($B$64&gt;=1,$B$72*$Z$308,"")</f>
        <v>0</v>
      </c>
      <c r="AA315" s="3">
        <f>IF($B$64&gt;=2,$C$72*$AA$308,"")</f>
        <v>0</v>
      </c>
      <c r="AB315" s="28" t="str">
        <f>IF($B$64&gt;=3,$D$72*$AB$308,"")</f>
        <v/>
      </c>
      <c r="AC315" s="28" t="str">
        <f>IF($B$64&gt;=4,$E$72*$AC$308,"")</f>
        <v/>
      </c>
      <c r="AD315" s="28" t="str">
        <f>IF($B$64&gt;=5,$F$72*$AD$308,"")</f>
        <v/>
      </c>
      <c r="AE315" s="3" t="str">
        <f>IF($B$64&gt;=6,$G$72*$AE$308,"")</f>
        <v/>
      </c>
      <c r="AF315" s="28" t="str">
        <f>IF($B$64&gt;=7,$H$72*$AF$308,"")</f>
        <v/>
      </c>
      <c r="AG315" s="28" t="str">
        <f>IF($B$64&gt;=8,$I$72*$AG$308,"")</f>
        <v/>
      </c>
      <c r="AH315" s="28" t="str">
        <f>IF($B$64&gt;=9,$J$72*$AH$308,"")</f>
        <v/>
      </c>
      <c r="AI315" s="28" t="str">
        <f>IF($B$64&gt;=10,$K$72*$AI$308,"")</f>
        <v/>
      </c>
      <c r="AJ315" s="28" t="str">
        <f>IF($B$64&gt;=11,$L$72*$AJ$308,"")</f>
        <v/>
      </c>
      <c r="AK315" s="28" t="str">
        <f>IF($B$64&gt;=12,$M$72*$AK$308,"")</f>
        <v/>
      </c>
      <c r="AL315" s="28" t="str">
        <f>IF($B$64&gt;=13,$N$72*$AL$308,"")</f>
        <v/>
      </c>
      <c r="AM315" s="28" t="str">
        <f>IF($B$64&gt;=14,$O$72*$AM$308,"")</f>
        <v/>
      </c>
      <c r="AN315" s="28" t="str">
        <f>IF($B$64&gt;=15,$P$72*$AN$308,"")</f>
        <v/>
      </c>
      <c r="AO315" s="28" t="str">
        <f>IF($B$64&gt;=16,$Q$72*$AO$308,"")</f>
        <v/>
      </c>
      <c r="AP315" s="28" t="str">
        <f>IF($B$64=17,$R$72*$AP$308,"")</f>
        <v/>
      </c>
      <c r="AQ315" s="28"/>
    </row>
    <row r="316" spans="4:45" x14ac:dyDescent="0.25">
      <c r="D316" s="54"/>
      <c r="E316" s="54"/>
      <c r="F316" s="54"/>
      <c r="G316" s="54"/>
      <c r="H316" s="54"/>
      <c r="I316" s="54"/>
      <c r="J316" s="2"/>
      <c r="Y316" s="24"/>
      <c r="Z316" s="24"/>
      <c r="AA316" s="24"/>
      <c r="AB316" s="24"/>
      <c r="AC316" s="24"/>
      <c r="AD316" s="24"/>
    </row>
    <row r="317" spans="4:45" x14ac:dyDescent="0.25">
      <c r="D317" s="54"/>
      <c r="E317" s="54"/>
      <c r="F317" s="54"/>
      <c r="G317" s="54"/>
      <c r="H317" s="54"/>
      <c r="I317" s="54"/>
      <c r="J317" s="2"/>
      <c r="Y317" s="26" t="s">
        <v>98</v>
      </c>
      <c r="AA317" s="24"/>
      <c r="AB317" s="24"/>
      <c r="AC317" s="24"/>
      <c r="AD317" s="24"/>
    </row>
    <row r="318" spans="4:45" x14ac:dyDescent="0.25">
      <c r="D318" s="54"/>
      <c r="E318" s="54"/>
      <c r="F318" s="54"/>
      <c r="G318" s="54"/>
      <c r="H318" s="54"/>
      <c r="I318" s="54"/>
      <c r="J318" s="2"/>
      <c r="Y318" s="11" t="s">
        <v>26</v>
      </c>
      <c r="Z318" s="3">
        <f>SUM($B$70:$R$70)</f>
        <v>-3000</v>
      </c>
      <c r="AA318" s="24" t="s">
        <v>33</v>
      </c>
      <c r="AB318" s="24"/>
      <c r="AC318" s="24"/>
      <c r="AD318" s="24"/>
    </row>
    <row r="319" spans="4:45" x14ac:dyDescent="0.25">
      <c r="D319" s="54"/>
      <c r="E319" s="54"/>
      <c r="F319" s="54"/>
      <c r="G319" s="54"/>
      <c r="H319" s="54"/>
      <c r="I319" s="54"/>
      <c r="J319" s="2"/>
      <c r="Y319" s="11" t="s">
        <v>27</v>
      </c>
      <c r="Z319" s="3">
        <f>SUM($B$71:$R$71)</f>
        <v>-40</v>
      </c>
      <c r="AA319" s="24" t="s">
        <v>33</v>
      </c>
      <c r="AB319" s="24"/>
      <c r="AC319" s="24"/>
      <c r="AD319" s="24"/>
    </row>
    <row r="320" spans="4:45" x14ac:dyDescent="0.25">
      <c r="D320" s="54"/>
      <c r="E320" s="54"/>
      <c r="F320" s="54"/>
      <c r="G320" s="54"/>
      <c r="H320" s="54"/>
      <c r="I320" s="54"/>
      <c r="J320" s="2"/>
      <c r="Y320" s="11" t="s">
        <v>28</v>
      </c>
      <c r="Z320" s="3">
        <f>SUM($B$72:$R$72)</f>
        <v>-60</v>
      </c>
      <c r="AA320" s="24" t="s">
        <v>33</v>
      </c>
      <c r="AB320" s="24"/>
      <c r="AC320" s="24"/>
      <c r="AD320" s="24"/>
    </row>
    <row r="321" spans="4:30" x14ac:dyDescent="0.25">
      <c r="D321" s="54"/>
      <c r="E321" s="54"/>
      <c r="F321" s="54"/>
      <c r="G321" s="54"/>
      <c r="H321" s="54"/>
      <c r="I321" s="54"/>
      <c r="J321" s="2"/>
      <c r="Y321" s="11" t="s">
        <v>29</v>
      </c>
      <c r="Z321" s="18">
        <f>ROUND(SUM($B$73:$R$73)+SUM($Z$310:$AP$310)+SUM($Z$312:$AP$312),2)</f>
        <v>500</v>
      </c>
      <c r="AA321" s="24" t="s">
        <v>34</v>
      </c>
      <c r="AB321" s="24"/>
      <c r="AC321" s="24"/>
      <c r="AD321" s="24"/>
    </row>
    <row r="322" spans="4:30" x14ac:dyDescent="0.25">
      <c r="D322" s="54"/>
      <c r="E322" s="54"/>
      <c r="F322" s="54"/>
      <c r="G322" s="54"/>
      <c r="H322" s="54"/>
      <c r="I322" s="54"/>
      <c r="J322" s="2"/>
      <c r="Y322" s="11" t="s">
        <v>30</v>
      </c>
      <c r="Z322" s="18">
        <f>ROUND(SUM($B$74:$R$74)+SUM($Z$311:$AP$311)+SUM($Z$313:$AP$313),2)</f>
        <v>-500</v>
      </c>
      <c r="AA322" s="24" t="s">
        <v>34</v>
      </c>
      <c r="AB322" s="24"/>
      <c r="AC322" s="24"/>
      <c r="AD322" s="24"/>
    </row>
    <row r="323" spans="4:30" x14ac:dyDescent="0.25">
      <c r="D323" s="54"/>
      <c r="E323" s="54"/>
      <c r="F323" s="54"/>
      <c r="G323" s="54"/>
      <c r="H323" s="54"/>
      <c r="I323" s="54"/>
      <c r="J323" s="2"/>
      <c r="Y323" s="11" t="s">
        <v>31</v>
      </c>
      <c r="Z323" s="29">
        <f>ROUND(SUM($B$75:$R$75)+SUM($Z$314:$AP$314)+SUM($Z$315:$AP$315),2)</f>
        <v>0</v>
      </c>
      <c r="AA323" s="24" t="s">
        <v>34</v>
      </c>
      <c r="AB323" s="24"/>
      <c r="AC323" s="24"/>
      <c r="AD323" s="24"/>
    </row>
    <row r="324" spans="4:30" x14ac:dyDescent="0.25">
      <c r="D324" s="54"/>
      <c r="E324" s="54"/>
      <c r="F324" s="54"/>
      <c r="G324" s="54"/>
      <c r="H324" s="54"/>
      <c r="I324" s="54"/>
      <c r="J324" s="2"/>
    </row>
    <row r="325" spans="4:30" x14ac:dyDescent="0.25">
      <c r="D325" s="54"/>
      <c r="E325" s="54"/>
      <c r="F325" s="54"/>
      <c r="G325" s="54"/>
      <c r="H325" s="54"/>
      <c r="I325" s="54"/>
      <c r="J325" s="2"/>
    </row>
    <row r="326" spans="4:30" x14ac:dyDescent="0.25">
      <c r="D326" s="54"/>
      <c r="E326" s="54"/>
      <c r="F326" s="54"/>
      <c r="G326" s="54"/>
      <c r="H326" s="54"/>
      <c r="I326" s="54"/>
      <c r="J326" s="2"/>
    </row>
    <row r="327" spans="4:30" x14ac:dyDescent="0.25">
      <c r="D327" s="54"/>
      <c r="E327" s="54"/>
      <c r="F327" s="54"/>
      <c r="G327" s="54"/>
      <c r="H327" s="54"/>
      <c r="I327" s="54"/>
      <c r="J327" s="2"/>
    </row>
    <row r="328" spans="4:30" x14ac:dyDescent="0.25">
      <c r="D328" s="54"/>
      <c r="E328" s="54"/>
      <c r="F328" s="54"/>
      <c r="G328" s="54"/>
      <c r="H328" s="54"/>
      <c r="I328" s="54"/>
      <c r="J328" s="2"/>
    </row>
    <row r="329" spans="4:30" x14ac:dyDescent="0.25">
      <c r="D329" s="54"/>
      <c r="E329" s="54"/>
      <c r="F329" s="54"/>
      <c r="G329" s="54"/>
      <c r="H329" s="54"/>
      <c r="I329" s="54"/>
      <c r="J329" s="2"/>
    </row>
    <row r="330" spans="4:30" x14ac:dyDescent="0.25">
      <c r="D330" s="54"/>
      <c r="E330" s="54"/>
      <c r="F330" s="54"/>
      <c r="G330" s="54"/>
      <c r="H330" s="54"/>
      <c r="I330" s="54"/>
      <c r="J330" s="2"/>
    </row>
    <row r="331" spans="4:30" x14ac:dyDescent="0.25">
      <c r="D331" s="54"/>
      <c r="E331" s="54"/>
      <c r="F331" s="54"/>
      <c r="G331" s="54"/>
      <c r="H331" s="54"/>
      <c r="I331" s="54"/>
      <c r="J331" s="2"/>
    </row>
    <row r="332" spans="4:30" x14ac:dyDescent="0.25">
      <c r="D332" s="54"/>
      <c r="E332" s="54"/>
      <c r="F332" s="54"/>
      <c r="G332" s="54"/>
      <c r="H332" s="54"/>
      <c r="I332" s="54"/>
      <c r="J332" s="2"/>
    </row>
    <row r="333" spans="4:30" x14ac:dyDescent="0.25">
      <c r="D333" s="54"/>
      <c r="E333" s="54"/>
      <c r="F333" s="54"/>
      <c r="G333" s="54"/>
      <c r="H333" s="54"/>
      <c r="I333" s="54"/>
      <c r="J333" s="2"/>
    </row>
    <row r="334" spans="4:30" x14ac:dyDescent="0.25">
      <c r="D334" s="54"/>
      <c r="E334" s="54"/>
      <c r="F334" s="54"/>
      <c r="G334" s="54"/>
      <c r="H334" s="54"/>
      <c r="I334" s="54"/>
      <c r="J334" s="2"/>
    </row>
    <row r="335" spans="4:30" x14ac:dyDescent="0.25">
      <c r="D335" s="54"/>
      <c r="E335" s="54"/>
      <c r="F335" s="54"/>
      <c r="G335" s="54"/>
      <c r="H335" s="54"/>
      <c r="I335" s="54"/>
      <c r="J335" s="2"/>
    </row>
    <row r="336" spans="4:30" x14ac:dyDescent="0.25">
      <c r="D336" s="54"/>
      <c r="E336" s="54"/>
      <c r="F336" s="54"/>
      <c r="G336" s="54"/>
      <c r="H336" s="54"/>
      <c r="I336" s="54"/>
      <c r="J336" s="2"/>
    </row>
    <row r="337" spans="4:10" x14ac:dyDescent="0.25">
      <c r="D337" s="54"/>
      <c r="E337" s="54"/>
      <c r="F337" s="54"/>
      <c r="G337" s="54"/>
      <c r="H337" s="54"/>
      <c r="I337" s="54"/>
      <c r="J337" s="2"/>
    </row>
    <row r="338" spans="4:10" x14ac:dyDescent="0.25">
      <c r="D338" s="54"/>
      <c r="E338" s="54"/>
      <c r="F338" s="54"/>
      <c r="G338" s="54"/>
      <c r="H338" s="54"/>
      <c r="I338" s="54"/>
      <c r="J338" s="2"/>
    </row>
    <row r="339" spans="4:10" x14ac:dyDescent="0.25">
      <c r="D339" s="54"/>
      <c r="E339" s="54"/>
      <c r="F339" s="54"/>
      <c r="G339" s="54"/>
      <c r="H339" s="54"/>
      <c r="I339" s="54"/>
      <c r="J339" s="2"/>
    </row>
    <row r="340" spans="4:10" x14ac:dyDescent="0.25">
      <c r="D340" s="54"/>
      <c r="E340" s="54"/>
      <c r="F340" s="54"/>
      <c r="G340" s="54"/>
      <c r="H340" s="54"/>
      <c r="I340" s="54"/>
      <c r="J340" s="2"/>
    </row>
    <row r="341" spans="4:10" x14ac:dyDescent="0.25">
      <c r="D341" s="54"/>
      <c r="E341" s="54"/>
      <c r="F341" s="54"/>
      <c r="G341" s="54"/>
      <c r="H341" s="54"/>
      <c r="I341" s="54"/>
      <c r="J341" s="2"/>
    </row>
    <row r="342" spans="4:10" x14ac:dyDescent="0.25">
      <c r="D342" s="54"/>
      <c r="E342" s="54"/>
      <c r="F342" s="54"/>
      <c r="G342" s="54"/>
      <c r="H342" s="54"/>
      <c r="I342" s="54"/>
      <c r="J342" s="2"/>
    </row>
    <row r="343" spans="4:10" x14ac:dyDescent="0.25">
      <c r="D343" s="54"/>
      <c r="E343" s="54"/>
      <c r="F343" s="54"/>
      <c r="G343" s="54"/>
      <c r="H343" s="54"/>
      <c r="I343" s="54"/>
      <c r="J343" s="2"/>
    </row>
    <row r="344" spans="4:10" x14ac:dyDescent="0.25">
      <c r="D344" s="54"/>
      <c r="E344" s="54"/>
      <c r="F344" s="54"/>
      <c r="G344" s="54"/>
      <c r="H344" s="54"/>
      <c r="I344" s="54"/>
      <c r="J344" s="2"/>
    </row>
    <row r="345" spans="4:10" x14ac:dyDescent="0.25">
      <c r="D345" s="54"/>
      <c r="E345" s="54"/>
      <c r="F345" s="54"/>
      <c r="G345" s="54"/>
      <c r="H345" s="54"/>
      <c r="I345" s="54"/>
      <c r="J345" s="2"/>
    </row>
    <row r="346" spans="4:10" x14ac:dyDescent="0.25">
      <c r="D346" s="54"/>
      <c r="E346" s="54"/>
      <c r="F346" s="54"/>
      <c r="G346" s="54"/>
      <c r="H346" s="54"/>
      <c r="I346" s="54"/>
      <c r="J346" s="2"/>
    </row>
    <row r="347" spans="4:10" x14ac:dyDescent="0.25">
      <c r="D347" s="54"/>
      <c r="E347" s="54"/>
      <c r="F347" s="54"/>
      <c r="G347" s="54"/>
      <c r="H347" s="54"/>
      <c r="I347" s="54"/>
      <c r="J347" s="2"/>
    </row>
    <row r="348" spans="4:10" x14ac:dyDescent="0.25">
      <c r="D348" s="54"/>
      <c r="E348" s="54"/>
      <c r="F348" s="54"/>
      <c r="G348" s="54"/>
      <c r="H348" s="54"/>
      <c r="I348" s="54"/>
      <c r="J348" s="2"/>
    </row>
    <row r="349" spans="4:10" x14ac:dyDescent="0.25">
      <c r="D349" s="54"/>
      <c r="E349" s="54"/>
      <c r="F349" s="54"/>
      <c r="G349" s="54"/>
      <c r="H349" s="54"/>
      <c r="I349" s="54"/>
      <c r="J349" s="2"/>
    </row>
    <row r="350" spans="4:10" x14ac:dyDescent="0.25">
      <c r="D350" s="54"/>
      <c r="E350" s="54"/>
      <c r="F350" s="54"/>
      <c r="G350" s="54"/>
      <c r="H350" s="54"/>
      <c r="I350" s="54"/>
      <c r="J350" s="2"/>
    </row>
    <row r="351" spans="4:10" x14ac:dyDescent="0.25">
      <c r="D351" s="54"/>
      <c r="E351" s="54"/>
      <c r="F351" s="54"/>
      <c r="G351" s="54"/>
      <c r="H351" s="54"/>
      <c r="I351" s="54"/>
      <c r="J351" s="2"/>
    </row>
    <row r="352" spans="4:10" x14ac:dyDescent="0.25">
      <c r="D352" s="54"/>
      <c r="E352" s="54"/>
      <c r="F352" s="54"/>
      <c r="G352" s="54"/>
      <c r="H352" s="54"/>
      <c r="I352" s="54"/>
      <c r="J352" s="2"/>
    </row>
    <row r="353" spans="4:10" x14ac:dyDescent="0.25">
      <c r="D353" s="54"/>
      <c r="E353" s="54"/>
      <c r="F353" s="54"/>
      <c r="G353" s="54"/>
      <c r="H353" s="54"/>
      <c r="I353" s="54"/>
      <c r="J353" s="2"/>
    </row>
    <row r="354" spans="4:10" x14ac:dyDescent="0.25">
      <c r="D354" s="54"/>
      <c r="E354" s="54"/>
      <c r="F354" s="54"/>
      <c r="G354" s="54"/>
      <c r="H354" s="54"/>
      <c r="I354" s="54"/>
      <c r="J354" s="2"/>
    </row>
    <row r="355" spans="4:10" x14ac:dyDescent="0.25">
      <c r="D355" s="54"/>
      <c r="E355" s="54"/>
      <c r="F355" s="54"/>
      <c r="G355" s="54"/>
      <c r="H355" s="54"/>
      <c r="I355" s="54"/>
      <c r="J355" s="2"/>
    </row>
    <row r="356" spans="4:10" x14ac:dyDescent="0.25">
      <c r="D356" s="54"/>
      <c r="E356" s="54"/>
      <c r="F356" s="54"/>
      <c r="G356" s="54"/>
      <c r="H356" s="54"/>
      <c r="I356" s="54"/>
      <c r="J356" s="2"/>
    </row>
    <row r="357" spans="4:10" x14ac:dyDescent="0.25">
      <c r="D357" s="54"/>
      <c r="E357" s="54"/>
      <c r="F357" s="54"/>
      <c r="G357" s="54"/>
      <c r="H357" s="54"/>
      <c r="I357" s="54"/>
      <c r="J357" s="2"/>
    </row>
    <row r="358" spans="4:10" x14ac:dyDescent="0.25">
      <c r="D358" s="54"/>
      <c r="E358" s="54"/>
      <c r="F358" s="54"/>
      <c r="G358" s="54"/>
      <c r="H358" s="54"/>
      <c r="I358" s="54"/>
      <c r="J358" s="2"/>
    </row>
    <row r="359" spans="4:10" x14ac:dyDescent="0.25">
      <c r="D359" s="54"/>
      <c r="E359" s="54"/>
      <c r="F359" s="54"/>
      <c r="G359" s="54"/>
      <c r="H359" s="54"/>
      <c r="I359" s="54"/>
      <c r="J359" s="2"/>
    </row>
    <row r="360" spans="4:10" x14ac:dyDescent="0.25">
      <c r="D360" s="54"/>
      <c r="E360" s="54"/>
      <c r="F360" s="54"/>
      <c r="G360" s="54"/>
      <c r="H360" s="54"/>
      <c r="I360" s="54"/>
      <c r="J360" s="2"/>
    </row>
    <row r="361" spans="4:10" x14ac:dyDescent="0.25">
      <c r="D361" s="54"/>
      <c r="E361" s="54"/>
      <c r="F361" s="54"/>
      <c r="G361" s="54"/>
      <c r="H361" s="54"/>
      <c r="I361" s="54"/>
      <c r="J361" s="2"/>
    </row>
    <row r="362" spans="4:10" x14ac:dyDescent="0.25">
      <c r="D362" s="54"/>
      <c r="E362" s="54"/>
      <c r="F362" s="54"/>
      <c r="G362" s="54"/>
      <c r="H362" s="54"/>
      <c r="I362" s="54"/>
      <c r="J362" s="2"/>
    </row>
    <row r="363" spans="4:10" x14ac:dyDescent="0.25">
      <c r="D363" s="54"/>
      <c r="E363" s="54"/>
      <c r="F363" s="54"/>
      <c r="G363" s="54"/>
      <c r="H363" s="54"/>
      <c r="I363" s="54"/>
      <c r="J363" s="2"/>
    </row>
    <row r="364" spans="4:10" x14ac:dyDescent="0.25">
      <c r="D364" s="54"/>
      <c r="E364" s="54"/>
      <c r="F364" s="54"/>
      <c r="G364" s="54"/>
      <c r="H364" s="54"/>
      <c r="I364" s="54"/>
      <c r="J364" s="2"/>
    </row>
    <row r="365" spans="4:10" x14ac:dyDescent="0.25">
      <c r="D365" s="54"/>
      <c r="E365" s="54"/>
      <c r="F365" s="54"/>
      <c r="G365" s="54"/>
      <c r="H365" s="54"/>
      <c r="I365" s="54"/>
      <c r="J365" s="2"/>
    </row>
    <row r="366" spans="4:10" x14ac:dyDescent="0.25">
      <c r="D366" s="54"/>
      <c r="E366" s="54"/>
      <c r="F366" s="54"/>
      <c r="G366" s="54"/>
      <c r="H366" s="54"/>
      <c r="I366" s="54"/>
      <c r="J366" s="2"/>
    </row>
    <row r="367" spans="4:10" x14ac:dyDescent="0.25">
      <c r="D367" s="54"/>
      <c r="E367" s="54"/>
      <c r="F367" s="54"/>
      <c r="G367" s="54"/>
      <c r="H367" s="54"/>
      <c r="I367" s="54"/>
      <c r="J367" s="2"/>
    </row>
    <row r="368" spans="4:10" x14ac:dyDescent="0.25">
      <c r="D368" s="54"/>
      <c r="E368" s="54"/>
      <c r="F368" s="54"/>
      <c r="G368" s="54"/>
      <c r="H368" s="54"/>
      <c r="I368" s="54"/>
      <c r="J368" s="2"/>
    </row>
    <row r="369" spans="4:20" x14ac:dyDescent="0.25">
      <c r="D369" s="54"/>
      <c r="E369" s="54"/>
      <c r="F369" s="54"/>
      <c r="G369" s="54"/>
      <c r="H369" s="54"/>
      <c r="I369" s="54"/>
      <c r="J369" s="2"/>
    </row>
    <row r="370" spans="4:20" x14ac:dyDescent="0.25">
      <c r="D370" s="54"/>
      <c r="E370" s="54"/>
      <c r="F370" s="54"/>
      <c r="G370" s="54"/>
      <c r="H370" s="54"/>
      <c r="I370" s="54"/>
      <c r="J370" s="2"/>
    </row>
    <row r="371" spans="4:20" x14ac:dyDescent="0.25">
      <c r="D371" s="54"/>
      <c r="E371" s="54"/>
      <c r="F371" s="54"/>
      <c r="G371" s="54"/>
      <c r="H371" s="54"/>
      <c r="I371" s="54"/>
      <c r="J371" s="2"/>
    </row>
    <row r="372" spans="4:20" x14ac:dyDescent="0.25">
      <c r="D372" s="54"/>
      <c r="E372" s="54"/>
      <c r="F372" s="54"/>
      <c r="G372" s="54"/>
      <c r="H372" s="54"/>
      <c r="I372" s="54"/>
      <c r="J372" s="2"/>
      <c r="K372" s="2"/>
      <c r="L372" s="2"/>
      <c r="M372" s="2"/>
      <c r="N372" s="2"/>
      <c r="O372" s="2"/>
      <c r="P372" s="2"/>
      <c r="Q372" s="2"/>
      <c r="R372" s="2"/>
      <c r="S372" s="2"/>
      <c r="T372" s="2"/>
    </row>
    <row r="373" spans="4:20" x14ac:dyDescent="0.25">
      <c r="D373" s="54"/>
      <c r="E373" s="54"/>
      <c r="F373" s="54"/>
      <c r="G373" s="54"/>
      <c r="H373" s="54"/>
      <c r="I373" s="54"/>
      <c r="J373" s="2"/>
      <c r="K373" s="2"/>
      <c r="L373" s="2"/>
      <c r="M373" s="2"/>
      <c r="N373" s="2"/>
      <c r="O373" s="2"/>
      <c r="P373" s="2"/>
      <c r="Q373" s="2"/>
      <c r="R373" s="2"/>
      <c r="S373" s="2"/>
      <c r="T373" s="2"/>
    </row>
    <row r="374" spans="4:20" x14ac:dyDescent="0.25">
      <c r="D374" s="54"/>
      <c r="E374" s="54"/>
      <c r="F374" s="54"/>
      <c r="G374" s="54"/>
      <c r="H374" s="54"/>
      <c r="I374" s="54"/>
      <c r="J374" s="2"/>
      <c r="K374" s="2"/>
      <c r="L374" s="2"/>
      <c r="M374" s="2"/>
      <c r="N374" s="2"/>
      <c r="O374" s="2"/>
      <c r="P374" s="2"/>
      <c r="Q374" s="2"/>
      <c r="R374" s="2"/>
      <c r="S374" s="2"/>
      <c r="T374" s="2"/>
    </row>
    <row r="375" spans="4:20" x14ac:dyDescent="0.25">
      <c r="D375" s="54"/>
      <c r="E375" s="54"/>
      <c r="F375" s="54"/>
      <c r="G375" s="54"/>
      <c r="H375" s="54"/>
      <c r="I375" s="54"/>
      <c r="J375" s="2"/>
      <c r="K375" s="2"/>
      <c r="L375" s="2"/>
      <c r="M375" s="2"/>
      <c r="N375" s="2"/>
      <c r="O375" s="2"/>
      <c r="P375" s="2"/>
      <c r="Q375" s="2"/>
      <c r="R375" s="2"/>
      <c r="S375" s="2"/>
      <c r="T375" s="2"/>
    </row>
    <row r="376" spans="4:20" x14ac:dyDescent="0.25">
      <c r="D376" s="54"/>
      <c r="E376" s="54"/>
      <c r="F376" s="54"/>
      <c r="G376" s="54"/>
      <c r="H376" s="54"/>
      <c r="I376" s="54"/>
      <c r="J376" s="2"/>
    </row>
    <row r="377" spans="4:20" x14ac:dyDescent="0.25">
      <c r="D377" s="54"/>
      <c r="E377" s="54"/>
      <c r="F377" s="54"/>
      <c r="G377" s="54"/>
      <c r="H377" s="54"/>
      <c r="I377" s="54"/>
      <c r="J377" s="2"/>
    </row>
    <row r="378" spans="4:20" x14ac:dyDescent="0.25">
      <c r="D378" s="54"/>
      <c r="E378" s="54"/>
      <c r="F378" s="54"/>
      <c r="G378" s="54"/>
      <c r="H378" s="54"/>
      <c r="I378" s="54"/>
      <c r="J378" s="2"/>
    </row>
    <row r="379" spans="4:20" x14ac:dyDescent="0.25">
      <c r="D379" s="54"/>
      <c r="E379" s="54"/>
      <c r="F379" s="54"/>
      <c r="G379" s="54"/>
      <c r="H379" s="54"/>
      <c r="I379" s="54"/>
      <c r="J379" s="2"/>
    </row>
    <row r="380" spans="4:20" x14ac:dyDescent="0.25">
      <c r="D380" s="54"/>
      <c r="E380" s="54"/>
      <c r="F380" s="54"/>
      <c r="G380" s="54"/>
      <c r="H380" s="54"/>
      <c r="I380" s="54"/>
      <c r="J380" s="2"/>
    </row>
    <row r="381" spans="4:20" x14ac:dyDescent="0.25">
      <c r="D381" s="54"/>
      <c r="E381" s="54"/>
      <c r="F381" s="54"/>
      <c r="G381" s="54"/>
      <c r="H381" s="54"/>
      <c r="I381" s="54"/>
      <c r="J381" s="2"/>
    </row>
    <row r="382" spans="4:20" x14ac:dyDescent="0.25">
      <c r="D382" s="54"/>
      <c r="E382" s="54"/>
      <c r="F382" s="54"/>
      <c r="G382" s="54"/>
      <c r="H382" s="54"/>
      <c r="I382" s="54"/>
      <c r="J382" s="2"/>
    </row>
    <row r="383" spans="4:20" x14ac:dyDescent="0.25">
      <c r="D383" s="54"/>
      <c r="E383" s="54"/>
      <c r="F383" s="54"/>
      <c r="G383" s="54"/>
      <c r="H383" s="54"/>
      <c r="I383" s="54"/>
      <c r="J383" s="2"/>
    </row>
    <row r="384" spans="4:20" x14ac:dyDescent="0.25">
      <c r="D384" s="54"/>
      <c r="E384" s="54"/>
      <c r="F384" s="54"/>
      <c r="G384" s="54"/>
      <c r="H384" s="54"/>
      <c r="I384" s="54"/>
      <c r="J384" s="2"/>
    </row>
    <row r="385" spans="1:10" x14ac:dyDescent="0.25">
      <c r="D385" s="54"/>
      <c r="E385" s="54"/>
      <c r="F385" s="54"/>
      <c r="G385" s="54"/>
      <c r="H385" s="54"/>
      <c r="I385" s="54"/>
      <c r="J385" s="2"/>
    </row>
    <row r="386" spans="1:10" x14ac:dyDescent="0.25">
      <c r="D386" s="54"/>
      <c r="E386" s="54"/>
      <c r="F386" s="54"/>
      <c r="G386" s="54"/>
      <c r="H386" s="54"/>
      <c r="I386" s="54"/>
      <c r="J386" s="2"/>
    </row>
    <row r="387" spans="1:10" x14ac:dyDescent="0.25">
      <c r="D387" s="54"/>
      <c r="E387" s="54"/>
      <c r="F387" s="54"/>
      <c r="G387" s="54"/>
      <c r="H387" s="54"/>
      <c r="I387" s="54"/>
      <c r="J387" s="2"/>
    </row>
    <row r="388" spans="1:10" x14ac:dyDescent="0.25">
      <c r="D388" s="54"/>
      <c r="E388" s="54"/>
      <c r="F388" s="54"/>
      <c r="G388" s="54"/>
      <c r="H388" s="54"/>
      <c r="I388" s="54"/>
      <c r="J388" s="2"/>
    </row>
    <row r="389" spans="1:10" x14ac:dyDescent="0.25">
      <c r="D389" s="54"/>
      <c r="E389" s="54"/>
      <c r="F389" s="54"/>
      <c r="G389" s="54"/>
      <c r="H389" s="54"/>
      <c r="I389" s="54"/>
      <c r="J389" s="2"/>
    </row>
    <row r="390" spans="1:10" x14ac:dyDescent="0.25">
      <c r="D390" s="54"/>
      <c r="E390" s="54"/>
      <c r="F390" s="54"/>
      <c r="G390" s="54"/>
      <c r="H390" s="54"/>
      <c r="I390" s="54"/>
      <c r="J390" s="2"/>
    </row>
    <row r="391" spans="1:10" x14ac:dyDescent="0.25">
      <c r="D391" s="54"/>
      <c r="E391" s="54"/>
      <c r="F391" s="54"/>
      <c r="G391" s="54"/>
      <c r="H391" s="54"/>
      <c r="I391" s="54"/>
      <c r="J391" s="2"/>
    </row>
    <row r="392" spans="1:10" x14ac:dyDescent="0.25">
      <c r="D392" s="54"/>
      <c r="E392" s="54"/>
      <c r="F392" s="54"/>
      <c r="G392" s="54"/>
      <c r="H392" s="54"/>
      <c r="I392" s="54"/>
      <c r="J392" s="2"/>
    </row>
    <row r="393" spans="1:10" x14ac:dyDescent="0.25">
      <c r="D393" s="54"/>
      <c r="E393" s="54"/>
      <c r="F393" s="54"/>
      <c r="G393" s="54"/>
      <c r="H393" s="54"/>
      <c r="I393" s="54"/>
      <c r="J393" s="2"/>
    </row>
    <row r="394" spans="1:10" x14ac:dyDescent="0.25">
      <c r="D394" s="54"/>
      <c r="E394" s="54"/>
      <c r="F394" s="54"/>
      <c r="G394" s="54"/>
      <c r="H394" s="54"/>
      <c r="I394" s="54"/>
      <c r="J394" s="2"/>
    </row>
    <row r="395" spans="1:10" x14ac:dyDescent="0.25">
      <c r="D395" s="54"/>
      <c r="E395" s="54"/>
      <c r="F395" s="54"/>
      <c r="G395" s="54"/>
      <c r="H395" s="54"/>
      <c r="I395" s="54"/>
      <c r="J395" s="2"/>
    </row>
    <row r="396" spans="1:10" x14ac:dyDescent="0.25">
      <c r="D396" s="54"/>
      <c r="E396" s="54"/>
      <c r="F396" s="54"/>
      <c r="G396" s="54"/>
      <c r="H396" s="54"/>
      <c r="I396" s="54"/>
      <c r="J396" s="2"/>
    </row>
    <row r="397" spans="1:10" x14ac:dyDescent="0.25">
      <c r="D397" s="54"/>
      <c r="E397" s="54"/>
      <c r="F397" s="54"/>
      <c r="G397" s="54"/>
      <c r="H397" s="54"/>
      <c r="I397" s="54"/>
      <c r="J397" s="2"/>
    </row>
    <row r="398" spans="1:10" x14ac:dyDescent="0.25">
      <c r="A398" s="54"/>
      <c r="B398" s="54"/>
      <c r="C398" s="54"/>
      <c r="D398" s="54"/>
      <c r="E398" s="54"/>
      <c r="F398" s="54"/>
      <c r="G398" s="54"/>
      <c r="H398" s="54"/>
      <c r="I398" s="54"/>
      <c r="J398" s="2"/>
    </row>
    <row r="399" spans="1:10" x14ac:dyDescent="0.25">
      <c r="A399" s="54"/>
      <c r="E399" s="54"/>
      <c r="F399" s="54"/>
      <c r="G399" s="54"/>
      <c r="H399" s="54"/>
      <c r="I399" s="54"/>
      <c r="J399" s="2"/>
    </row>
    <row r="400" spans="1:10" x14ac:dyDescent="0.25">
      <c r="A400" s="54"/>
      <c r="E400" s="54"/>
      <c r="F400" s="54"/>
      <c r="G400" s="54"/>
      <c r="H400" s="54"/>
      <c r="I400" s="54"/>
      <c r="J400" s="2"/>
    </row>
    <row r="401" spans="1:10" x14ac:dyDescent="0.25">
      <c r="A401" s="54"/>
      <c r="E401" s="54"/>
      <c r="F401" s="54"/>
      <c r="G401" s="54"/>
      <c r="H401" s="54"/>
      <c r="I401" s="54"/>
      <c r="J401" s="2"/>
    </row>
    <row r="402" spans="1:10" x14ac:dyDescent="0.25">
      <c r="A402" s="54"/>
      <c r="E402" s="54"/>
      <c r="F402" s="54"/>
      <c r="G402" s="54"/>
      <c r="H402" s="54"/>
      <c r="I402" s="54"/>
      <c r="J402" s="2"/>
    </row>
    <row r="403" spans="1:10" x14ac:dyDescent="0.25">
      <c r="A403" s="54"/>
      <c r="B403" s="54"/>
      <c r="C403" s="54"/>
      <c r="D403" s="54"/>
      <c r="E403" s="54"/>
      <c r="F403" s="54"/>
      <c r="G403" s="54"/>
      <c r="H403" s="54"/>
      <c r="I403" s="54"/>
      <c r="J403" s="2"/>
    </row>
    <row r="404" spans="1:10" x14ac:dyDescent="0.25">
      <c r="A404" s="54"/>
      <c r="J404" s="2"/>
    </row>
    <row r="405" spans="1:10" x14ac:dyDescent="0.25">
      <c r="J405" s="2"/>
    </row>
    <row r="406" spans="1:10" x14ac:dyDescent="0.25">
      <c r="J406" s="2"/>
    </row>
    <row r="407" spans="1:10" x14ac:dyDescent="0.25">
      <c r="J407" s="2"/>
    </row>
  </sheetData>
  <sheetProtection sheet="1" objects="1" scenarios="1"/>
  <phoneticPr fontId="41" type="noConversion"/>
  <conditionalFormatting sqref="E102">
    <cfRule type="cellIs" dxfId="4" priority="1" stopIfTrue="1" operator="notEqual">
      <formula>"OK"</formula>
    </cfRule>
  </conditionalFormatting>
  <dataValidations xWindow="31820" yWindow="99" count="6">
    <dataValidation type="decimal" operator="greaterThanOrEqual" allowBlank="1" showInputMessage="1" showErrorMessage="1" prompt="'Xo' is the x-coordinate location of the center of the pile circle from the origin Y-axis.  Xo &gt;=  Dc/2" sqref="AW86">
      <formula1>$AW$85/2</formula1>
    </dataValidation>
    <dataValidation allowBlank="1" showInputMessage="1" showErrorMessage="1" prompt="'Dc' is the diameter of the pile circle." sqref="AW85"/>
    <dataValidation type="decimal" operator="greaterThanOrEqual" allowBlank="1" showInputMessage="1" showErrorMessage="1" prompt="'Yo' is the y-coordinate location of the center of the pile circle from the origin X-axis.  Yo &gt;=  Dc/2" sqref="AW87">
      <formula1>$AW$85/2</formula1>
    </dataValidation>
    <dataValidation type="decimal" operator="greaterThanOrEqual" allowBlank="1" showInputMessage="1" showErrorMessage="1" prompt="The angle to Pile #1 is measured counterclockwise from the origin X-axis." sqref="AW88">
      <formula1>0</formula1>
    </dataValidation>
    <dataValidation type="list" allowBlank="1" showInputMessage="1" showErrorMessage="1" errorTitle="Warning!" error="Invalid input for number of piles_x000a_(must input a value between 2 and 300)" sqref="AW84 C9">
      <formula1>$U$6:$U$304</formula1>
    </dataValidation>
    <dataValidation type="list" allowBlank="1" showInputMessage="1" showErrorMessage="1" errorTitle="Warning!" error="Invalid input for number of piers_x000a_(must input a value between 1 and 4)" sqref="B64">
      <formula1>$U$5:$U$21</formula1>
    </dataValidation>
  </dataValidations>
  <pageMargins left="1" right="0.5" top="1" bottom="1" header="0.5" footer="0.5"/>
  <pageSetup scale="50" orientation="portrait" r:id="rId1"/>
  <headerFooter alignWithMargins="0">
    <oddHeader>&amp;R"PILEGRP.xls" Program
Version 3.6</oddHeader>
    <oddFooter>&amp;C&amp;P of &amp;N&amp;R&amp;D  &amp;T</oddFooter>
  </headerFooter>
  <rowBreaks count="2" manualBreakCount="2">
    <brk id="100" max="18" man="1"/>
    <brk id="325" max="18" man="1"/>
  </rowBreaks>
  <drawing r:id="rId2"/>
  <mc:AlternateContent xmlns:mc="http://schemas.openxmlformats.org/markup-compatibility/2006">
    <mc:Choice Requires="v">
      <legacyDrawing r:id="rId3"/>
    </mc:Choice>
  </mc:AlternateContent>
</worksheet>
</file>

<file path=xl/worksheets/sheet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dimension ref="A1:BY407"/>
  <sheetViews>
    <sheetView zoomScale="80" zoomScaleNormal="80" workbookViewId="0"/>
  </sheetViews>
  <sheetFormatPr defaultColWidth="9.109375" defaultRowHeight="13.2" x14ac:dyDescent="0.25"/>
  <cols>
    <col min="1" max="1" width="11.88671875" style="92" customWidth="1"/>
    <col min="2" max="2" width="10.6640625" style="92" customWidth="1"/>
    <col min="3" max="5" width="9.109375" style="92"/>
    <col min="6" max="6" width="11.109375" style="92" customWidth="1"/>
    <col min="7" max="9" width="9.109375" style="92"/>
    <col min="10" max="19" width="9.109375" style="1"/>
    <col min="20" max="21" width="9.109375" style="1" hidden="1" customWidth="1"/>
    <col min="22" max="22" width="10.6640625" style="1" hidden="1" customWidth="1"/>
    <col min="23" max="25" width="9.109375" style="1" hidden="1" customWidth="1"/>
    <col min="26" max="26" width="10.6640625" style="1" hidden="1" customWidth="1"/>
    <col min="27" max="43" width="9.109375" style="1" hidden="1" customWidth="1"/>
    <col min="44" max="44" width="9.109375" style="1"/>
    <col min="45" max="45" width="9.109375" style="9"/>
    <col min="46" max="16384" width="9.109375" style="1"/>
  </cols>
  <sheetData>
    <row r="1" spans="1:64" ht="15.6" x14ac:dyDescent="0.3">
      <c r="A1" s="32" t="s">
        <v>67</v>
      </c>
      <c r="B1" s="33"/>
      <c r="C1" s="34"/>
      <c r="D1" s="34"/>
      <c r="E1" s="34"/>
      <c r="F1" s="34"/>
      <c r="G1" s="33"/>
      <c r="H1" s="33"/>
      <c r="I1" s="33"/>
      <c r="J1" s="242"/>
      <c r="K1" s="35"/>
      <c r="L1" s="243"/>
      <c r="M1" s="243"/>
      <c r="N1" s="243"/>
      <c r="O1" s="243"/>
      <c r="P1" s="243"/>
      <c r="Q1" s="243"/>
      <c r="R1" s="243"/>
      <c r="S1" s="244"/>
      <c r="T1" s="93"/>
      <c r="U1" s="7" t="s">
        <v>4</v>
      </c>
      <c r="X1" s="7"/>
      <c r="AR1" s="184" t="s">
        <v>373</v>
      </c>
    </row>
    <row r="2" spans="1:64" x14ac:dyDescent="0.25">
      <c r="A2" s="36" t="s">
        <v>238</v>
      </c>
      <c r="B2" s="37"/>
      <c r="C2" s="38"/>
      <c r="D2" s="37"/>
      <c r="E2" s="37"/>
      <c r="F2" s="37"/>
      <c r="G2" s="39"/>
      <c r="H2" s="39"/>
      <c r="I2" s="39"/>
      <c r="J2" s="245"/>
      <c r="K2" s="40"/>
      <c r="L2" s="93"/>
      <c r="M2" s="93"/>
      <c r="N2" s="93"/>
      <c r="O2" s="93"/>
      <c r="P2" s="93"/>
      <c r="Q2" s="93"/>
      <c r="R2" s="93"/>
      <c r="S2" s="246"/>
      <c r="T2" s="93"/>
      <c r="AS2" s="134" t="s">
        <v>109</v>
      </c>
      <c r="AT2" s="129"/>
    </row>
    <row r="3" spans="1:64" x14ac:dyDescent="0.25">
      <c r="A3" s="136" t="s">
        <v>162</v>
      </c>
      <c r="B3" s="41"/>
      <c r="C3" s="41"/>
      <c r="D3" s="41"/>
      <c r="E3" s="41"/>
      <c r="F3" s="41"/>
      <c r="G3" s="42"/>
      <c r="H3" s="42"/>
      <c r="I3" s="42"/>
      <c r="J3" s="247"/>
      <c r="K3" s="43"/>
      <c r="L3" s="93"/>
      <c r="M3" s="93"/>
      <c r="N3" s="93"/>
      <c r="O3" s="93"/>
      <c r="P3" s="93"/>
      <c r="Q3" s="93"/>
      <c r="R3" s="93"/>
      <c r="S3" s="246"/>
      <c r="T3" s="93"/>
      <c r="V3" s="25" t="s">
        <v>55</v>
      </c>
      <c r="W3" s="21"/>
      <c r="X3" s="25" t="s">
        <v>84</v>
      </c>
      <c r="Y3" s="6"/>
      <c r="Z3" s="21"/>
      <c r="AA3" s="25" t="s">
        <v>24</v>
      </c>
      <c r="AB3" s="21"/>
      <c r="AC3" s="25" t="s">
        <v>25</v>
      </c>
      <c r="AD3" s="22"/>
      <c r="AS3" s="130" t="s">
        <v>110</v>
      </c>
      <c r="AT3" s="130" t="s">
        <v>111</v>
      </c>
    </row>
    <row r="4" spans="1:64" x14ac:dyDescent="0.25">
      <c r="A4" s="44" t="s">
        <v>2</v>
      </c>
      <c r="B4" s="248"/>
      <c r="C4" s="249"/>
      <c r="D4" s="249"/>
      <c r="E4" s="249"/>
      <c r="F4" s="120" t="s">
        <v>108</v>
      </c>
      <c r="G4" s="250"/>
      <c r="H4" s="251"/>
      <c r="I4" s="123"/>
      <c r="J4" s="243"/>
      <c r="K4" s="252"/>
      <c r="L4" s="93"/>
      <c r="M4" s="93"/>
      <c r="N4" s="93"/>
      <c r="O4" s="93"/>
      <c r="P4" s="93"/>
      <c r="Q4" s="93"/>
      <c r="R4" s="93"/>
      <c r="S4" s="246"/>
      <c r="T4" s="93"/>
      <c r="U4" s="13" t="s">
        <v>56</v>
      </c>
      <c r="V4" s="14" t="s">
        <v>87</v>
      </c>
      <c r="W4" s="14" t="s">
        <v>88</v>
      </c>
      <c r="X4" s="23" t="s">
        <v>95</v>
      </c>
      <c r="Y4" s="23" t="s">
        <v>96</v>
      </c>
      <c r="Z4" s="23" t="s">
        <v>97</v>
      </c>
      <c r="AA4" s="15" t="s">
        <v>18</v>
      </c>
      <c r="AB4" s="15" t="s">
        <v>19</v>
      </c>
      <c r="AC4" s="15" t="s">
        <v>20</v>
      </c>
      <c r="AD4" s="15" t="s">
        <v>21</v>
      </c>
      <c r="AS4" s="27">
        <v>3</v>
      </c>
      <c r="AT4" s="133">
        <v>6</v>
      </c>
    </row>
    <row r="5" spans="1:64" x14ac:dyDescent="0.25">
      <c r="A5" s="44" t="s">
        <v>3</v>
      </c>
      <c r="B5" s="122"/>
      <c r="C5" s="123"/>
      <c r="D5" s="123"/>
      <c r="E5" s="124"/>
      <c r="F5" s="127" t="s">
        <v>107</v>
      </c>
      <c r="G5" s="253"/>
      <c r="H5" s="254"/>
      <c r="I5" s="255" t="s">
        <v>106</v>
      </c>
      <c r="J5" s="253"/>
      <c r="K5" s="124"/>
      <c r="L5" s="93"/>
      <c r="M5" s="93"/>
      <c r="N5" s="93"/>
      <c r="O5" s="93"/>
      <c r="P5" s="93"/>
      <c r="Q5" s="93"/>
      <c r="R5" s="93"/>
      <c r="S5" s="246"/>
      <c r="T5" s="93"/>
      <c r="U5" s="256">
        <v>1</v>
      </c>
      <c r="V5" s="16">
        <f t="shared" ref="V5:V36" si="0">IF($C$9&gt;=$U5,$C13+0.000001-$V$310,"")</f>
        <v>-4.1147990000000014</v>
      </c>
      <c r="W5" s="16">
        <f t="shared" ref="W5:W36" si="1">IF($C$9&gt;=$U5,$B13+0.000001-$V$309,"")</f>
        <v>-1.3715990000000007</v>
      </c>
      <c r="X5" s="16">
        <f t="shared" ref="X5:X68" si="2">IF($C$9&gt;=$U5,$V5^2,"")</f>
        <v>16.931570810401013</v>
      </c>
      <c r="Y5" s="16">
        <f t="shared" ref="Y5:Y68" si="3">IF($C$9&gt;=$U5,$W5^2,"")</f>
        <v>1.8812838168010018</v>
      </c>
      <c r="Z5" s="16">
        <f t="shared" ref="Z5:Z68" si="4">IF($C$9&gt;=$U5,$V5*$W5,"")</f>
        <v>5.6438541936010047</v>
      </c>
      <c r="AA5" s="17">
        <f t="shared" ref="AA5:AA36" si="5">IF($C$9&gt;=$U5,$B13-$V$309,"")</f>
        <v>-1.3716000000000006</v>
      </c>
      <c r="AB5" s="17">
        <f t="shared" ref="AB5:AB36" si="6">IF($C$9&gt;=$U5,$C13-$V$310,"")</f>
        <v>-4.1148000000000016</v>
      </c>
      <c r="AC5" s="18">
        <f t="shared" ref="AC5:AC68" si="7">IF($C$9&gt;=$U5,(-$Z$318/$C$9+($Z$322*$V$311--$Z$321*$V$314)/($V$311*$V$312-$V$314^2)*$AA5+(-$Z$321*$V$312-$Z$322*$V$314)/($V$311*$V$312-$V$314^2)*$AB5),"")</f>
        <v>365.96740161057141</v>
      </c>
      <c r="AD5" s="18">
        <f t="shared" ref="AD5:AD68" si="8">IF($C$9&gt;=$U5,((($Z$319/$C$9+$Z$323*-$AB5/$V$313)^2+($Z$320/$C$9+$Z$323*$AA5/$V$313)^2)^(1/2)),"")</f>
        <v>8.0191462528234894</v>
      </c>
      <c r="AV5" s="139" t="s">
        <v>169</v>
      </c>
      <c r="AW5" s="137"/>
      <c r="AX5" s="137"/>
      <c r="AY5" s="137"/>
      <c r="AZ5" s="138"/>
    </row>
    <row r="6" spans="1:64" x14ac:dyDescent="0.25">
      <c r="A6" s="45"/>
      <c r="B6" s="93"/>
      <c r="C6" s="93"/>
      <c r="D6" s="93"/>
      <c r="E6" s="93"/>
      <c r="F6" s="93"/>
      <c r="G6" s="93"/>
      <c r="H6" s="185"/>
      <c r="I6" s="257"/>
      <c r="J6" s="93"/>
      <c r="K6" s="93"/>
      <c r="L6" s="93"/>
      <c r="M6" s="93"/>
      <c r="N6" s="93"/>
      <c r="O6" s="93"/>
      <c r="P6" s="93"/>
      <c r="Q6" s="93"/>
      <c r="R6" s="93"/>
      <c r="S6" s="246"/>
      <c r="T6" s="93"/>
      <c r="U6" s="256">
        <v>2</v>
      </c>
      <c r="V6" s="16">
        <f t="shared" si="0"/>
        <v>-3.2003990000000013</v>
      </c>
      <c r="W6" s="16">
        <f t="shared" si="1"/>
        <v>-1.3715990000000007</v>
      </c>
      <c r="X6" s="16">
        <f t="shared" si="2"/>
        <v>10.242553759201009</v>
      </c>
      <c r="Y6" s="16">
        <f t="shared" si="3"/>
        <v>1.8812838168010018</v>
      </c>
      <c r="Z6" s="16">
        <f t="shared" si="4"/>
        <v>4.3896640680010037</v>
      </c>
      <c r="AA6" s="17">
        <f t="shared" si="5"/>
        <v>-1.3716000000000006</v>
      </c>
      <c r="AB6" s="17">
        <f t="shared" si="6"/>
        <v>-3.2004000000000015</v>
      </c>
      <c r="AC6" s="18">
        <f t="shared" si="7"/>
        <v>363.72082163761382</v>
      </c>
      <c r="AD6" s="18">
        <f t="shared" si="8"/>
        <v>8.0191462528234894</v>
      </c>
      <c r="AV6" s="137" t="s">
        <v>167</v>
      </c>
      <c r="AW6" s="137"/>
      <c r="AX6" s="137"/>
      <c r="AY6" s="137"/>
      <c r="AZ6" s="138"/>
    </row>
    <row r="7" spans="1:64" x14ac:dyDescent="0.25">
      <c r="A7" s="47" t="s">
        <v>1</v>
      </c>
      <c r="B7" s="93"/>
      <c r="C7" s="94"/>
      <c r="D7" s="93"/>
      <c r="E7" s="93"/>
      <c r="F7" s="93"/>
      <c r="G7" s="93"/>
      <c r="H7" s="185"/>
      <c r="I7" s="258"/>
      <c r="J7" s="93"/>
      <c r="K7" s="93"/>
      <c r="L7" s="93"/>
      <c r="M7" s="93"/>
      <c r="N7" s="93"/>
      <c r="O7" s="93"/>
      <c r="P7" s="93"/>
      <c r="Q7" s="93"/>
      <c r="R7" s="93"/>
      <c r="S7" s="246"/>
      <c r="T7" s="93"/>
      <c r="U7" s="256">
        <v>3</v>
      </c>
      <c r="V7" s="16">
        <f t="shared" si="0"/>
        <v>-2.2859990000000012</v>
      </c>
      <c r="W7" s="16">
        <f t="shared" si="1"/>
        <v>-1.3715990000000007</v>
      </c>
      <c r="X7" s="16">
        <f t="shared" si="2"/>
        <v>5.2257914280010054</v>
      </c>
      <c r="Y7" s="16">
        <f t="shared" si="3"/>
        <v>1.8812838168010018</v>
      </c>
      <c r="Z7" s="16">
        <f t="shared" si="4"/>
        <v>3.1354739424010032</v>
      </c>
      <c r="AA7" s="17">
        <f t="shared" si="5"/>
        <v>-1.3716000000000006</v>
      </c>
      <c r="AB7" s="17">
        <f t="shared" si="6"/>
        <v>-2.2860000000000014</v>
      </c>
      <c r="AC7" s="18">
        <f t="shared" si="7"/>
        <v>361.47424166465623</v>
      </c>
      <c r="AD7" s="18">
        <f t="shared" si="8"/>
        <v>8.0191462528234894</v>
      </c>
      <c r="AV7" s="137" t="s">
        <v>172</v>
      </c>
      <c r="AW7" s="137"/>
      <c r="AX7" s="137"/>
      <c r="AY7" s="137"/>
      <c r="AZ7" s="138"/>
    </row>
    <row r="8" spans="1:64" x14ac:dyDescent="0.25">
      <c r="A8" s="48"/>
      <c r="B8" s="128"/>
      <c r="C8" s="93"/>
      <c r="D8" s="93"/>
      <c r="E8" s="93"/>
      <c r="F8" s="93"/>
      <c r="G8" s="93"/>
      <c r="H8" s="185"/>
      <c r="I8" s="185"/>
      <c r="J8" s="93"/>
      <c r="K8" s="93"/>
      <c r="L8" s="93"/>
      <c r="M8" s="93"/>
      <c r="N8" s="93"/>
      <c r="O8" s="93"/>
      <c r="P8" s="93"/>
      <c r="Q8" s="93"/>
      <c r="R8" s="93"/>
      <c r="S8" s="246"/>
      <c r="T8" s="93"/>
      <c r="U8" s="256">
        <v>4</v>
      </c>
      <c r="V8" s="16">
        <f t="shared" si="0"/>
        <v>-1.3715990000000011</v>
      </c>
      <c r="W8" s="16">
        <f t="shared" si="1"/>
        <v>-1.3715990000000007</v>
      </c>
      <c r="X8" s="16">
        <f t="shared" si="2"/>
        <v>1.8812838168010031</v>
      </c>
      <c r="Y8" s="16">
        <f t="shared" si="3"/>
        <v>1.8812838168010018</v>
      </c>
      <c r="Z8" s="16">
        <f t="shared" si="4"/>
        <v>1.8812838168010024</v>
      </c>
      <c r="AA8" s="17">
        <f t="shared" si="5"/>
        <v>-1.3716000000000006</v>
      </c>
      <c r="AB8" s="17">
        <f t="shared" si="6"/>
        <v>-1.3716000000000013</v>
      </c>
      <c r="AC8" s="18">
        <f t="shared" si="7"/>
        <v>359.22766169169864</v>
      </c>
      <c r="AD8" s="18">
        <f t="shared" si="8"/>
        <v>8.0191462528234894</v>
      </c>
      <c r="AV8" s="137" t="s">
        <v>168</v>
      </c>
      <c r="AW8" s="137"/>
      <c r="AX8" s="137"/>
      <c r="AY8" s="137"/>
      <c r="AZ8" s="138"/>
    </row>
    <row r="9" spans="1:64" x14ac:dyDescent="0.25">
      <c r="A9" s="45"/>
      <c r="B9" s="50" t="s">
        <v>57</v>
      </c>
      <c r="C9" s="27">
        <v>40</v>
      </c>
      <c r="D9" s="54"/>
      <c r="E9" s="54"/>
      <c r="F9" s="53"/>
      <c r="G9" s="54"/>
      <c r="H9" s="54"/>
      <c r="I9" s="54" t="s">
        <v>0</v>
      </c>
      <c r="J9" s="2"/>
      <c r="K9" s="2"/>
      <c r="L9" s="2"/>
      <c r="M9" s="2"/>
      <c r="N9" s="2"/>
      <c r="O9" s="2"/>
      <c r="P9" s="2"/>
      <c r="Q9" s="2"/>
      <c r="R9" s="2"/>
      <c r="S9" s="259"/>
      <c r="T9" s="2"/>
      <c r="U9" s="256">
        <v>5</v>
      </c>
      <c r="V9" s="16">
        <f t="shared" si="0"/>
        <v>-0.45719900000000102</v>
      </c>
      <c r="W9" s="16">
        <f t="shared" si="1"/>
        <v>-1.3715990000000007</v>
      </c>
      <c r="X9" s="16">
        <f t="shared" si="2"/>
        <v>0.20903092560100092</v>
      </c>
      <c r="Y9" s="16">
        <f t="shared" si="3"/>
        <v>1.8812838168010018</v>
      </c>
      <c r="Z9" s="16">
        <f t="shared" si="4"/>
        <v>0.62709369120100167</v>
      </c>
      <c r="AA9" s="17">
        <f t="shared" si="5"/>
        <v>-1.3716000000000006</v>
      </c>
      <c r="AB9" s="17">
        <f t="shared" si="6"/>
        <v>-0.45720000000000116</v>
      </c>
      <c r="AC9" s="18">
        <f t="shared" si="7"/>
        <v>356.98108171874105</v>
      </c>
      <c r="AD9" s="18">
        <f t="shared" si="8"/>
        <v>8.0191462528234894</v>
      </c>
      <c r="BD9" s="2"/>
    </row>
    <row r="10" spans="1:64" x14ac:dyDescent="0.25">
      <c r="A10" s="48"/>
      <c r="B10" s="54"/>
      <c r="C10" s="54"/>
      <c r="D10" s="54"/>
      <c r="E10" s="54"/>
      <c r="F10" s="54"/>
      <c r="G10" s="54"/>
      <c r="H10" s="54"/>
      <c r="I10" s="54"/>
      <c r="J10" s="2"/>
      <c r="K10" s="2"/>
      <c r="L10" s="2"/>
      <c r="M10" s="2"/>
      <c r="N10" s="2"/>
      <c r="O10" s="2"/>
      <c r="P10" s="2"/>
      <c r="Q10" s="2"/>
      <c r="R10" s="2"/>
      <c r="S10" s="259"/>
      <c r="T10" s="2"/>
      <c r="U10" s="256">
        <v>6</v>
      </c>
      <c r="V10" s="16">
        <f t="shared" si="0"/>
        <v>0.45720099999999864</v>
      </c>
      <c r="W10" s="16">
        <f t="shared" si="1"/>
        <v>-1.3715990000000007</v>
      </c>
      <c r="X10" s="16">
        <f t="shared" si="2"/>
        <v>0.20903275440099875</v>
      </c>
      <c r="Y10" s="16">
        <f t="shared" si="3"/>
        <v>1.8812838168010018</v>
      </c>
      <c r="Z10" s="16">
        <f t="shared" si="4"/>
        <v>-0.62709643439899843</v>
      </c>
      <c r="AA10" s="17">
        <f t="shared" si="5"/>
        <v>-1.3716000000000006</v>
      </c>
      <c r="AB10" s="17">
        <f t="shared" si="6"/>
        <v>0.4571999999999985</v>
      </c>
      <c r="AC10" s="18">
        <f t="shared" si="7"/>
        <v>354.7345017457834</v>
      </c>
      <c r="AD10" s="18">
        <f t="shared" si="8"/>
        <v>8.0191462528234894</v>
      </c>
      <c r="AY10" s="8"/>
    </row>
    <row r="11" spans="1:64" x14ac:dyDescent="0.25">
      <c r="A11" s="97"/>
      <c r="B11" s="56" t="s">
        <v>53</v>
      </c>
      <c r="C11" s="53"/>
      <c r="D11" s="74"/>
      <c r="E11" s="56" t="s">
        <v>53</v>
      </c>
      <c r="F11" s="53"/>
      <c r="G11" s="74"/>
      <c r="H11" s="56" t="s">
        <v>54</v>
      </c>
      <c r="I11" s="53"/>
      <c r="J11" s="2"/>
      <c r="K11" s="56" t="s">
        <v>54</v>
      </c>
      <c r="L11" s="53"/>
      <c r="M11" s="2"/>
      <c r="N11" s="56" t="s">
        <v>54</v>
      </c>
      <c r="O11" s="53"/>
      <c r="P11" s="2"/>
      <c r="Q11" s="56" t="s">
        <v>54</v>
      </c>
      <c r="R11" s="53"/>
      <c r="S11" s="259"/>
      <c r="T11" s="2"/>
      <c r="U11" s="256">
        <v>7</v>
      </c>
      <c r="V11" s="16">
        <f t="shared" si="0"/>
        <v>1.3716009999999992</v>
      </c>
      <c r="W11" s="16">
        <f t="shared" si="1"/>
        <v>-1.3715990000000007</v>
      </c>
      <c r="X11" s="16">
        <f t="shared" si="2"/>
        <v>1.8812893032009979</v>
      </c>
      <c r="Y11" s="16">
        <f t="shared" si="3"/>
        <v>1.8812838168010018</v>
      </c>
      <c r="Z11" s="16">
        <f t="shared" si="4"/>
        <v>-1.8812865599989999</v>
      </c>
      <c r="AA11" s="17">
        <f t="shared" si="5"/>
        <v>-1.3716000000000006</v>
      </c>
      <c r="AB11" s="17">
        <f t="shared" si="6"/>
        <v>1.371599999999999</v>
      </c>
      <c r="AC11" s="18">
        <f t="shared" si="7"/>
        <v>352.48792177282581</v>
      </c>
      <c r="AD11" s="18">
        <f t="shared" si="8"/>
        <v>8.0191462528234894</v>
      </c>
      <c r="AG11" s="2"/>
      <c r="AH11" s="2"/>
      <c r="AI11" s="2"/>
      <c r="AJ11" s="2"/>
      <c r="AK11" s="2"/>
      <c r="AL11" s="2"/>
      <c r="AM11" s="2"/>
      <c r="AN11" s="2"/>
      <c r="AO11" s="2"/>
      <c r="AP11" s="2"/>
      <c r="AQ11" s="2"/>
      <c r="AU11" s="239" t="s">
        <v>165</v>
      </c>
      <c r="AV11" s="22"/>
      <c r="AW11" s="22"/>
      <c r="AX11" s="22"/>
      <c r="AY11" s="196"/>
    </row>
    <row r="12" spans="1:64" x14ac:dyDescent="0.25">
      <c r="A12" s="45"/>
      <c r="B12" s="77" t="s">
        <v>127</v>
      </c>
      <c r="C12" s="77" t="s">
        <v>128</v>
      </c>
      <c r="D12" s="54"/>
      <c r="E12" s="77" t="s">
        <v>127</v>
      </c>
      <c r="F12" s="77" t="s">
        <v>128</v>
      </c>
      <c r="G12" s="54"/>
      <c r="H12" s="77" t="s">
        <v>127</v>
      </c>
      <c r="I12" s="77" t="s">
        <v>128</v>
      </c>
      <c r="J12" s="2"/>
      <c r="K12" s="77" t="s">
        <v>127</v>
      </c>
      <c r="L12" s="77" t="s">
        <v>128</v>
      </c>
      <c r="M12" s="2"/>
      <c r="N12" s="77" t="s">
        <v>127</v>
      </c>
      <c r="O12" s="77" t="s">
        <v>128</v>
      </c>
      <c r="P12" s="2"/>
      <c r="Q12" s="77" t="s">
        <v>127</v>
      </c>
      <c r="R12" s="77" t="s">
        <v>128</v>
      </c>
      <c r="S12" s="259"/>
      <c r="T12" s="2"/>
      <c r="U12" s="256">
        <v>8</v>
      </c>
      <c r="V12" s="16">
        <f t="shared" si="0"/>
        <v>2.2860009999999988</v>
      </c>
      <c r="W12" s="16">
        <f t="shared" si="1"/>
        <v>-1.3715990000000007</v>
      </c>
      <c r="X12" s="16">
        <f t="shared" si="2"/>
        <v>5.2258005720009946</v>
      </c>
      <c r="Y12" s="16">
        <f t="shared" si="3"/>
        <v>1.8812838168010018</v>
      </c>
      <c r="Z12" s="16">
        <f t="shared" si="4"/>
        <v>-3.1354766855989999</v>
      </c>
      <c r="AA12" s="17">
        <f t="shared" si="5"/>
        <v>-1.3716000000000006</v>
      </c>
      <c r="AB12" s="17">
        <f t="shared" si="6"/>
        <v>2.2859999999999987</v>
      </c>
      <c r="AC12" s="18">
        <f t="shared" si="7"/>
        <v>350.24134179986822</v>
      </c>
      <c r="AD12" s="18">
        <f t="shared" si="8"/>
        <v>8.0191462528234894</v>
      </c>
      <c r="AG12" s="2"/>
      <c r="AH12" s="2"/>
      <c r="AI12" s="2"/>
      <c r="AJ12" s="2"/>
      <c r="AK12" s="2"/>
      <c r="AL12" s="2"/>
      <c r="AM12" s="2"/>
      <c r="AN12" s="2"/>
      <c r="AO12" s="2"/>
      <c r="AP12" s="2"/>
      <c r="AQ12" s="2"/>
      <c r="AU12" s="199"/>
      <c r="AV12" s="196" t="s">
        <v>196</v>
      </c>
      <c r="AW12" s="196" t="s">
        <v>197</v>
      </c>
      <c r="AX12" s="194"/>
      <c r="AY12" s="196" t="s">
        <v>196</v>
      </c>
      <c r="AZ12" s="196" t="s">
        <v>197</v>
      </c>
      <c r="BB12" s="196" t="s">
        <v>196</v>
      </c>
      <c r="BC12" s="196" t="s">
        <v>197</v>
      </c>
      <c r="BE12" s="196" t="s">
        <v>196</v>
      </c>
      <c r="BF12" s="196" t="s">
        <v>197</v>
      </c>
      <c r="BH12" s="196" t="s">
        <v>196</v>
      </c>
      <c r="BI12" s="196" t="s">
        <v>197</v>
      </c>
      <c r="BK12" s="196" t="s">
        <v>207</v>
      </c>
      <c r="BL12" s="196" t="s">
        <v>208</v>
      </c>
    </row>
    <row r="13" spans="1:64" x14ac:dyDescent="0.25">
      <c r="A13" s="260" t="str">
        <f t="shared" ref="A13:A44" si="9">IF($C$9&gt;=$U5,"#"&amp;$U5&amp;":","")</f>
        <v>#1:</v>
      </c>
      <c r="B13" s="141">
        <v>0</v>
      </c>
      <c r="C13" s="141">
        <v>0</v>
      </c>
      <c r="D13" s="260" t="str">
        <f t="shared" ref="D13:D44" si="10">IF($C$9&gt;=$U55,"#"&amp;$U55&amp;":","")</f>
        <v/>
      </c>
      <c r="E13" s="141"/>
      <c r="F13" s="141"/>
      <c r="G13" s="260" t="str">
        <f t="shared" ref="G13:G44" si="11">IF($C$9&gt;=$U105,"#"&amp;$U105&amp;":","")</f>
        <v/>
      </c>
      <c r="H13" s="141"/>
      <c r="I13" s="141"/>
      <c r="J13" s="261" t="str">
        <f t="shared" ref="J13:J44" si="12">IF($C$9&gt;=$U155,"#"&amp;$U155&amp;":","")</f>
        <v/>
      </c>
      <c r="K13" s="141"/>
      <c r="L13" s="142"/>
      <c r="M13" s="260" t="str">
        <f t="shared" ref="M13:M44" si="13">IF($C$9&gt;=$U205,"#"&amp;$U205&amp;":","")</f>
        <v/>
      </c>
      <c r="N13" s="141"/>
      <c r="O13" s="141"/>
      <c r="P13" s="260" t="str">
        <f t="shared" ref="P13:P44" si="14">IF($C$9&gt;=$U255,"#"&amp;$U255&amp;":","")</f>
        <v/>
      </c>
      <c r="Q13" s="141"/>
      <c r="R13" s="141"/>
      <c r="S13" s="259"/>
      <c r="T13" s="2"/>
      <c r="U13" s="256">
        <v>9</v>
      </c>
      <c r="V13" s="16">
        <f t="shared" si="0"/>
        <v>3.2004009999999994</v>
      </c>
      <c r="W13" s="16">
        <f t="shared" si="1"/>
        <v>-1.3715990000000007</v>
      </c>
      <c r="X13" s="16">
        <f t="shared" si="2"/>
        <v>10.242566560800997</v>
      </c>
      <c r="Y13" s="16">
        <f t="shared" si="3"/>
        <v>1.8812838168010018</v>
      </c>
      <c r="Z13" s="16">
        <f t="shared" si="4"/>
        <v>-4.3896668111990014</v>
      </c>
      <c r="AA13" s="17">
        <f t="shared" si="5"/>
        <v>-1.3716000000000006</v>
      </c>
      <c r="AB13" s="17">
        <f t="shared" si="6"/>
        <v>3.2003999999999992</v>
      </c>
      <c r="AC13" s="18">
        <f t="shared" si="7"/>
        <v>347.99476182691063</v>
      </c>
      <c r="AD13" s="18">
        <f t="shared" si="8"/>
        <v>8.0191462528234894</v>
      </c>
      <c r="AG13" s="2"/>
      <c r="AH13" s="2"/>
      <c r="AI13" s="2"/>
      <c r="AJ13" s="2"/>
      <c r="AK13" s="2"/>
      <c r="AL13" s="2"/>
      <c r="AM13" s="2"/>
      <c r="AN13" s="2"/>
      <c r="AO13" s="2"/>
      <c r="AP13" s="2"/>
      <c r="AQ13" s="2"/>
      <c r="AU13" s="262" t="str">
        <f t="shared" ref="AU13:AU44" si="15">IF($C$9&gt;=$U5,"#"&amp;$U5&amp;":","")</f>
        <v>#1:</v>
      </c>
      <c r="AV13" s="216">
        <f t="shared" ref="AV13:AV44" si="16">IF($C$9&gt;=$U5,$B13*3.28084,"")</f>
        <v>0</v>
      </c>
      <c r="AW13" s="228">
        <f t="shared" ref="AW13:AW44" si="17">IF($C$9&gt;=$U5,$C13*3.28084,"")</f>
        <v>0</v>
      </c>
      <c r="AX13" s="262" t="str">
        <f t="shared" ref="AX13:AX44" si="18">IF($C$9&gt;=$U55,"#"&amp;$U55&amp;":","")</f>
        <v/>
      </c>
      <c r="AY13" s="216" t="str">
        <f t="shared" ref="AY13:AY44" si="19">IF($C$9&gt;=$U55,$E13*3.28084,"")</f>
        <v/>
      </c>
      <c r="AZ13" s="228" t="str">
        <f t="shared" ref="AZ13:AZ44" si="20">IF($C$9&gt;=$U55,$F13*3.28084,"")</f>
        <v/>
      </c>
      <c r="BA13" s="262" t="str">
        <f t="shared" ref="BA13:BA44" si="21">IF($C$9&gt;=$U105,"#"&amp;$U105&amp;":","")</f>
        <v/>
      </c>
      <c r="BB13" s="216" t="str">
        <f t="shared" ref="BB13:BB44" si="22">IF($C$9&gt;=$U105,$H13*3.28084,"")</f>
        <v/>
      </c>
      <c r="BC13" s="228" t="str">
        <f t="shared" ref="BC13:BC44" si="23">IF($C$9&gt;=$U105,$I13*3.28084,"")</f>
        <v/>
      </c>
      <c r="BD13" s="262" t="str">
        <f t="shared" ref="BD13:BD44" si="24">IF($C$9&gt;=$U155,"#"&amp;$U155&amp;":","")</f>
        <v/>
      </c>
      <c r="BE13" s="216" t="str">
        <f t="shared" ref="BE13:BE44" si="25">IF($C$9&gt;=$U155,$K13*3.28084,"")</f>
        <v/>
      </c>
      <c r="BF13" s="228" t="str">
        <f t="shared" ref="BF13:BF44" si="26">IF($C$9&gt;=$U155,$L13*3.28084,"")</f>
        <v/>
      </c>
      <c r="BG13" s="262" t="str">
        <f t="shared" ref="BG13:BG44" si="27">IF($C$9&gt;=$U205,"#"&amp;$U205&amp;":","")</f>
        <v/>
      </c>
      <c r="BH13" s="216" t="str">
        <f t="shared" ref="BH13:BH44" si="28">IF($C$9&gt;=$U205,$N13*3.28084,"")</f>
        <v/>
      </c>
      <c r="BI13" s="228" t="str">
        <f t="shared" ref="BI13:BI44" si="29">IF($C$9&gt;=$U205,$O13*3.28084,"")</f>
        <v/>
      </c>
      <c r="BJ13" s="262" t="str">
        <f t="shared" ref="BJ13:BJ44" si="30">IF($C$9&gt;=$U255,"#"&amp;$U255&amp;":","")</f>
        <v/>
      </c>
      <c r="BK13" s="216" t="str">
        <f t="shared" ref="BK13:BK44" si="31">IF($C$9&gt;=$U255,$Q13*3.28084,"")</f>
        <v/>
      </c>
      <c r="BL13" s="228" t="str">
        <f t="shared" ref="BL13:BL44" si="32">IF($C$9&gt;=$U255,$R13*3.28084,"")</f>
        <v/>
      </c>
    </row>
    <row r="14" spans="1:64" x14ac:dyDescent="0.25">
      <c r="A14" s="260" t="str">
        <f t="shared" si="9"/>
        <v>#2:</v>
      </c>
      <c r="B14" s="145">
        <v>0</v>
      </c>
      <c r="C14" s="145">
        <v>0.9144000000000001</v>
      </c>
      <c r="D14" s="260" t="str">
        <f t="shared" si="10"/>
        <v/>
      </c>
      <c r="E14" s="145"/>
      <c r="F14" s="145"/>
      <c r="G14" s="260" t="str">
        <f t="shared" si="11"/>
        <v/>
      </c>
      <c r="H14" s="145"/>
      <c r="I14" s="145"/>
      <c r="J14" s="261" t="str">
        <f t="shared" si="12"/>
        <v/>
      </c>
      <c r="K14" s="145"/>
      <c r="L14" s="145"/>
      <c r="M14" s="260" t="str">
        <f t="shared" si="13"/>
        <v/>
      </c>
      <c r="N14" s="145"/>
      <c r="O14" s="145"/>
      <c r="P14" s="260" t="str">
        <f t="shared" si="14"/>
        <v/>
      </c>
      <c r="Q14" s="145"/>
      <c r="R14" s="145"/>
      <c r="S14" s="259"/>
      <c r="T14" s="2"/>
      <c r="U14" s="256">
        <v>10</v>
      </c>
      <c r="V14" s="16">
        <f t="shared" si="0"/>
        <v>4.1148009999999973</v>
      </c>
      <c r="W14" s="16">
        <f t="shared" si="1"/>
        <v>-1.3715990000000007</v>
      </c>
      <c r="X14" s="16">
        <f t="shared" si="2"/>
        <v>16.931587269600978</v>
      </c>
      <c r="Y14" s="16">
        <f t="shared" si="3"/>
        <v>1.8812838168010018</v>
      </c>
      <c r="Z14" s="16">
        <f t="shared" si="4"/>
        <v>-5.6438569367989988</v>
      </c>
      <c r="AA14" s="17">
        <f t="shared" si="5"/>
        <v>-1.3716000000000006</v>
      </c>
      <c r="AB14" s="17">
        <f t="shared" si="6"/>
        <v>4.114799999999998</v>
      </c>
      <c r="AC14" s="18">
        <f t="shared" si="7"/>
        <v>345.74818185395304</v>
      </c>
      <c r="AD14" s="18">
        <f t="shared" si="8"/>
        <v>8.0191462528234894</v>
      </c>
      <c r="AG14" s="2"/>
      <c r="AH14" s="2"/>
      <c r="AI14" s="2"/>
      <c r="AJ14" s="2"/>
      <c r="AK14" s="2"/>
      <c r="AL14" s="2"/>
      <c r="AM14" s="2"/>
      <c r="AN14" s="2"/>
      <c r="AO14" s="2"/>
      <c r="AP14" s="2"/>
      <c r="AQ14" s="2"/>
      <c r="AU14" s="262" t="str">
        <f t="shared" si="15"/>
        <v>#2:</v>
      </c>
      <c r="AV14" s="217">
        <f t="shared" si="16"/>
        <v>0</v>
      </c>
      <c r="AW14" s="229">
        <f t="shared" si="17"/>
        <v>3.0000000960000004</v>
      </c>
      <c r="AX14" s="262" t="str">
        <f t="shared" si="18"/>
        <v/>
      </c>
      <c r="AY14" s="217" t="str">
        <f t="shared" si="19"/>
        <v/>
      </c>
      <c r="AZ14" s="229" t="str">
        <f t="shared" si="20"/>
        <v/>
      </c>
      <c r="BA14" s="262" t="str">
        <f t="shared" si="21"/>
        <v/>
      </c>
      <c r="BB14" s="217" t="str">
        <f t="shared" si="22"/>
        <v/>
      </c>
      <c r="BC14" s="229" t="str">
        <f t="shared" si="23"/>
        <v/>
      </c>
      <c r="BD14" s="262" t="str">
        <f t="shared" si="24"/>
        <v/>
      </c>
      <c r="BE14" s="217" t="str">
        <f t="shared" si="25"/>
        <v/>
      </c>
      <c r="BF14" s="229" t="str">
        <f t="shared" si="26"/>
        <v/>
      </c>
      <c r="BG14" s="262" t="str">
        <f t="shared" si="27"/>
        <v/>
      </c>
      <c r="BH14" s="217" t="str">
        <f t="shared" si="28"/>
        <v/>
      </c>
      <c r="BI14" s="229" t="str">
        <f t="shared" si="29"/>
        <v/>
      </c>
      <c r="BJ14" s="262" t="str">
        <f t="shared" si="30"/>
        <v/>
      </c>
      <c r="BK14" s="217" t="str">
        <f t="shared" si="31"/>
        <v/>
      </c>
      <c r="BL14" s="229" t="str">
        <f t="shared" si="32"/>
        <v/>
      </c>
    </row>
    <row r="15" spans="1:64" x14ac:dyDescent="0.25">
      <c r="A15" s="260" t="str">
        <f t="shared" si="9"/>
        <v>#3:</v>
      </c>
      <c r="B15" s="145">
        <v>0</v>
      </c>
      <c r="C15" s="145">
        <v>1.8288000000000002</v>
      </c>
      <c r="D15" s="260" t="str">
        <f t="shared" si="10"/>
        <v/>
      </c>
      <c r="E15" s="145"/>
      <c r="F15" s="145"/>
      <c r="G15" s="260" t="str">
        <f t="shared" si="11"/>
        <v/>
      </c>
      <c r="H15" s="145"/>
      <c r="I15" s="145"/>
      <c r="J15" s="261" t="str">
        <f t="shared" si="12"/>
        <v/>
      </c>
      <c r="K15" s="145"/>
      <c r="L15" s="145"/>
      <c r="M15" s="260" t="str">
        <f t="shared" si="13"/>
        <v/>
      </c>
      <c r="N15" s="145"/>
      <c r="O15" s="145"/>
      <c r="P15" s="260" t="str">
        <f t="shared" si="14"/>
        <v/>
      </c>
      <c r="Q15" s="145"/>
      <c r="R15" s="145"/>
      <c r="S15" s="259"/>
      <c r="T15" s="2"/>
      <c r="U15" s="256">
        <v>11</v>
      </c>
      <c r="V15" s="16">
        <f t="shared" si="0"/>
        <v>-4.1147990000000014</v>
      </c>
      <c r="W15" s="16">
        <f t="shared" si="1"/>
        <v>-0.45719900000000047</v>
      </c>
      <c r="X15" s="16">
        <f t="shared" si="2"/>
        <v>16.931570810401013</v>
      </c>
      <c r="Y15" s="16">
        <f t="shared" si="3"/>
        <v>0.20903092560100042</v>
      </c>
      <c r="Z15" s="16">
        <f t="shared" si="4"/>
        <v>1.8812819880010025</v>
      </c>
      <c r="AA15" s="17">
        <f t="shared" si="5"/>
        <v>-0.45720000000000049</v>
      </c>
      <c r="AB15" s="17">
        <f t="shared" si="6"/>
        <v>-4.1148000000000016</v>
      </c>
      <c r="AC15" s="18">
        <f t="shared" si="7"/>
        <v>351.13997378906328</v>
      </c>
      <c r="AD15" s="18">
        <f t="shared" si="8"/>
        <v>8.0191462528234894</v>
      </c>
      <c r="AG15" s="2"/>
      <c r="AH15" s="2"/>
      <c r="AI15" s="2"/>
      <c r="AJ15" s="2"/>
      <c r="AK15" s="2"/>
      <c r="AL15" s="2"/>
      <c r="AM15" s="2"/>
      <c r="AN15" s="2"/>
      <c r="AO15" s="2"/>
      <c r="AP15" s="2"/>
      <c r="AQ15" s="2"/>
      <c r="AU15" s="262" t="str">
        <f t="shared" si="15"/>
        <v>#3:</v>
      </c>
      <c r="AV15" s="217">
        <f t="shared" si="16"/>
        <v>0</v>
      </c>
      <c r="AW15" s="229">
        <f t="shared" si="17"/>
        <v>6.0000001920000008</v>
      </c>
      <c r="AX15" s="262" t="str">
        <f t="shared" si="18"/>
        <v/>
      </c>
      <c r="AY15" s="217" t="str">
        <f t="shared" si="19"/>
        <v/>
      </c>
      <c r="AZ15" s="229" t="str">
        <f t="shared" si="20"/>
        <v/>
      </c>
      <c r="BA15" s="262" t="str">
        <f t="shared" si="21"/>
        <v/>
      </c>
      <c r="BB15" s="217" t="str">
        <f t="shared" si="22"/>
        <v/>
      </c>
      <c r="BC15" s="229" t="str">
        <f t="shared" si="23"/>
        <v/>
      </c>
      <c r="BD15" s="262" t="str">
        <f t="shared" si="24"/>
        <v/>
      </c>
      <c r="BE15" s="217" t="str">
        <f t="shared" si="25"/>
        <v/>
      </c>
      <c r="BF15" s="229" t="str">
        <f t="shared" si="26"/>
        <v/>
      </c>
      <c r="BG15" s="262" t="str">
        <f t="shared" si="27"/>
        <v/>
      </c>
      <c r="BH15" s="217" t="str">
        <f t="shared" si="28"/>
        <v/>
      </c>
      <c r="BI15" s="229" t="str">
        <f t="shared" si="29"/>
        <v/>
      </c>
      <c r="BJ15" s="262" t="str">
        <f t="shared" si="30"/>
        <v/>
      </c>
      <c r="BK15" s="217" t="str">
        <f t="shared" si="31"/>
        <v/>
      </c>
      <c r="BL15" s="229" t="str">
        <f t="shared" si="32"/>
        <v/>
      </c>
    </row>
    <row r="16" spans="1:64" x14ac:dyDescent="0.25">
      <c r="A16" s="260" t="str">
        <f t="shared" si="9"/>
        <v>#4:</v>
      </c>
      <c r="B16" s="145">
        <v>0</v>
      </c>
      <c r="C16" s="145">
        <v>2.7432000000000003</v>
      </c>
      <c r="D16" s="260" t="str">
        <f t="shared" si="10"/>
        <v/>
      </c>
      <c r="E16" s="145"/>
      <c r="F16" s="145"/>
      <c r="G16" s="260" t="str">
        <f t="shared" si="11"/>
        <v/>
      </c>
      <c r="H16" s="145"/>
      <c r="I16" s="145"/>
      <c r="J16" s="261" t="str">
        <f t="shared" si="12"/>
        <v/>
      </c>
      <c r="K16" s="145"/>
      <c r="L16" s="145"/>
      <c r="M16" s="260" t="str">
        <f t="shared" si="13"/>
        <v/>
      </c>
      <c r="N16" s="145"/>
      <c r="O16" s="145"/>
      <c r="P16" s="260" t="str">
        <f t="shared" si="14"/>
        <v/>
      </c>
      <c r="Q16" s="145"/>
      <c r="R16" s="145"/>
      <c r="S16" s="259"/>
      <c r="T16" s="2"/>
      <c r="U16" s="256">
        <v>12</v>
      </c>
      <c r="V16" s="16">
        <f t="shared" si="0"/>
        <v>-3.2003990000000013</v>
      </c>
      <c r="W16" s="16">
        <f t="shared" si="1"/>
        <v>-0.45719900000000047</v>
      </c>
      <c r="X16" s="16">
        <f t="shared" si="2"/>
        <v>10.242553759201009</v>
      </c>
      <c r="Y16" s="16">
        <f t="shared" si="3"/>
        <v>0.20903092560100042</v>
      </c>
      <c r="Z16" s="16">
        <f t="shared" si="4"/>
        <v>1.4632192224010021</v>
      </c>
      <c r="AA16" s="17">
        <f t="shared" si="5"/>
        <v>-0.45720000000000049</v>
      </c>
      <c r="AB16" s="17">
        <f t="shared" si="6"/>
        <v>-3.2004000000000015</v>
      </c>
      <c r="AC16" s="18">
        <f t="shared" si="7"/>
        <v>348.89339381610569</v>
      </c>
      <c r="AD16" s="18">
        <f t="shared" si="8"/>
        <v>8.0191462528234894</v>
      </c>
      <c r="AG16" s="2"/>
      <c r="AH16" s="2"/>
      <c r="AI16" s="2"/>
      <c r="AJ16" s="2"/>
      <c r="AK16" s="2"/>
      <c r="AL16" s="2"/>
      <c r="AM16" s="2"/>
      <c r="AN16" s="2"/>
      <c r="AO16" s="2"/>
      <c r="AP16" s="2"/>
      <c r="AQ16" s="2"/>
      <c r="AU16" s="262" t="str">
        <f t="shared" si="15"/>
        <v>#4:</v>
      </c>
      <c r="AV16" s="217">
        <f t="shared" si="16"/>
        <v>0</v>
      </c>
      <c r="AW16" s="229">
        <f t="shared" si="17"/>
        <v>9.0000002880000007</v>
      </c>
      <c r="AX16" s="262" t="str">
        <f t="shared" si="18"/>
        <v/>
      </c>
      <c r="AY16" s="217" t="str">
        <f t="shared" si="19"/>
        <v/>
      </c>
      <c r="AZ16" s="229" t="str">
        <f t="shared" si="20"/>
        <v/>
      </c>
      <c r="BA16" s="262" t="str">
        <f t="shared" si="21"/>
        <v/>
      </c>
      <c r="BB16" s="217" t="str">
        <f t="shared" si="22"/>
        <v/>
      </c>
      <c r="BC16" s="229" t="str">
        <f t="shared" si="23"/>
        <v/>
      </c>
      <c r="BD16" s="262" t="str">
        <f t="shared" si="24"/>
        <v/>
      </c>
      <c r="BE16" s="217" t="str">
        <f t="shared" si="25"/>
        <v/>
      </c>
      <c r="BF16" s="229" t="str">
        <f t="shared" si="26"/>
        <v/>
      </c>
      <c r="BG16" s="262" t="str">
        <f t="shared" si="27"/>
        <v/>
      </c>
      <c r="BH16" s="217" t="str">
        <f t="shared" si="28"/>
        <v/>
      </c>
      <c r="BI16" s="229" t="str">
        <f t="shared" si="29"/>
        <v/>
      </c>
      <c r="BJ16" s="262" t="str">
        <f t="shared" si="30"/>
        <v/>
      </c>
      <c r="BK16" s="217" t="str">
        <f t="shared" si="31"/>
        <v/>
      </c>
      <c r="BL16" s="229" t="str">
        <f t="shared" si="32"/>
        <v/>
      </c>
    </row>
    <row r="17" spans="1:64" x14ac:dyDescent="0.25">
      <c r="A17" s="260" t="str">
        <f t="shared" si="9"/>
        <v>#5:</v>
      </c>
      <c r="B17" s="145">
        <v>0</v>
      </c>
      <c r="C17" s="145">
        <v>3.6576000000000004</v>
      </c>
      <c r="D17" s="260" t="str">
        <f t="shared" si="10"/>
        <v/>
      </c>
      <c r="E17" s="145"/>
      <c r="F17" s="145"/>
      <c r="G17" s="260" t="str">
        <f t="shared" si="11"/>
        <v/>
      </c>
      <c r="H17" s="145"/>
      <c r="I17" s="145"/>
      <c r="J17" s="261" t="str">
        <f t="shared" si="12"/>
        <v/>
      </c>
      <c r="K17" s="145"/>
      <c r="L17" s="145"/>
      <c r="M17" s="260" t="str">
        <f t="shared" si="13"/>
        <v/>
      </c>
      <c r="N17" s="145"/>
      <c r="O17" s="145"/>
      <c r="P17" s="260" t="str">
        <f t="shared" si="14"/>
        <v/>
      </c>
      <c r="Q17" s="145"/>
      <c r="R17" s="145"/>
      <c r="S17" s="259"/>
      <c r="T17" s="2"/>
      <c r="U17" s="256">
        <v>13</v>
      </c>
      <c r="V17" s="16">
        <f t="shared" si="0"/>
        <v>-2.2859990000000012</v>
      </c>
      <c r="W17" s="16">
        <f t="shared" si="1"/>
        <v>-0.45719900000000047</v>
      </c>
      <c r="X17" s="16">
        <f t="shared" si="2"/>
        <v>5.2257914280010054</v>
      </c>
      <c r="Y17" s="16">
        <f t="shared" si="3"/>
        <v>0.20903092560100042</v>
      </c>
      <c r="Z17" s="16">
        <f t="shared" si="4"/>
        <v>1.0451564568010017</v>
      </c>
      <c r="AA17" s="17">
        <f t="shared" si="5"/>
        <v>-0.45720000000000049</v>
      </c>
      <c r="AB17" s="17">
        <f t="shared" si="6"/>
        <v>-2.2860000000000014</v>
      </c>
      <c r="AC17" s="18">
        <f t="shared" si="7"/>
        <v>346.6468138431481</v>
      </c>
      <c r="AD17" s="18">
        <f t="shared" si="8"/>
        <v>8.0191462528234894</v>
      </c>
      <c r="AG17" s="2"/>
      <c r="AH17" s="2"/>
      <c r="AI17" s="2"/>
      <c r="AJ17" s="2"/>
      <c r="AK17" s="2"/>
      <c r="AL17" s="2"/>
      <c r="AM17" s="2"/>
      <c r="AN17" s="2"/>
      <c r="AO17" s="2"/>
      <c r="AP17" s="2"/>
      <c r="AQ17" s="2"/>
      <c r="AU17" s="262" t="str">
        <f t="shared" si="15"/>
        <v>#5:</v>
      </c>
      <c r="AV17" s="217">
        <f t="shared" si="16"/>
        <v>0</v>
      </c>
      <c r="AW17" s="229">
        <f t="shared" si="17"/>
        <v>12.000000384000002</v>
      </c>
      <c r="AX17" s="262" t="str">
        <f t="shared" si="18"/>
        <v/>
      </c>
      <c r="AY17" s="217" t="str">
        <f t="shared" si="19"/>
        <v/>
      </c>
      <c r="AZ17" s="229" t="str">
        <f t="shared" si="20"/>
        <v/>
      </c>
      <c r="BA17" s="262" t="str">
        <f t="shared" si="21"/>
        <v/>
      </c>
      <c r="BB17" s="217" t="str">
        <f t="shared" si="22"/>
        <v/>
      </c>
      <c r="BC17" s="229" t="str">
        <f t="shared" si="23"/>
        <v/>
      </c>
      <c r="BD17" s="262" t="str">
        <f t="shared" si="24"/>
        <v/>
      </c>
      <c r="BE17" s="217" t="str">
        <f t="shared" si="25"/>
        <v/>
      </c>
      <c r="BF17" s="229" t="str">
        <f t="shared" si="26"/>
        <v/>
      </c>
      <c r="BG17" s="262" t="str">
        <f t="shared" si="27"/>
        <v/>
      </c>
      <c r="BH17" s="217" t="str">
        <f t="shared" si="28"/>
        <v/>
      </c>
      <c r="BI17" s="229" t="str">
        <f t="shared" si="29"/>
        <v/>
      </c>
      <c r="BJ17" s="262" t="str">
        <f t="shared" si="30"/>
        <v/>
      </c>
      <c r="BK17" s="217" t="str">
        <f t="shared" si="31"/>
        <v/>
      </c>
      <c r="BL17" s="229" t="str">
        <f t="shared" si="32"/>
        <v/>
      </c>
    </row>
    <row r="18" spans="1:64" x14ac:dyDescent="0.25">
      <c r="A18" s="260" t="str">
        <f t="shared" si="9"/>
        <v>#6:</v>
      </c>
      <c r="B18" s="145">
        <v>0</v>
      </c>
      <c r="C18" s="145">
        <v>4.5720000000000001</v>
      </c>
      <c r="D18" s="260" t="str">
        <f t="shared" si="10"/>
        <v/>
      </c>
      <c r="E18" s="145"/>
      <c r="F18" s="145"/>
      <c r="G18" s="260" t="str">
        <f t="shared" si="11"/>
        <v/>
      </c>
      <c r="H18" s="145"/>
      <c r="I18" s="145"/>
      <c r="J18" s="261" t="str">
        <f t="shared" si="12"/>
        <v/>
      </c>
      <c r="K18" s="145"/>
      <c r="L18" s="145"/>
      <c r="M18" s="260" t="str">
        <f t="shared" si="13"/>
        <v/>
      </c>
      <c r="N18" s="145"/>
      <c r="O18" s="145"/>
      <c r="P18" s="260" t="str">
        <f t="shared" si="14"/>
        <v/>
      </c>
      <c r="Q18" s="145"/>
      <c r="R18" s="145"/>
      <c r="S18" s="259"/>
      <c r="T18" s="2"/>
      <c r="U18" s="256">
        <v>14</v>
      </c>
      <c r="V18" s="16">
        <f t="shared" si="0"/>
        <v>-1.3715990000000011</v>
      </c>
      <c r="W18" s="16">
        <f t="shared" si="1"/>
        <v>-0.45719900000000047</v>
      </c>
      <c r="X18" s="16">
        <f t="shared" si="2"/>
        <v>1.8812838168010031</v>
      </c>
      <c r="Y18" s="16">
        <f t="shared" si="3"/>
        <v>0.20903092560100042</v>
      </c>
      <c r="Z18" s="16">
        <f t="shared" si="4"/>
        <v>0.62709369120100111</v>
      </c>
      <c r="AA18" s="17">
        <f t="shared" si="5"/>
        <v>-0.45720000000000049</v>
      </c>
      <c r="AB18" s="17">
        <f t="shared" si="6"/>
        <v>-1.3716000000000013</v>
      </c>
      <c r="AC18" s="18">
        <f t="shared" si="7"/>
        <v>344.4002338701905</v>
      </c>
      <c r="AD18" s="18">
        <f t="shared" si="8"/>
        <v>8.0191462528234894</v>
      </c>
      <c r="AG18" s="2"/>
      <c r="AH18" s="2"/>
      <c r="AI18" s="2"/>
      <c r="AJ18" s="2"/>
      <c r="AK18" s="2"/>
      <c r="AL18" s="2"/>
      <c r="AM18" s="2"/>
      <c r="AN18" s="2"/>
      <c r="AO18" s="2"/>
      <c r="AP18" s="2"/>
      <c r="AQ18" s="2"/>
      <c r="AU18" s="262" t="str">
        <f t="shared" si="15"/>
        <v>#6:</v>
      </c>
      <c r="AV18" s="217">
        <f t="shared" si="16"/>
        <v>0</v>
      </c>
      <c r="AW18" s="229">
        <f t="shared" si="17"/>
        <v>15.000000480000001</v>
      </c>
      <c r="AX18" s="262" t="str">
        <f t="shared" si="18"/>
        <v/>
      </c>
      <c r="AY18" s="217" t="str">
        <f t="shared" si="19"/>
        <v/>
      </c>
      <c r="AZ18" s="229" t="str">
        <f t="shared" si="20"/>
        <v/>
      </c>
      <c r="BA18" s="262" t="str">
        <f t="shared" si="21"/>
        <v/>
      </c>
      <c r="BB18" s="217" t="str">
        <f t="shared" si="22"/>
        <v/>
      </c>
      <c r="BC18" s="229" t="str">
        <f t="shared" si="23"/>
        <v/>
      </c>
      <c r="BD18" s="262" t="str">
        <f t="shared" si="24"/>
        <v/>
      </c>
      <c r="BE18" s="217" t="str">
        <f t="shared" si="25"/>
        <v/>
      </c>
      <c r="BF18" s="229" t="str">
        <f t="shared" si="26"/>
        <v/>
      </c>
      <c r="BG18" s="262" t="str">
        <f t="shared" si="27"/>
        <v/>
      </c>
      <c r="BH18" s="217" t="str">
        <f t="shared" si="28"/>
        <v/>
      </c>
      <c r="BI18" s="229" t="str">
        <f t="shared" si="29"/>
        <v/>
      </c>
      <c r="BJ18" s="262" t="str">
        <f t="shared" si="30"/>
        <v/>
      </c>
      <c r="BK18" s="217" t="str">
        <f t="shared" si="31"/>
        <v/>
      </c>
      <c r="BL18" s="229" t="str">
        <f t="shared" si="32"/>
        <v/>
      </c>
    </row>
    <row r="19" spans="1:64" x14ac:dyDescent="0.25">
      <c r="A19" s="260" t="str">
        <f t="shared" si="9"/>
        <v>#7:</v>
      </c>
      <c r="B19" s="145">
        <v>0</v>
      </c>
      <c r="C19" s="145">
        <v>5.4864000000000006</v>
      </c>
      <c r="D19" s="260" t="str">
        <f t="shared" si="10"/>
        <v/>
      </c>
      <c r="E19" s="145"/>
      <c r="F19" s="145"/>
      <c r="G19" s="260" t="str">
        <f t="shared" si="11"/>
        <v/>
      </c>
      <c r="H19" s="145"/>
      <c r="I19" s="145"/>
      <c r="J19" s="261" t="str">
        <f t="shared" si="12"/>
        <v/>
      </c>
      <c r="K19" s="145"/>
      <c r="L19" s="145"/>
      <c r="M19" s="260" t="str">
        <f t="shared" si="13"/>
        <v/>
      </c>
      <c r="N19" s="145"/>
      <c r="O19" s="145"/>
      <c r="P19" s="260" t="str">
        <f t="shared" si="14"/>
        <v/>
      </c>
      <c r="Q19" s="145"/>
      <c r="R19" s="145"/>
      <c r="S19" s="259"/>
      <c r="T19" s="2"/>
      <c r="U19" s="256">
        <v>15</v>
      </c>
      <c r="V19" s="16">
        <f t="shared" si="0"/>
        <v>-0.45719900000000102</v>
      </c>
      <c r="W19" s="16">
        <f t="shared" si="1"/>
        <v>-0.45719900000000047</v>
      </c>
      <c r="X19" s="16">
        <f t="shared" si="2"/>
        <v>0.20903092560100092</v>
      </c>
      <c r="Y19" s="16">
        <f t="shared" si="3"/>
        <v>0.20903092560100042</v>
      </c>
      <c r="Z19" s="16">
        <f t="shared" si="4"/>
        <v>0.20903092560100067</v>
      </c>
      <c r="AA19" s="17">
        <f t="shared" si="5"/>
        <v>-0.45720000000000049</v>
      </c>
      <c r="AB19" s="17">
        <f t="shared" si="6"/>
        <v>-0.45720000000000116</v>
      </c>
      <c r="AC19" s="18">
        <f t="shared" si="7"/>
        <v>342.15365389723291</v>
      </c>
      <c r="AD19" s="18">
        <f t="shared" si="8"/>
        <v>8.0191462528234894</v>
      </c>
      <c r="AG19" s="2"/>
      <c r="AH19" s="2"/>
      <c r="AI19" s="2"/>
      <c r="AJ19" s="2"/>
      <c r="AK19" s="2"/>
      <c r="AL19" s="2"/>
      <c r="AM19" s="2"/>
      <c r="AN19" s="2"/>
      <c r="AO19" s="2"/>
      <c r="AP19" s="2"/>
      <c r="AQ19" s="2"/>
      <c r="AU19" s="262" t="str">
        <f t="shared" si="15"/>
        <v>#7:</v>
      </c>
      <c r="AV19" s="217">
        <f t="shared" si="16"/>
        <v>0</v>
      </c>
      <c r="AW19" s="229">
        <f t="shared" si="17"/>
        <v>18.000000576000001</v>
      </c>
      <c r="AX19" s="262" t="str">
        <f t="shared" si="18"/>
        <v/>
      </c>
      <c r="AY19" s="217" t="str">
        <f t="shared" si="19"/>
        <v/>
      </c>
      <c r="AZ19" s="229" t="str">
        <f t="shared" si="20"/>
        <v/>
      </c>
      <c r="BA19" s="262" t="str">
        <f t="shared" si="21"/>
        <v/>
      </c>
      <c r="BB19" s="217" t="str">
        <f t="shared" si="22"/>
        <v/>
      </c>
      <c r="BC19" s="229" t="str">
        <f t="shared" si="23"/>
        <v/>
      </c>
      <c r="BD19" s="262" t="str">
        <f t="shared" si="24"/>
        <v/>
      </c>
      <c r="BE19" s="217" t="str">
        <f t="shared" si="25"/>
        <v/>
      </c>
      <c r="BF19" s="229" t="str">
        <f t="shared" si="26"/>
        <v/>
      </c>
      <c r="BG19" s="262" t="str">
        <f t="shared" si="27"/>
        <v/>
      </c>
      <c r="BH19" s="217" t="str">
        <f t="shared" si="28"/>
        <v/>
      </c>
      <c r="BI19" s="229" t="str">
        <f t="shared" si="29"/>
        <v/>
      </c>
      <c r="BJ19" s="262" t="str">
        <f t="shared" si="30"/>
        <v/>
      </c>
      <c r="BK19" s="217" t="str">
        <f t="shared" si="31"/>
        <v/>
      </c>
      <c r="BL19" s="229" t="str">
        <f t="shared" si="32"/>
        <v/>
      </c>
    </row>
    <row r="20" spans="1:64" x14ac:dyDescent="0.25">
      <c r="A20" s="260" t="str">
        <f t="shared" si="9"/>
        <v>#8:</v>
      </c>
      <c r="B20" s="145">
        <v>0</v>
      </c>
      <c r="C20" s="145">
        <v>6.4008000000000003</v>
      </c>
      <c r="D20" s="260" t="str">
        <f t="shared" si="10"/>
        <v/>
      </c>
      <c r="E20" s="145"/>
      <c r="F20" s="145"/>
      <c r="G20" s="260" t="str">
        <f t="shared" si="11"/>
        <v/>
      </c>
      <c r="H20" s="145"/>
      <c r="I20" s="145"/>
      <c r="J20" s="261" t="str">
        <f t="shared" si="12"/>
        <v/>
      </c>
      <c r="K20" s="145"/>
      <c r="L20" s="145"/>
      <c r="M20" s="260" t="str">
        <f t="shared" si="13"/>
        <v/>
      </c>
      <c r="N20" s="145"/>
      <c r="O20" s="145"/>
      <c r="P20" s="260" t="str">
        <f t="shared" si="14"/>
        <v/>
      </c>
      <c r="Q20" s="145"/>
      <c r="R20" s="145"/>
      <c r="S20" s="259"/>
      <c r="T20" s="2"/>
      <c r="U20" s="256">
        <v>16</v>
      </c>
      <c r="V20" s="16">
        <f t="shared" si="0"/>
        <v>0.45720099999999864</v>
      </c>
      <c r="W20" s="16">
        <f t="shared" si="1"/>
        <v>-0.45719900000000047</v>
      </c>
      <c r="X20" s="16">
        <f t="shared" si="2"/>
        <v>0.20903275440099875</v>
      </c>
      <c r="Y20" s="16">
        <f t="shared" si="3"/>
        <v>0.20903092560100042</v>
      </c>
      <c r="Z20" s="16">
        <f t="shared" si="4"/>
        <v>-0.2090318399989996</v>
      </c>
      <c r="AA20" s="17">
        <f t="shared" si="5"/>
        <v>-0.45720000000000049</v>
      </c>
      <c r="AB20" s="17">
        <f t="shared" si="6"/>
        <v>0.4571999999999985</v>
      </c>
      <c r="AC20" s="18">
        <f t="shared" si="7"/>
        <v>339.90707392427527</v>
      </c>
      <c r="AD20" s="18">
        <f t="shared" si="8"/>
        <v>8.0191462528234894</v>
      </c>
      <c r="AG20" s="2"/>
      <c r="AH20" s="2"/>
      <c r="AI20" s="2"/>
      <c r="AJ20" s="2"/>
      <c r="AK20" s="2"/>
      <c r="AL20" s="2"/>
      <c r="AM20" s="2"/>
      <c r="AN20" s="2"/>
      <c r="AO20" s="2"/>
      <c r="AP20" s="2"/>
      <c r="AQ20" s="2"/>
      <c r="AU20" s="262" t="str">
        <f t="shared" si="15"/>
        <v>#8:</v>
      </c>
      <c r="AV20" s="217">
        <f t="shared" si="16"/>
        <v>0</v>
      </c>
      <c r="AW20" s="229">
        <f t="shared" si="17"/>
        <v>21.000000672000002</v>
      </c>
      <c r="AX20" s="262" t="str">
        <f t="shared" si="18"/>
        <v/>
      </c>
      <c r="AY20" s="217" t="str">
        <f t="shared" si="19"/>
        <v/>
      </c>
      <c r="AZ20" s="229" t="str">
        <f t="shared" si="20"/>
        <v/>
      </c>
      <c r="BA20" s="262" t="str">
        <f t="shared" si="21"/>
        <v/>
      </c>
      <c r="BB20" s="217" t="str">
        <f t="shared" si="22"/>
        <v/>
      </c>
      <c r="BC20" s="229" t="str">
        <f t="shared" si="23"/>
        <v/>
      </c>
      <c r="BD20" s="262" t="str">
        <f t="shared" si="24"/>
        <v/>
      </c>
      <c r="BE20" s="217" t="str">
        <f t="shared" si="25"/>
        <v/>
      </c>
      <c r="BF20" s="229" t="str">
        <f t="shared" si="26"/>
        <v/>
      </c>
      <c r="BG20" s="262" t="str">
        <f t="shared" si="27"/>
        <v/>
      </c>
      <c r="BH20" s="217" t="str">
        <f t="shared" si="28"/>
        <v/>
      </c>
      <c r="BI20" s="229" t="str">
        <f t="shared" si="29"/>
        <v/>
      </c>
      <c r="BJ20" s="262" t="str">
        <f t="shared" si="30"/>
        <v/>
      </c>
      <c r="BK20" s="217" t="str">
        <f t="shared" si="31"/>
        <v/>
      </c>
      <c r="BL20" s="229" t="str">
        <f t="shared" si="32"/>
        <v/>
      </c>
    </row>
    <row r="21" spans="1:64" x14ac:dyDescent="0.25">
      <c r="A21" s="260" t="str">
        <f t="shared" si="9"/>
        <v>#9:</v>
      </c>
      <c r="B21" s="145">
        <v>0</v>
      </c>
      <c r="C21" s="145">
        <v>7.3152000000000008</v>
      </c>
      <c r="D21" s="260" t="str">
        <f t="shared" si="10"/>
        <v/>
      </c>
      <c r="E21" s="145"/>
      <c r="F21" s="145"/>
      <c r="G21" s="260" t="str">
        <f t="shared" si="11"/>
        <v/>
      </c>
      <c r="H21" s="145"/>
      <c r="I21" s="145"/>
      <c r="J21" s="261" t="str">
        <f t="shared" si="12"/>
        <v/>
      </c>
      <c r="K21" s="145"/>
      <c r="L21" s="145"/>
      <c r="M21" s="260" t="str">
        <f t="shared" si="13"/>
        <v/>
      </c>
      <c r="N21" s="145"/>
      <c r="O21" s="145"/>
      <c r="P21" s="260" t="str">
        <f t="shared" si="14"/>
        <v/>
      </c>
      <c r="Q21" s="145"/>
      <c r="R21" s="145"/>
      <c r="S21" s="259"/>
      <c r="T21" s="2"/>
      <c r="U21" s="256">
        <v>17</v>
      </c>
      <c r="V21" s="16">
        <f t="shared" si="0"/>
        <v>1.3716009999999992</v>
      </c>
      <c r="W21" s="16">
        <f t="shared" si="1"/>
        <v>-0.45719900000000047</v>
      </c>
      <c r="X21" s="16">
        <f t="shared" si="2"/>
        <v>1.8812893032009979</v>
      </c>
      <c r="Y21" s="16">
        <f t="shared" si="3"/>
        <v>0.20903092560100042</v>
      </c>
      <c r="Z21" s="16">
        <f t="shared" si="4"/>
        <v>-0.62709460559900021</v>
      </c>
      <c r="AA21" s="17">
        <f t="shared" si="5"/>
        <v>-0.45720000000000049</v>
      </c>
      <c r="AB21" s="17">
        <f t="shared" si="6"/>
        <v>1.371599999999999</v>
      </c>
      <c r="AC21" s="18">
        <f t="shared" si="7"/>
        <v>337.66049395131768</v>
      </c>
      <c r="AD21" s="18">
        <f t="shared" si="8"/>
        <v>8.0191462528234894</v>
      </c>
      <c r="AG21" s="2"/>
      <c r="AH21" s="2"/>
      <c r="AI21" s="2"/>
      <c r="AJ21" s="2"/>
      <c r="AK21" s="2"/>
      <c r="AL21" s="2"/>
      <c r="AM21" s="2"/>
      <c r="AN21" s="2"/>
      <c r="AO21" s="2"/>
      <c r="AP21" s="2"/>
      <c r="AQ21" s="2"/>
      <c r="AU21" s="262" t="str">
        <f t="shared" si="15"/>
        <v>#9:</v>
      </c>
      <c r="AV21" s="217">
        <f t="shared" si="16"/>
        <v>0</v>
      </c>
      <c r="AW21" s="229">
        <f t="shared" si="17"/>
        <v>24.000000768000003</v>
      </c>
      <c r="AX21" s="262" t="str">
        <f t="shared" si="18"/>
        <v/>
      </c>
      <c r="AY21" s="217" t="str">
        <f t="shared" si="19"/>
        <v/>
      </c>
      <c r="AZ21" s="229" t="str">
        <f t="shared" si="20"/>
        <v/>
      </c>
      <c r="BA21" s="262" t="str">
        <f t="shared" si="21"/>
        <v/>
      </c>
      <c r="BB21" s="217" t="str">
        <f t="shared" si="22"/>
        <v/>
      </c>
      <c r="BC21" s="229" t="str">
        <f t="shared" si="23"/>
        <v/>
      </c>
      <c r="BD21" s="262" t="str">
        <f t="shared" si="24"/>
        <v/>
      </c>
      <c r="BE21" s="217" t="str">
        <f t="shared" si="25"/>
        <v/>
      </c>
      <c r="BF21" s="229" t="str">
        <f t="shared" si="26"/>
        <v/>
      </c>
      <c r="BG21" s="262" t="str">
        <f t="shared" si="27"/>
        <v/>
      </c>
      <c r="BH21" s="217" t="str">
        <f t="shared" si="28"/>
        <v/>
      </c>
      <c r="BI21" s="229" t="str">
        <f t="shared" si="29"/>
        <v/>
      </c>
      <c r="BJ21" s="262" t="str">
        <f t="shared" si="30"/>
        <v/>
      </c>
      <c r="BK21" s="217" t="str">
        <f t="shared" si="31"/>
        <v/>
      </c>
      <c r="BL21" s="229" t="str">
        <f t="shared" si="32"/>
        <v/>
      </c>
    </row>
    <row r="22" spans="1:64" x14ac:dyDescent="0.25">
      <c r="A22" s="260" t="str">
        <f t="shared" si="9"/>
        <v>#10:</v>
      </c>
      <c r="B22" s="145">
        <v>0</v>
      </c>
      <c r="C22" s="145">
        <v>8.2295999999999996</v>
      </c>
      <c r="D22" s="260" t="str">
        <f t="shared" si="10"/>
        <v/>
      </c>
      <c r="E22" s="145"/>
      <c r="F22" s="145"/>
      <c r="G22" s="260" t="str">
        <f t="shared" si="11"/>
        <v/>
      </c>
      <c r="H22" s="145"/>
      <c r="I22" s="145"/>
      <c r="J22" s="261" t="str">
        <f t="shared" si="12"/>
        <v/>
      </c>
      <c r="K22" s="145"/>
      <c r="L22" s="145"/>
      <c r="M22" s="260" t="str">
        <f t="shared" si="13"/>
        <v/>
      </c>
      <c r="N22" s="145"/>
      <c r="O22" s="145"/>
      <c r="P22" s="260" t="str">
        <f t="shared" si="14"/>
        <v/>
      </c>
      <c r="Q22" s="145"/>
      <c r="R22" s="145"/>
      <c r="S22" s="259"/>
      <c r="T22" s="2"/>
      <c r="U22" s="256">
        <v>18</v>
      </c>
      <c r="V22" s="16">
        <f t="shared" si="0"/>
        <v>2.2860009999999988</v>
      </c>
      <c r="W22" s="16">
        <f t="shared" si="1"/>
        <v>-0.45719900000000047</v>
      </c>
      <c r="X22" s="16">
        <f t="shared" si="2"/>
        <v>5.2258005720009946</v>
      </c>
      <c r="Y22" s="16">
        <f t="shared" si="3"/>
        <v>0.20903092560100042</v>
      </c>
      <c r="Z22" s="16">
        <f t="shared" si="4"/>
        <v>-1.0451573711990005</v>
      </c>
      <c r="AA22" s="17">
        <f t="shared" si="5"/>
        <v>-0.45720000000000049</v>
      </c>
      <c r="AB22" s="17">
        <f t="shared" si="6"/>
        <v>2.2859999999999987</v>
      </c>
      <c r="AC22" s="18">
        <f t="shared" si="7"/>
        <v>335.41391397836009</v>
      </c>
      <c r="AD22" s="18">
        <f t="shared" si="8"/>
        <v>8.0191462528234894</v>
      </c>
      <c r="AG22" s="2"/>
      <c r="AH22" s="2"/>
      <c r="AI22" s="2"/>
      <c r="AJ22" s="2"/>
      <c r="AK22" s="2"/>
      <c r="AL22" s="2"/>
      <c r="AM22" s="2"/>
      <c r="AN22" s="2"/>
      <c r="AO22" s="2"/>
      <c r="AP22" s="2"/>
      <c r="AQ22" s="2"/>
      <c r="AU22" s="262" t="str">
        <f t="shared" si="15"/>
        <v>#10:</v>
      </c>
      <c r="AV22" s="217">
        <f t="shared" si="16"/>
        <v>0</v>
      </c>
      <c r="AW22" s="229">
        <f t="shared" si="17"/>
        <v>27.000000863999997</v>
      </c>
      <c r="AX22" s="262" t="str">
        <f t="shared" si="18"/>
        <v/>
      </c>
      <c r="AY22" s="217" t="str">
        <f t="shared" si="19"/>
        <v/>
      </c>
      <c r="AZ22" s="229" t="str">
        <f t="shared" si="20"/>
        <v/>
      </c>
      <c r="BA22" s="262" t="str">
        <f t="shared" si="21"/>
        <v/>
      </c>
      <c r="BB22" s="217" t="str">
        <f t="shared" si="22"/>
        <v/>
      </c>
      <c r="BC22" s="229" t="str">
        <f t="shared" si="23"/>
        <v/>
      </c>
      <c r="BD22" s="262" t="str">
        <f t="shared" si="24"/>
        <v/>
      </c>
      <c r="BE22" s="217" t="str">
        <f t="shared" si="25"/>
        <v/>
      </c>
      <c r="BF22" s="229" t="str">
        <f t="shared" si="26"/>
        <v/>
      </c>
      <c r="BG22" s="262" t="str">
        <f t="shared" si="27"/>
        <v/>
      </c>
      <c r="BH22" s="217" t="str">
        <f t="shared" si="28"/>
        <v/>
      </c>
      <c r="BI22" s="229" t="str">
        <f t="shared" si="29"/>
        <v/>
      </c>
      <c r="BJ22" s="262" t="str">
        <f t="shared" si="30"/>
        <v/>
      </c>
      <c r="BK22" s="217" t="str">
        <f t="shared" si="31"/>
        <v/>
      </c>
      <c r="BL22" s="229" t="str">
        <f t="shared" si="32"/>
        <v/>
      </c>
    </row>
    <row r="23" spans="1:64" x14ac:dyDescent="0.25">
      <c r="A23" s="260" t="str">
        <f t="shared" si="9"/>
        <v>#11:</v>
      </c>
      <c r="B23" s="145">
        <v>0.9144000000000001</v>
      </c>
      <c r="C23" s="145">
        <v>0</v>
      </c>
      <c r="D23" s="260" t="str">
        <f t="shared" si="10"/>
        <v/>
      </c>
      <c r="E23" s="145"/>
      <c r="F23" s="145"/>
      <c r="G23" s="260" t="str">
        <f t="shared" si="11"/>
        <v/>
      </c>
      <c r="H23" s="145"/>
      <c r="I23" s="145"/>
      <c r="J23" s="261" t="str">
        <f t="shared" si="12"/>
        <v/>
      </c>
      <c r="K23" s="145"/>
      <c r="L23" s="145"/>
      <c r="M23" s="260" t="str">
        <f t="shared" si="13"/>
        <v/>
      </c>
      <c r="N23" s="145"/>
      <c r="O23" s="145"/>
      <c r="P23" s="260" t="str">
        <f t="shared" si="14"/>
        <v/>
      </c>
      <c r="Q23" s="145"/>
      <c r="R23" s="145"/>
      <c r="S23" s="259"/>
      <c r="T23" s="2"/>
      <c r="U23" s="256">
        <v>19</v>
      </c>
      <c r="V23" s="16">
        <f t="shared" si="0"/>
        <v>3.2004009999999994</v>
      </c>
      <c r="W23" s="16">
        <f t="shared" si="1"/>
        <v>-0.45719900000000047</v>
      </c>
      <c r="X23" s="16">
        <f t="shared" si="2"/>
        <v>10.242566560800997</v>
      </c>
      <c r="Y23" s="16">
        <f t="shared" si="3"/>
        <v>0.20903092560100042</v>
      </c>
      <c r="Z23" s="16">
        <f t="shared" si="4"/>
        <v>-1.4632201367990012</v>
      </c>
      <c r="AA23" s="17">
        <f t="shared" si="5"/>
        <v>-0.45720000000000049</v>
      </c>
      <c r="AB23" s="17">
        <f t="shared" si="6"/>
        <v>3.2003999999999992</v>
      </c>
      <c r="AC23" s="18">
        <f t="shared" si="7"/>
        <v>333.16733400540249</v>
      </c>
      <c r="AD23" s="18">
        <f t="shared" si="8"/>
        <v>8.0191462528234894</v>
      </c>
      <c r="AG23" s="2"/>
      <c r="AH23" s="2"/>
      <c r="AI23" s="2"/>
      <c r="AJ23" s="2"/>
      <c r="AK23" s="2"/>
      <c r="AL23" s="2"/>
      <c r="AM23" s="2"/>
      <c r="AN23" s="2"/>
      <c r="AO23" s="2"/>
      <c r="AP23" s="2"/>
      <c r="AQ23" s="2"/>
      <c r="AU23" s="262" t="str">
        <f t="shared" si="15"/>
        <v>#11:</v>
      </c>
      <c r="AV23" s="217">
        <f t="shared" si="16"/>
        <v>3.0000000960000004</v>
      </c>
      <c r="AW23" s="229">
        <f t="shared" si="17"/>
        <v>0</v>
      </c>
      <c r="AX23" s="262" t="str">
        <f t="shared" si="18"/>
        <v/>
      </c>
      <c r="AY23" s="217" t="str">
        <f t="shared" si="19"/>
        <v/>
      </c>
      <c r="AZ23" s="229" t="str">
        <f t="shared" si="20"/>
        <v/>
      </c>
      <c r="BA23" s="262" t="str">
        <f t="shared" si="21"/>
        <v/>
      </c>
      <c r="BB23" s="217" t="str">
        <f t="shared" si="22"/>
        <v/>
      </c>
      <c r="BC23" s="229" t="str">
        <f t="shared" si="23"/>
        <v/>
      </c>
      <c r="BD23" s="262" t="str">
        <f t="shared" si="24"/>
        <v/>
      </c>
      <c r="BE23" s="217" t="str">
        <f t="shared" si="25"/>
        <v/>
      </c>
      <c r="BF23" s="229" t="str">
        <f t="shared" si="26"/>
        <v/>
      </c>
      <c r="BG23" s="262" t="str">
        <f t="shared" si="27"/>
        <v/>
      </c>
      <c r="BH23" s="217" t="str">
        <f t="shared" si="28"/>
        <v/>
      </c>
      <c r="BI23" s="229" t="str">
        <f t="shared" si="29"/>
        <v/>
      </c>
      <c r="BJ23" s="262" t="str">
        <f t="shared" si="30"/>
        <v/>
      </c>
      <c r="BK23" s="217" t="str">
        <f t="shared" si="31"/>
        <v/>
      </c>
      <c r="BL23" s="229" t="str">
        <f t="shared" si="32"/>
        <v/>
      </c>
    </row>
    <row r="24" spans="1:64" x14ac:dyDescent="0.25">
      <c r="A24" s="260" t="str">
        <f t="shared" si="9"/>
        <v>#12:</v>
      </c>
      <c r="B24" s="145">
        <v>0.9144000000000001</v>
      </c>
      <c r="C24" s="145">
        <v>0.9144000000000001</v>
      </c>
      <c r="D24" s="260" t="str">
        <f t="shared" si="10"/>
        <v/>
      </c>
      <c r="E24" s="145"/>
      <c r="F24" s="145"/>
      <c r="G24" s="260" t="str">
        <f t="shared" si="11"/>
        <v/>
      </c>
      <c r="H24" s="145"/>
      <c r="I24" s="145"/>
      <c r="J24" s="261" t="str">
        <f t="shared" si="12"/>
        <v/>
      </c>
      <c r="K24" s="145"/>
      <c r="L24" s="145"/>
      <c r="M24" s="260" t="str">
        <f t="shared" si="13"/>
        <v/>
      </c>
      <c r="N24" s="145"/>
      <c r="O24" s="145"/>
      <c r="P24" s="260" t="str">
        <f t="shared" si="14"/>
        <v/>
      </c>
      <c r="Q24" s="145"/>
      <c r="R24" s="145"/>
      <c r="S24" s="259"/>
      <c r="T24" s="2"/>
      <c r="U24" s="256">
        <v>20</v>
      </c>
      <c r="V24" s="16">
        <f t="shared" si="0"/>
        <v>4.1148009999999973</v>
      </c>
      <c r="W24" s="16">
        <f t="shared" si="1"/>
        <v>-0.45719900000000047</v>
      </c>
      <c r="X24" s="16">
        <f t="shared" si="2"/>
        <v>16.931587269600978</v>
      </c>
      <c r="Y24" s="16">
        <f t="shared" si="3"/>
        <v>0.20903092560100042</v>
      </c>
      <c r="Z24" s="16">
        <f t="shared" si="4"/>
        <v>-1.8812829023990008</v>
      </c>
      <c r="AA24" s="17">
        <f t="shared" si="5"/>
        <v>-0.45720000000000049</v>
      </c>
      <c r="AB24" s="17">
        <f t="shared" si="6"/>
        <v>4.114799999999998</v>
      </c>
      <c r="AC24" s="18">
        <f t="shared" si="7"/>
        <v>330.9207540324449</v>
      </c>
      <c r="AD24" s="18">
        <f t="shared" si="8"/>
        <v>8.0191462528234894</v>
      </c>
      <c r="AG24" s="2"/>
      <c r="AH24" s="2"/>
      <c r="AI24" s="2"/>
      <c r="AJ24" s="2"/>
      <c r="AK24" s="2"/>
      <c r="AL24" s="2"/>
      <c r="AM24" s="2"/>
      <c r="AN24" s="2"/>
      <c r="AO24" s="2"/>
      <c r="AP24" s="2"/>
      <c r="AQ24" s="2"/>
      <c r="AU24" s="262" t="str">
        <f t="shared" si="15"/>
        <v>#12:</v>
      </c>
      <c r="AV24" s="217">
        <f t="shared" si="16"/>
        <v>3.0000000960000004</v>
      </c>
      <c r="AW24" s="229">
        <f t="shared" si="17"/>
        <v>3.0000000960000004</v>
      </c>
      <c r="AX24" s="262" t="str">
        <f t="shared" si="18"/>
        <v/>
      </c>
      <c r="AY24" s="217" t="str">
        <f t="shared" si="19"/>
        <v/>
      </c>
      <c r="AZ24" s="229" t="str">
        <f t="shared" si="20"/>
        <v/>
      </c>
      <c r="BA24" s="262" t="str">
        <f t="shared" si="21"/>
        <v/>
      </c>
      <c r="BB24" s="217" t="str">
        <f t="shared" si="22"/>
        <v/>
      </c>
      <c r="BC24" s="229" t="str">
        <f t="shared" si="23"/>
        <v/>
      </c>
      <c r="BD24" s="262" t="str">
        <f t="shared" si="24"/>
        <v/>
      </c>
      <c r="BE24" s="217" t="str">
        <f t="shared" si="25"/>
        <v/>
      </c>
      <c r="BF24" s="229" t="str">
        <f t="shared" si="26"/>
        <v/>
      </c>
      <c r="BG24" s="262" t="str">
        <f t="shared" si="27"/>
        <v/>
      </c>
      <c r="BH24" s="217" t="str">
        <f t="shared" si="28"/>
        <v/>
      </c>
      <c r="BI24" s="229" t="str">
        <f t="shared" si="29"/>
        <v/>
      </c>
      <c r="BJ24" s="262" t="str">
        <f t="shared" si="30"/>
        <v/>
      </c>
      <c r="BK24" s="217" t="str">
        <f t="shared" si="31"/>
        <v/>
      </c>
      <c r="BL24" s="229" t="str">
        <f t="shared" si="32"/>
        <v/>
      </c>
    </row>
    <row r="25" spans="1:64" x14ac:dyDescent="0.25">
      <c r="A25" s="260" t="str">
        <f t="shared" si="9"/>
        <v>#13:</v>
      </c>
      <c r="B25" s="145">
        <v>0.9144000000000001</v>
      </c>
      <c r="C25" s="145">
        <v>1.8288000000000002</v>
      </c>
      <c r="D25" s="260" t="str">
        <f t="shared" si="10"/>
        <v/>
      </c>
      <c r="E25" s="145"/>
      <c r="F25" s="145"/>
      <c r="G25" s="260" t="str">
        <f t="shared" si="11"/>
        <v/>
      </c>
      <c r="H25" s="145"/>
      <c r="I25" s="145"/>
      <c r="J25" s="261" t="str">
        <f t="shared" si="12"/>
        <v/>
      </c>
      <c r="K25" s="145"/>
      <c r="L25" s="145"/>
      <c r="M25" s="260" t="str">
        <f t="shared" si="13"/>
        <v/>
      </c>
      <c r="N25" s="145"/>
      <c r="O25" s="145"/>
      <c r="P25" s="260" t="str">
        <f t="shared" si="14"/>
        <v/>
      </c>
      <c r="Q25" s="145"/>
      <c r="R25" s="145"/>
      <c r="S25" s="259"/>
      <c r="T25" s="2"/>
      <c r="U25" s="256">
        <v>21</v>
      </c>
      <c r="V25" s="16">
        <f t="shared" si="0"/>
        <v>-4.1147990000000014</v>
      </c>
      <c r="W25" s="16">
        <f t="shared" si="1"/>
        <v>0.45720099999999952</v>
      </c>
      <c r="X25" s="16">
        <f t="shared" si="2"/>
        <v>16.931570810401013</v>
      </c>
      <c r="Y25" s="16">
        <f t="shared" si="3"/>
        <v>0.20903275440099955</v>
      </c>
      <c r="Z25" s="16">
        <f t="shared" si="4"/>
        <v>-1.8812902175989987</v>
      </c>
      <c r="AA25" s="17">
        <f t="shared" si="5"/>
        <v>0.45719999999999961</v>
      </c>
      <c r="AB25" s="17">
        <f t="shared" si="6"/>
        <v>-4.1148000000000016</v>
      </c>
      <c r="AC25" s="18">
        <f t="shared" si="7"/>
        <v>336.3125459675552</v>
      </c>
      <c r="AD25" s="18">
        <f t="shared" si="8"/>
        <v>8.0191462528234894</v>
      </c>
      <c r="AG25" s="2"/>
      <c r="AH25" s="2"/>
      <c r="AI25" s="2"/>
      <c r="AJ25" s="2"/>
      <c r="AK25" s="2"/>
      <c r="AL25" s="2"/>
      <c r="AM25" s="2"/>
      <c r="AN25" s="2"/>
      <c r="AO25" s="2"/>
      <c r="AP25" s="2"/>
      <c r="AQ25" s="2"/>
      <c r="AU25" s="262" t="str">
        <f t="shared" si="15"/>
        <v>#13:</v>
      </c>
      <c r="AV25" s="217">
        <f t="shared" si="16"/>
        <v>3.0000000960000004</v>
      </c>
      <c r="AW25" s="229">
        <f t="shared" si="17"/>
        <v>6.0000001920000008</v>
      </c>
      <c r="AX25" s="262" t="str">
        <f t="shared" si="18"/>
        <v/>
      </c>
      <c r="AY25" s="217" t="str">
        <f t="shared" si="19"/>
        <v/>
      </c>
      <c r="AZ25" s="229" t="str">
        <f t="shared" si="20"/>
        <v/>
      </c>
      <c r="BA25" s="262" t="str">
        <f t="shared" si="21"/>
        <v/>
      </c>
      <c r="BB25" s="217" t="str">
        <f t="shared" si="22"/>
        <v/>
      </c>
      <c r="BC25" s="229" t="str">
        <f t="shared" si="23"/>
        <v/>
      </c>
      <c r="BD25" s="262" t="str">
        <f t="shared" si="24"/>
        <v/>
      </c>
      <c r="BE25" s="217" t="str">
        <f t="shared" si="25"/>
        <v/>
      </c>
      <c r="BF25" s="229" t="str">
        <f t="shared" si="26"/>
        <v/>
      </c>
      <c r="BG25" s="262" t="str">
        <f t="shared" si="27"/>
        <v/>
      </c>
      <c r="BH25" s="217" t="str">
        <f t="shared" si="28"/>
        <v/>
      </c>
      <c r="BI25" s="229" t="str">
        <f t="shared" si="29"/>
        <v/>
      </c>
      <c r="BJ25" s="262" t="str">
        <f t="shared" si="30"/>
        <v/>
      </c>
      <c r="BK25" s="217" t="str">
        <f t="shared" si="31"/>
        <v/>
      </c>
      <c r="BL25" s="229" t="str">
        <f t="shared" si="32"/>
        <v/>
      </c>
    </row>
    <row r="26" spans="1:64" x14ac:dyDescent="0.25">
      <c r="A26" s="260" t="str">
        <f t="shared" si="9"/>
        <v>#14:</v>
      </c>
      <c r="B26" s="145">
        <v>0.9144000000000001</v>
      </c>
      <c r="C26" s="145">
        <v>2.7432000000000003</v>
      </c>
      <c r="D26" s="260" t="str">
        <f t="shared" si="10"/>
        <v/>
      </c>
      <c r="E26" s="145"/>
      <c r="F26" s="145"/>
      <c r="G26" s="260" t="str">
        <f t="shared" si="11"/>
        <v/>
      </c>
      <c r="H26" s="145"/>
      <c r="I26" s="145"/>
      <c r="J26" s="261" t="str">
        <f t="shared" si="12"/>
        <v/>
      </c>
      <c r="K26" s="145"/>
      <c r="L26" s="145"/>
      <c r="M26" s="260" t="str">
        <f t="shared" si="13"/>
        <v/>
      </c>
      <c r="N26" s="145"/>
      <c r="O26" s="145"/>
      <c r="P26" s="260" t="str">
        <f t="shared" si="14"/>
        <v/>
      </c>
      <c r="Q26" s="145"/>
      <c r="R26" s="145"/>
      <c r="S26" s="259"/>
      <c r="T26" s="2"/>
      <c r="U26" s="256">
        <v>22</v>
      </c>
      <c r="V26" s="16">
        <f t="shared" si="0"/>
        <v>-3.2003990000000013</v>
      </c>
      <c r="W26" s="16">
        <f t="shared" si="1"/>
        <v>0.45720099999999952</v>
      </c>
      <c r="X26" s="16">
        <f t="shared" si="2"/>
        <v>10.242553759201009</v>
      </c>
      <c r="Y26" s="16">
        <f t="shared" si="3"/>
        <v>0.20903275440099955</v>
      </c>
      <c r="Z26" s="16">
        <f t="shared" si="4"/>
        <v>-1.4632256231989991</v>
      </c>
      <c r="AA26" s="17">
        <f t="shared" si="5"/>
        <v>0.45719999999999961</v>
      </c>
      <c r="AB26" s="17">
        <f t="shared" si="6"/>
        <v>-3.2004000000000015</v>
      </c>
      <c r="AC26" s="18">
        <f t="shared" si="7"/>
        <v>334.0659659945976</v>
      </c>
      <c r="AD26" s="18">
        <f t="shared" si="8"/>
        <v>8.0191462528234894</v>
      </c>
      <c r="AG26" s="2"/>
      <c r="AH26" s="2"/>
      <c r="AI26" s="2"/>
      <c r="AJ26" s="2"/>
      <c r="AK26" s="2"/>
      <c r="AL26" s="2"/>
      <c r="AM26" s="2"/>
      <c r="AN26" s="2"/>
      <c r="AO26" s="2"/>
      <c r="AP26" s="2"/>
      <c r="AQ26" s="2"/>
      <c r="AT26" s="2"/>
      <c r="AU26" s="262" t="str">
        <f t="shared" si="15"/>
        <v>#14:</v>
      </c>
      <c r="AV26" s="217">
        <f t="shared" si="16"/>
        <v>3.0000000960000004</v>
      </c>
      <c r="AW26" s="229">
        <f t="shared" si="17"/>
        <v>9.0000002880000007</v>
      </c>
      <c r="AX26" s="262" t="str">
        <f t="shared" si="18"/>
        <v/>
      </c>
      <c r="AY26" s="217" t="str">
        <f t="shared" si="19"/>
        <v/>
      </c>
      <c r="AZ26" s="229" t="str">
        <f t="shared" si="20"/>
        <v/>
      </c>
      <c r="BA26" s="262" t="str">
        <f t="shared" si="21"/>
        <v/>
      </c>
      <c r="BB26" s="217" t="str">
        <f t="shared" si="22"/>
        <v/>
      </c>
      <c r="BC26" s="229" t="str">
        <f t="shared" si="23"/>
        <v/>
      </c>
      <c r="BD26" s="262" t="str">
        <f t="shared" si="24"/>
        <v/>
      </c>
      <c r="BE26" s="217" t="str">
        <f t="shared" si="25"/>
        <v/>
      </c>
      <c r="BF26" s="229" t="str">
        <f t="shared" si="26"/>
        <v/>
      </c>
      <c r="BG26" s="262" t="str">
        <f t="shared" si="27"/>
        <v/>
      </c>
      <c r="BH26" s="217" t="str">
        <f t="shared" si="28"/>
        <v/>
      </c>
      <c r="BI26" s="229" t="str">
        <f t="shared" si="29"/>
        <v/>
      </c>
      <c r="BJ26" s="262" t="str">
        <f t="shared" si="30"/>
        <v/>
      </c>
      <c r="BK26" s="217" t="str">
        <f t="shared" si="31"/>
        <v/>
      </c>
      <c r="BL26" s="229" t="str">
        <f t="shared" si="32"/>
        <v/>
      </c>
    </row>
    <row r="27" spans="1:64" x14ac:dyDescent="0.25">
      <c r="A27" s="260" t="str">
        <f t="shared" si="9"/>
        <v>#15:</v>
      </c>
      <c r="B27" s="145">
        <v>0.9144000000000001</v>
      </c>
      <c r="C27" s="145">
        <v>3.6576000000000004</v>
      </c>
      <c r="D27" s="260" t="str">
        <f t="shared" si="10"/>
        <v/>
      </c>
      <c r="E27" s="145"/>
      <c r="F27" s="145"/>
      <c r="G27" s="260" t="str">
        <f t="shared" si="11"/>
        <v/>
      </c>
      <c r="H27" s="145"/>
      <c r="I27" s="145"/>
      <c r="J27" s="261" t="str">
        <f t="shared" si="12"/>
        <v/>
      </c>
      <c r="K27" s="145"/>
      <c r="L27" s="145"/>
      <c r="M27" s="260" t="str">
        <f t="shared" si="13"/>
        <v/>
      </c>
      <c r="N27" s="145"/>
      <c r="O27" s="145"/>
      <c r="P27" s="260" t="str">
        <f t="shared" si="14"/>
        <v/>
      </c>
      <c r="Q27" s="145"/>
      <c r="R27" s="145"/>
      <c r="S27" s="259"/>
      <c r="T27" s="2"/>
      <c r="U27" s="256">
        <v>23</v>
      </c>
      <c r="V27" s="16">
        <f t="shared" si="0"/>
        <v>-2.2859990000000012</v>
      </c>
      <c r="W27" s="16">
        <f t="shared" si="1"/>
        <v>0.45720099999999952</v>
      </c>
      <c r="X27" s="16">
        <f t="shared" si="2"/>
        <v>5.2257914280010054</v>
      </c>
      <c r="Y27" s="16">
        <f t="shared" si="3"/>
        <v>0.20903275440099955</v>
      </c>
      <c r="Z27" s="16">
        <f t="shared" si="4"/>
        <v>-1.0451610287989994</v>
      </c>
      <c r="AA27" s="17">
        <f t="shared" si="5"/>
        <v>0.45719999999999961</v>
      </c>
      <c r="AB27" s="17">
        <f t="shared" si="6"/>
        <v>-2.2860000000000014</v>
      </c>
      <c r="AC27" s="18">
        <f t="shared" si="7"/>
        <v>331.81938602164001</v>
      </c>
      <c r="AD27" s="18">
        <f t="shared" si="8"/>
        <v>8.0191462528234894</v>
      </c>
      <c r="AG27" s="2"/>
      <c r="AH27" s="2"/>
      <c r="AI27" s="2"/>
      <c r="AJ27" s="2"/>
      <c r="AK27" s="2"/>
      <c r="AL27" s="2"/>
      <c r="AM27" s="2"/>
      <c r="AN27" s="2"/>
      <c r="AO27" s="2"/>
      <c r="AP27" s="2"/>
      <c r="AQ27" s="2"/>
      <c r="AT27" s="2"/>
      <c r="AU27" s="262" t="str">
        <f t="shared" si="15"/>
        <v>#15:</v>
      </c>
      <c r="AV27" s="217">
        <f t="shared" si="16"/>
        <v>3.0000000960000004</v>
      </c>
      <c r="AW27" s="229">
        <f t="shared" si="17"/>
        <v>12.000000384000002</v>
      </c>
      <c r="AX27" s="262" t="str">
        <f t="shared" si="18"/>
        <v/>
      </c>
      <c r="AY27" s="217" t="str">
        <f t="shared" si="19"/>
        <v/>
      </c>
      <c r="AZ27" s="229" t="str">
        <f t="shared" si="20"/>
        <v/>
      </c>
      <c r="BA27" s="262" t="str">
        <f t="shared" si="21"/>
        <v/>
      </c>
      <c r="BB27" s="217" t="str">
        <f t="shared" si="22"/>
        <v/>
      </c>
      <c r="BC27" s="229" t="str">
        <f t="shared" si="23"/>
        <v/>
      </c>
      <c r="BD27" s="262" t="str">
        <f t="shared" si="24"/>
        <v/>
      </c>
      <c r="BE27" s="217" t="str">
        <f t="shared" si="25"/>
        <v/>
      </c>
      <c r="BF27" s="229" t="str">
        <f t="shared" si="26"/>
        <v/>
      </c>
      <c r="BG27" s="262" t="str">
        <f t="shared" si="27"/>
        <v/>
      </c>
      <c r="BH27" s="217" t="str">
        <f t="shared" si="28"/>
        <v/>
      </c>
      <c r="BI27" s="229" t="str">
        <f t="shared" si="29"/>
        <v/>
      </c>
      <c r="BJ27" s="262" t="str">
        <f t="shared" si="30"/>
        <v/>
      </c>
      <c r="BK27" s="217" t="str">
        <f t="shared" si="31"/>
        <v/>
      </c>
      <c r="BL27" s="229" t="str">
        <f t="shared" si="32"/>
        <v/>
      </c>
    </row>
    <row r="28" spans="1:64" x14ac:dyDescent="0.25">
      <c r="A28" s="260" t="str">
        <f t="shared" si="9"/>
        <v>#16:</v>
      </c>
      <c r="B28" s="145">
        <v>0.9144000000000001</v>
      </c>
      <c r="C28" s="145">
        <v>4.5720000000000001</v>
      </c>
      <c r="D28" s="260" t="str">
        <f t="shared" si="10"/>
        <v/>
      </c>
      <c r="E28" s="145"/>
      <c r="F28" s="145"/>
      <c r="G28" s="260" t="str">
        <f t="shared" si="11"/>
        <v/>
      </c>
      <c r="H28" s="145"/>
      <c r="I28" s="145"/>
      <c r="J28" s="261" t="str">
        <f t="shared" si="12"/>
        <v/>
      </c>
      <c r="K28" s="145"/>
      <c r="L28" s="145"/>
      <c r="M28" s="260" t="str">
        <f t="shared" si="13"/>
        <v/>
      </c>
      <c r="N28" s="145"/>
      <c r="O28" s="145"/>
      <c r="P28" s="260" t="str">
        <f t="shared" si="14"/>
        <v/>
      </c>
      <c r="Q28" s="145"/>
      <c r="R28" s="145"/>
      <c r="S28" s="259"/>
      <c r="T28" s="2"/>
      <c r="U28" s="256">
        <v>24</v>
      </c>
      <c r="V28" s="16">
        <f t="shared" si="0"/>
        <v>-1.3715990000000011</v>
      </c>
      <c r="W28" s="16">
        <f t="shared" si="1"/>
        <v>0.45720099999999952</v>
      </c>
      <c r="X28" s="16">
        <f t="shared" si="2"/>
        <v>1.8812838168010031</v>
      </c>
      <c r="Y28" s="16">
        <f t="shared" si="3"/>
        <v>0.20903275440099955</v>
      </c>
      <c r="Z28" s="16">
        <f t="shared" si="4"/>
        <v>-0.62709643439899987</v>
      </c>
      <c r="AA28" s="17">
        <f t="shared" si="5"/>
        <v>0.45719999999999961</v>
      </c>
      <c r="AB28" s="17">
        <f t="shared" si="6"/>
        <v>-1.3716000000000013</v>
      </c>
      <c r="AC28" s="18">
        <f t="shared" si="7"/>
        <v>329.57280604868242</v>
      </c>
      <c r="AD28" s="18">
        <f t="shared" si="8"/>
        <v>8.0191462528234894</v>
      </c>
      <c r="AG28" s="2"/>
      <c r="AH28" s="2"/>
      <c r="AI28" s="2"/>
      <c r="AJ28" s="2"/>
      <c r="AK28" s="2"/>
      <c r="AL28" s="2"/>
      <c r="AM28" s="2"/>
      <c r="AN28" s="2"/>
      <c r="AO28" s="2"/>
      <c r="AP28" s="2"/>
      <c r="AQ28" s="2"/>
      <c r="AT28" s="2"/>
      <c r="AU28" s="262" t="str">
        <f t="shared" si="15"/>
        <v>#16:</v>
      </c>
      <c r="AV28" s="217">
        <f t="shared" si="16"/>
        <v>3.0000000960000004</v>
      </c>
      <c r="AW28" s="229">
        <f t="shared" si="17"/>
        <v>15.000000480000001</v>
      </c>
      <c r="AX28" s="262" t="str">
        <f t="shared" si="18"/>
        <v/>
      </c>
      <c r="AY28" s="217" t="str">
        <f t="shared" si="19"/>
        <v/>
      </c>
      <c r="AZ28" s="229" t="str">
        <f t="shared" si="20"/>
        <v/>
      </c>
      <c r="BA28" s="262" t="str">
        <f t="shared" si="21"/>
        <v/>
      </c>
      <c r="BB28" s="217" t="str">
        <f t="shared" si="22"/>
        <v/>
      </c>
      <c r="BC28" s="229" t="str">
        <f t="shared" si="23"/>
        <v/>
      </c>
      <c r="BD28" s="262" t="str">
        <f t="shared" si="24"/>
        <v/>
      </c>
      <c r="BE28" s="217" t="str">
        <f t="shared" si="25"/>
        <v/>
      </c>
      <c r="BF28" s="229" t="str">
        <f t="shared" si="26"/>
        <v/>
      </c>
      <c r="BG28" s="262" t="str">
        <f t="shared" si="27"/>
        <v/>
      </c>
      <c r="BH28" s="217" t="str">
        <f t="shared" si="28"/>
        <v/>
      </c>
      <c r="BI28" s="229" t="str">
        <f t="shared" si="29"/>
        <v/>
      </c>
      <c r="BJ28" s="262" t="str">
        <f t="shared" si="30"/>
        <v/>
      </c>
      <c r="BK28" s="217" t="str">
        <f t="shared" si="31"/>
        <v/>
      </c>
      <c r="BL28" s="229" t="str">
        <f t="shared" si="32"/>
        <v/>
      </c>
    </row>
    <row r="29" spans="1:64" x14ac:dyDescent="0.25">
      <c r="A29" s="260" t="str">
        <f t="shared" si="9"/>
        <v>#17:</v>
      </c>
      <c r="B29" s="145">
        <v>0.9144000000000001</v>
      </c>
      <c r="C29" s="145">
        <v>5.4864000000000006</v>
      </c>
      <c r="D29" s="260" t="str">
        <f t="shared" si="10"/>
        <v/>
      </c>
      <c r="E29" s="145"/>
      <c r="F29" s="145"/>
      <c r="G29" s="260" t="str">
        <f t="shared" si="11"/>
        <v/>
      </c>
      <c r="H29" s="145"/>
      <c r="I29" s="145"/>
      <c r="J29" s="261" t="str">
        <f t="shared" si="12"/>
        <v/>
      </c>
      <c r="K29" s="145"/>
      <c r="L29" s="145"/>
      <c r="M29" s="260" t="str">
        <f t="shared" si="13"/>
        <v/>
      </c>
      <c r="N29" s="145"/>
      <c r="O29" s="145"/>
      <c r="P29" s="260" t="str">
        <f t="shared" si="14"/>
        <v/>
      </c>
      <c r="Q29" s="145"/>
      <c r="R29" s="145"/>
      <c r="S29" s="259"/>
      <c r="T29" s="2"/>
      <c r="U29" s="256">
        <v>25</v>
      </c>
      <c r="V29" s="16">
        <f t="shared" si="0"/>
        <v>-0.45719900000000102</v>
      </c>
      <c r="W29" s="16">
        <f t="shared" si="1"/>
        <v>0.45720099999999952</v>
      </c>
      <c r="X29" s="16">
        <f t="shared" si="2"/>
        <v>0.20903092560100092</v>
      </c>
      <c r="Y29" s="16">
        <f t="shared" si="3"/>
        <v>0.20903275440099955</v>
      </c>
      <c r="Z29" s="16">
        <f t="shared" si="4"/>
        <v>-0.20903183999900024</v>
      </c>
      <c r="AA29" s="17">
        <f t="shared" si="5"/>
        <v>0.45719999999999961</v>
      </c>
      <c r="AB29" s="17">
        <f t="shared" si="6"/>
        <v>-0.45720000000000116</v>
      </c>
      <c r="AC29" s="18">
        <f t="shared" si="7"/>
        <v>327.32622607572483</v>
      </c>
      <c r="AD29" s="18">
        <f t="shared" si="8"/>
        <v>8.0191462528234894</v>
      </c>
      <c r="AG29" s="2"/>
      <c r="AH29" s="2"/>
      <c r="AI29" s="2"/>
      <c r="AJ29" s="2"/>
      <c r="AK29" s="2"/>
      <c r="AL29" s="2"/>
      <c r="AM29" s="2"/>
      <c r="AN29" s="2"/>
      <c r="AO29" s="2"/>
      <c r="AP29" s="2"/>
      <c r="AQ29" s="2"/>
      <c r="AT29" s="2"/>
      <c r="AU29" s="262" t="str">
        <f t="shared" si="15"/>
        <v>#17:</v>
      </c>
      <c r="AV29" s="217">
        <f t="shared" si="16"/>
        <v>3.0000000960000004</v>
      </c>
      <c r="AW29" s="229">
        <f t="shared" si="17"/>
        <v>18.000000576000001</v>
      </c>
      <c r="AX29" s="262" t="str">
        <f t="shared" si="18"/>
        <v/>
      </c>
      <c r="AY29" s="217" t="str">
        <f t="shared" si="19"/>
        <v/>
      </c>
      <c r="AZ29" s="229" t="str">
        <f t="shared" si="20"/>
        <v/>
      </c>
      <c r="BA29" s="262" t="str">
        <f t="shared" si="21"/>
        <v/>
      </c>
      <c r="BB29" s="217" t="str">
        <f t="shared" si="22"/>
        <v/>
      </c>
      <c r="BC29" s="229" t="str">
        <f t="shared" si="23"/>
        <v/>
      </c>
      <c r="BD29" s="262" t="str">
        <f t="shared" si="24"/>
        <v/>
      </c>
      <c r="BE29" s="217" t="str">
        <f t="shared" si="25"/>
        <v/>
      </c>
      <c r="BF29" s="229" t="str">
        <f t="shared" si="26"/>
        <v/>
      </c>
      <c r="BG29" s="262" t="str">
        <f t="shared" si="27"/>
        <v/>
      </c>
      <c r="BH29" s="217" t="str">
        <f t="shared" si="28"/>
        <v/>
      </c>
      <c r="BI29" s="229" t="str">
        <f t="shared" si="29"/>
        <v/>
      </c>
      <c r="BJ29" s="262" t="str">
        <f t="shared" si="30"/>
        <v/>
      </c>
      <c r="BK29" s="217" t="str">
        <f t="shared" si="31"/>
        <v/>
      </c>
      <c r="BL29" s="229" t="str">
        <f t="shared" si="32"/>
        <v/>
      </c>
    </row>
    <row r="30" spans="1:64" x14ac:dyDescent="0.25">
      <c r="A30" s="260" t="str">
        <f t="shared" si="9"/>
        <v>#18:</v>
      </c>
      <c r="B30" s="145">
        <v>0.9144000000000001</v>
      </c>
      <c r="C30" s="145">
        <v>6.4008000000000003</v>
      </c>
      <c r="D30" s="260" t="str">
        <f t="shared" si="10"/>
        <v/>
      </c>
      <c r="E30" s="145"/>
      <c r="F30" s="145"/>
      <c r="G30" s="260" t="str">
        <f t="shared" si="11"/>
        <v/>
      </c>
      <c r="H30" s="145"/>
      <c r="I30" s="145"/>
      <c r="J30" s="261" t="str">
        <f t="shared" si="12"/>
        <v/>
      </c>
      <c r="K30" s="145"/>
      <c r="L30" s="145"/>
      <c r="M30" s="260" t="str">
        <f t="shared" si="13"/>
        <v/>
      </c>
      <c r="N30" s="145"/>
      <c r="O30" s="145"/>
      <c r="P30" s="260" t="str">
        <f t="shared" si="14"/>
        <v/>
      </c>
      <c r="Q30" s="145"/>
      <c r="R30" s="145"/>
      <c r="S30" s="259"/>
      <c r="T30" s="2"/>
      <c r="U30" s="256">
        <v>26</v>
      </c>
      <c r="V30" s="16">
        <f t="shared" si="0"/>
        <v>0.45720099999999864</v>
      </c>
      <c r="W30" s="16">
        <f t="shared" si="1"/>
        <v>0.45720099999999952</v>
      </c>
      <c r="X30" s="16">
        <f t="shared" si="2"/>
        <v>0.20903275440099875</v>
      </c>
      <c r="Y30" s="16">
        <f t="shared" si="3"/>
        <v>0.20903275440099955</v>
      </c>
      <c r="Z30" s="16">
        <f t="shared" si="4"/>
        <v>0.20903275440099917</v>
      </c>
      <c r="AA30" s="17">
        <f t="shared" si="5"/>
        <v>0.45719999999999961</v>
      </c>
      <c r="AB30" s="17">
        <f t="shared" si="6"/>
        <v>0.4571999999999985</v>
      </c>
      <c r="AC30" s="18">
        <f t="shared" si="7"/>
        <v>325.07964610276719</v>
      </c>
      <c r="AD30" s="18">
        <f t="shared" si="8"/>
        <v>8.0191462528234894</v>
      </c>
      <c r="AG30" s="2"/>
      <c r="AH30" s="2"/>
      <c r="AI30" s="2"/>
      <c r="AJ30" s="2"/>
      <c r="AK30" s="2"/>
      <c r="AL30" s="2"/>
      <c r="AM30" s="2"/>
      <c r="AN30" s="2"/>
      <c r="AO30" s="2"/>
      <c r="AP30" s="2"/>
      <c r="AQ30" s="2"/>
      <c r="AT30" s="2"/>
      <c r="AU30" s="262" t="str">
        <f t="shared" si="15"/>
        <v>#18:</v>
      </c>
      <c r="AV30" s="217">
        <f t="shared" si="16"/>
        <v>3.0000000960000004</v>
      </c>
      <c r="AW30" s="229">
        <f t="shared" si="17"/>
        <v>21.000000672000002</v>
      </c>
      <c r="AX30" s="262" t="str">
        <f t="shared" si="18"/>
        <v/>
      </c>
      <c r="AY30" s="217" t="str">
        <f t="shared" si="19"/>
        <v/>
      </c>
      <c r="AZ30" s="229" t="str">
        <f t="shared" si="20"/>
        <v/>
      </c>
      <c r="BA30" s="262" t="str">
        <f t="shared" si="21"/>
        <v/>
      </c>
      <c r="BB30" s="217" t="str">
        <f t="shared" si="22"/>
        <v/>
      </c>
      <c r="BC30" s="229" t="str">
        <f t="shared" si="23"/>
        <v/>
      </c>
      <c r="BD30" s="262" t="str">
        <f t="shared" si="24"/>
        <v/>
      </c>
      <c r="BE30" s="217" t="str">
        <f t="shared" si="25"/>
        <v/>
      </c>
      <c r="BF30" s="229" t="str">
        <f t="shared" si="26"/>
        <v/>
      </c>
      <c r="BG30" s="262" t="str">
        <f t="shared" si="27"/>
        <v/>
      </c>
      <c r="BH30" s="217" t="str">
        <f t="shared" si="28"/>
        <v/>
      </c>
      <c r="BI30" s="229" t="str">
        <f t="shared" si="29"/>
        <v/>
      </c>
      <c r="BJ30" s="262" t="str">
        <f t="shared" si="30"/>
        <v/>
      </c>
      <c r="BK30" s="217" t="str">
        <f t="shared" si="31"/>
        <v/>
      </c>
      <c r="BL30" s="229" t="str">
        <f t="shared" si="32"/>
        <v/>
      </c>
    </row>
    <row r="31" spans="1:64" x14ac:dyDescent="0.25">
      <c r="A31" s="260" t="str">
        <f t="shared" si="9"/>
        <v>#19:</v>
      </c>
      <c r="B31" s="145">
        <v>0.9144000000000001</v>
      </c>
      <c r="C31" s="145">
        <v>7.3152000000000008</v>
      </c>
      <c r="D31" s="260" t="str">
        <f t="shared" si="10"/>
        <v/>
      </c>
      <c r="E31" s="145"/>
      <c r="F31" s="145"/>
      <c r="G31" s="260" t="str">
        <f t="shared" si="11"/>
        <v/>
      </c>
      <c r="H31" s="145"/>
      <c r="I31" s="145"/>
      <c r="J31" s="261" t="str">
        <f t="shared" si="12"/>
        <v/>
      </c>
      <c r="K31" s="145"/>
      <c r="L31" s="145"/>
      <c r="M31" s="260" t="str">
        <f t="shared" si="13"/>
        <v/>
      </c>
      <c r="N31" s="145"/>
      <c r="O31" s="145"/>
      <c r="P31" s="260" t="str">
        <f t="shared" si="14"/>
        <v/>
      </c>
      <c r="Q31" s="145"/>
      <c r="R31" s="145"/>
      <c r="S31" s="259"/>
      <c r="T31" s="2"/>
      <c r="U31" s="256">
        <v>27</v>
      </c>
      <c r="V31" s="16">
        <f t="shared" si="0"/>
        <v>1.3716009999999992</v>
      </c>
      <c r="W31" s="16">
        <f t="shared" si="1"/>
        <v>0.45720099999999952</v>
      </c>
      <c r="X31" s="16">
        <f t="shared" si="2"/>
        <v>1.8812893032009979</v>
      </c>
      <c r="Y31" s="16">
        <f t="shared" si="3"/>
        <v>0.20903275440099955</v>
      </c>
      <c r="Z31" s="16">
        <f t="shared" si="4"/>
        <v>0.62709734880099899</v>
      </c>
      <c r="AA31" s="17">
        <f t="shared" si="5"/>
        <v>0.45719999999999961</v>
      </c>
      <c r="AB31" s="17">
        <f t="shared" si="6"/>
        <v>1.371599999999999</v>
      </c>
      <c r="AC31" s="18">
        <f t="shared" si="7"/>
        <v>322.83306612980959</v>
      </c>
      <c r="AD31" s="18">
        <f t="shared" si="8"/>
        <v>8.0191462528234894</v>
      </c>
      <c r="AG31" s="2"/>
      <c r="AH31" s="2"/>
      <c r="AI31" s="2"/>
      <c r="AJ31" s="2"/>
      <c r="AK31" s="2"/>
      <c r="AL31" s="2"/>
      <c r="AM31" s="2"/>
      <c r="AN31" s="2"/>
      <c r="AO31" s="2"/>
      <c r="AP31" s="2"/>
      <c r="AQ31" s="2"/>
      <c r="AT31" s="2"/>
      <c r="AU31" s="262" t="str">
        <f t="shared" si="15"/>
        <v>#19:</v>
      </c>
      <c r="AV31" s="217">
        <f t="shared" si="16"/>
        <v>3.0000000960000004</v>
      </c>
      <c r="AW31" s="229">
        <f t="shared" si="17"/>
        <v>24.000000768000003</v>
      </c>
      <c r="AX31" s="262" t="str">
        <f t="shared" si="18"/>
        <v/>
      </c>
      <c r="AY31" s="217" t="str">
        <f t="shared" si="19"/>
        <v/>
      </c>
      <c r="AZ31" s="229" t="str">
        <f t="shared" si="20"/>
        <v/>
      </c>
      <c r="BA31" s="262" t="str">
        <f t="shared" si="21"/>
        <v/>
      </c>
      <c r="BB31" s="217" t="str">
        <f t="shared" si="22"/>
        <v/>
      </c>
      <c r="BC31" s="229" t="str">
        <f t="shared" si="23"/>
        <v/>
      </c>
      <c r="BD31" s="262" t="str">
        <f t="shared" si="24"/>
        <v/>
      </c>
      <c r="BE31" s="217" t="str">
        <f t="shared" si="25"/>
        <v/>
      </c>
      <c r="BF31" s="229" t="str">
        <f t="shared" si="26"/>
        <v/>
      </c>
      <c r="BG31" s="262" t="str">
        <f t="shared" si="27"/>
        <v/>
      </c>
      <c r="BH31" s="217" t="str">
        <f t="shared" si="28"/>
        <v/>
      </c>
      <c r="BI31" s="229" t="str">
        <f t="shared" si="29"/>
        <v/>
      </c>
      <c r="BJ31" s="262" t="str">
        <f t="shared" si="30"/>
        <v/>
      </c>
      <c r="BK31" s="217" t="str">
        <f t="shared" si="31"/>
        <v/>
      </c>
      <c r="BL31" s="229" t="str">
        <f t="shared" si="32"/>
        <v/>
      </c>
    </row>
    <row r="32" spans="1:64" x14ac:dyDescent="0.25">
      <c r="A32" s="260" t="str">
        <f t="shared" si="9"/>
        <v>#20:</v>
      </c>
      <c r="B32" s="145">
        <v>0.9144000000000001</v>
      </c>
      <c r="C32" s="145">
        <v>8.2295999999999996</v>
      </c>
      <c r="D32" s="260" t="str">
        <f t="shared" si="10"/>
        <v/>
      </c>
      <c r="E32" s="145"/>
      <c r="F32" s="145"/>
      <c r="G32" s="260" t="str">
        <f t="shared" si="11"/>
        <v/>
      </c>
      <c r="H32" s="145"/>
      <c r="I32" s="145"/>
      <c r="J32" s="261" t="str">
        <f t="shared" si="12"/>
        <v/>
      </c>
      <c r="K32" s="145"/>
      <c r="L32" s="145"/>
      <c r="M32" s="260" t="str">
        <f t="shared" si="13"/>
        <v/>
      </c>
      <c r="N32" s="145"/>
      <c r="O32" s="145"/>
      <c r="P32" s="260" t="str">
        <f t="shared" si="14"/>
        <v/>
      </c>
      <c r="Q32" s="145"/>
      <c r="R32" s="145"/>
      <c r="S32" s="259"/>
      <c r="T32" s="2"/>
      <c r="U32" s="256">
        <v>28</v>
      </c>
      <c r="V32" s="16">
        <f t="shared" si="0"/>
        <v>2.2860009999999988</v>
      </c>
      <c r="W32" s="16">
        <f t="shared" si="1"/>
        <v>0.45720099999999952</v>
      </c>
      <c r="X32" s="16">
        <f t="shared" si="2"/>
        <v>5.2258005720009946</v>
      </c>
      <c r="Y32" s="16">
        <f t="shared" si="3"/>
        <v>0.20903275440099955</v>
      </c>
      <c r="Z32" s="16">
        <f t="shared" si="4"/>
        <v>1.0451619432009984</v>
      </c>
      <c r="AA32" s="17">
        <f t="shared" si="5"/>
        <v>0.45719999999999961</v>
      </c>
      <c r="AB32" s="17">
        <f t="shared" si="6"/>
        <v>2.2859999999999987</v>
      </c>
      <c r="AC32" s="18">
        <f t="shared" si="7"/>
        <v>320.586486156852</v>
      </c>
      <c r="AD32" s="18">
        <f t="shared" si="8"/>
        <v>8.0191462528234894</v>
      </c>
      <c r="AG32" s="2"/>
      <c r="AH32" s="2"/>
      <c r="AI32" s="2"/>
      <c r="AJ32" s="2"/>
      <c r="AK32" s="2"/>
      <c r="AL32" s="2"/>
      <c r="AM32" s="2"/>
      <c r="AN32" s="2"/>
      <c r="AO32" s="2"/>
      <c r="AP32" s="2"/>
      <c r="AQ32" s="2"/>
      <c r="AT32" s="2"/>
      <c r="AU32" s="262" t="str">
        <f t="shared" si="15"/>
        <v>#20:</v>
      </c>
      <c r="AV32" s="217">
        <f t="shared" si="16"/>
        <v>3.0000000960000004</v>
      </c>
      <c r="AW32" s="229">
        <f t="shared" si="17"/>
        <v>27.000000863999997</v>
      </c>
      <c r="AX32" s="262" t="str">
        <f t="shared" si="18"/>
        <v/>
      </c>
      <c r="AY32" s="217" t="str">
        <f t="shared" si="19"/>
        <v/>
      </c>
      <c r="AZ32" s="229" t="str">
        <f t="shared" si="20"/>
        <v/>
      </c>
      <c r="BA32" s="262" t="str">
        <f t="shared" si="21"/>
        <v/>
      </c>
      <c r="BB32" s="217" t="str">
        <f t="shared" si="22"/>
        <v/>
      </c>
      <c r="BC32" s="229" t="str">
        <f t="shared" si="23"/>
        <v/>
      </c>
      <c r="BD32" s="262" t="str">
        <f t="shared" si="24"/>
        <v/>
      </c>
      <c r="BE32" s="217" t="str">
        <f t="shared" si="25"/>
        <v/>
      </c>
      <c r="BF32" s="229" t="str">
        <f t="shared" si="26"/>
        <v/>
      </c>
      <c r="BG32" s="262" t="str">
        <f t="shared" si="27"/>
        <v/>
      </c>
      <c r="BH32" s="217" t="str">
        <f t="shared" si="28"/>
        <v/>
      </c>
      <c r="BI32" s="229" t="str">
        <f t="shared" si="29"/>
        <v/>
      </c>
      <c r="BJ32" s="262" t="str">
        <f t="shared" si="30"/>
        <v/>
      </c>
      <c r="BK32" s="217" t="str">
        <f t="shared" si="31"/>
        <v/>
      </c>
      <c r="BL32" s="229" t="str">
        <f t="shared" si="32"/>
        <v/>
      </c>
    </row>
    <row r="33" spans="1:77" x14ac:dyDescent="0.25">
      <c r="A33" s="260" t="str">
        <f t="shared" si="9"/>
        <v>#21:</v>
      </c>
      <c r="B33" s="145">
        <v>1.8288000000000002</v>
      </c>
      <c r="C33" s="145">
        <v>0</v>
      </c>
      <c r="D33" s="260" t="str">
        <f t="shared" si="10"/>
        <v/>
      </c>
      <c r="E33" s="145"/>
      <c r="F33" s="145"/>
      <c r="G33" s="260" t="str">
        <f t="shared" si="11"/>
        <v/>
      </c>
      <c r="H33" s="145"/>
      <c r="I33" s="145"/>
      <c r="J33" s="261" t="str">
        <f t="shared" si="12"/>
        <v/>
      </c>
      <c r="K33" s="145"/>
      <c r="L33" s="145"/>
      <c r="M33" s="260" t="str">
        <f t="shared" si="13"/>
        <v/>
      </c>
      <c r="N33" s="145"/>
      <c r="O33" s="145"/>
      <c r="P33" s="260" t="str">
        <f t="shared" si="14"/>
        <v/>
      </c>
      <c r="Q33" s="145"/>
      <c r="R33" s="145"/>
      <c r="S33" s="259"/>
      <c r="T33" s="2"/>
      <c r="U33" s="256">
        <v>29</v>
      </c>
      <c r="V33" s="16">
        <f t="shared" si="0"/>
        <v>3.2004009999999994</v>
      </c>
      <c r="W33" s="16">
        <f t="shared" si="1"/>
        <v>0.45720099999999952</v>
      </c>
      <c r="X33" s="16">
        <f t="shared" si="2"/>
        <v>10.242566560800997</v>
      </c>
      <c r="Y33" s="16">
        <f t="shared" si="3"/>
        <v>0.20903275440099955</v>
      </c>
      <c r="Z33" s="16">
        <f t="shared" si="4"/>
        <v>1.4632265376009983</v>
      </c>
      <c r="AA33" s="17">
        <f t="shared" si="5"/>
        <v>0.45719999999999961</v>
      </c>
      <c r="AB33" s="17">
        <f t="shared" si="6"/>
        <v>3.2003999999999992</v>
      </c>
      <c r="AC33" s="18">
        <f t="shared" si="7"/>
        <v>318.33990618389441</v>
      </c>
      <c r="AD33" s="18">
        <f t="shared" si="8"/>
        <v>8.0191462528234894</v>
      </c>
      <c r="AG33" s="2"/>
      <c r="AH33" s="2"/>
      <c r="AI33" s="2"/>
      <c r="AJ33" s="2"/>
      <c r="AK33" s="2"/>
      <c r="AL33" s="2"/>
      <c r="AM33" s="2"/>
      <c r="AN33" s="2"/>
      <c r="AO33" s="2"/>
      <c r="AP33" s="2"/>
      <c r="AQ33" s="2"/>
      <c r="AT33" s="2"/>
      <c r="AU33" s="262" t="str">
        <f t="shared" si="15"/>
        <v>#21:</v>
      </c>
      <c r="AV33" s="217">
        <f t="shared" si="16"/>
        <v>6.0000001920000008</v>
      </c>
      <c r="AW33" s="229">
        <f t="shared" si="17"/>
        <v>0</v>
      </c>
      <c r="AX33" s="262" t="str">
        <f t="shared" si="18"/>
        <v/>
      </c>
      <c r="AY33" s="217" t="str">
        <f t="shared" si="19"/>
        <v/>
      </c>
      <c r="AZ33" s="229" t="str">
        <f t="shared" si="20"/>
        <v/>
      </c>
      <c r="BA33" s="262" t="str">
        <f t="shared" si="21"/>
        <v/>
      </c>
      <c r="BB33" s="217" t="str">
        <f t="shared" si="22"/>
        <v/>
      </c>
      <c r="BC33" s="229" t="str">
        <f t="shared" si="23"/>
        <v/>
      </c>
      <c r="BD33" s="262" t="str">
        <f t="shared" si="24"/>
        <v/>
      </c>
      <c r="BE33" s="217" t="str">
        <f t="shared" si="25"/>
        <v/>
      </c>
      <c r="BF33" s="229" t="str">
        <f t="shared" si="26"/>
        <v/>
      </c>
      <c r="BG33" s="262" t="str">
        <f t="shared" si="27"/>
        <v/>
      </c>
      <c r="BH33" s="217" t="str">
        <f t="shared" si="28"/>
        <v/>
      </c>
      <c r="BI33" s="229" t="str">
        <f t="shared" si="29"/>
        <v/>
      </c>
      <c r="BJ33" s="262" t="str">
        <f t="shared" si="30"/>
        <v/>
      </c>
      <c r="BK33" s="217" t="str">
        <f t="shared" si="31"/>
        <v/>
      </c>
      <c r="BL33" s="229" t="str">
        <f t="shared" si="32"/>
        <v/>
      </c>
    </row>
    <row r="34" spans="1:77" x14ac:dyDescent="0.25">
      <c r="A34" s="260" t="str">
        <f t="shared" si="9"/>
        <v>#22:</v>
      </c>
      <c r="B34" s="145">
        <v>1.8288000000000002</v>
      </c>
      <c r="C34" s="145">
        <v>0.9144000000000001</v>
      </c>
      <c r="D34" s="260" t="str">
        <f t="shared" si="10"/>
        <v/>
      </c>
      <c r="E34" s="145"/>
      <c r="F34" s="145"/>
      <c r="G34" s="260" t="str">
        <f t="shared" si="11"/>
        <v/>
      </c>
      <c r="H34" s="145"/>
      <c r="I34" s="145"/>
      <c r="J34" s="261" t="str">
        <f t="shared" si="12"/>
        <v/>
      </c>
      <c r="K34" s="145"/>
      <c r="L34" s="145"/>
      <c r="M34" s="260" t="str">
        <f t="shared" si="13"/>
        <v/>
      </c>
      <c r="N34" s="145"/>
      <c r="O34" s="145"/>
      <c r="P34" s="260" t="str">
        <f t="shared" si="14"/>
        <v/>
      </c>
      <c r="Q34" s="145"/>
      <c r="R34" s="145"/>
      <c r="S34" s="259"/>
      <c r="T34" s="2"/>
      <c r="U34" s="256">
        <v>30</v>
      </c>
      <c r="V34" s="16">
        <f t="shared" si="0"/>
        <v>4.1148009999999973</v>
      </c>
      <c r="W34" s="16">
        <f t="shared" si="1"/>
        <v>0.45720099999999952</v>
      </c>
      <c r="X34" s="16">
        <f t="shared" si="2"/>
        <v>16.931587269600978</v>
      </c>
      <c r="Y34" s="16">
        <f t="shared" si="3"/>
        <v>0.20903275440099955</v>
      </c>
      <c r="Z34" s="16">
        <f t="shared" si="4"/>
        <v>1.8812911320009968</v>
      </c>
      <c r="AA34" s="17">
        <f t="shared" si="5"/>
        <v>0.45719999999999961</v>
      </c>
      <c r="AB34" s="17">
        <f t="shared" si="6"/>
        <v>4.114799999999998</v>
      </c>
      <c r="AC34" s="18">
        <f t="shared" si="7"/>
        <v>316.09332621093682</v>
      </c>
      <c r="AD34" s="18">
        <f t="shared" si="8"/>
        <v>8.0191462528234894</v>
      </c>
      <c r="AG34" s="2"/>
      <c r="AH34" s="2"/>
      <c r="AI34" s="2"/>
      <c r="AJ34" s="2"/>
      <c r="AK34" s="2"/>
      <c r="AL34" s="2"/>
      <c r="AM34" s="2"/>
      <c r="AN34" s="2"/>
      <c r="AO34" s="2"/>
      <c r="AP34" s="2"/>
      <c r="AQ34" s="2"/>
      <c r="AT34" s="2"/>
      <c r="AU34" s="262" t="str">
        <f t="shared" si="15"/>
        <v>#22:</v>
      </c>
      <c r="AV34" s="217">
        <f t="shared" si="16"/>
        <v>6.0000001920000008</v>
      </c>
      <c r="AW34" s="229">
        <f t="shared" si="17"/>
        <v>3.0000000960000004</v>
      </c>
      <c r="AX34" s="262" t="str">
        <f t="shared" si="18"/>
        <v/>
      </c>
      <c r="AY34" s="217" t="str">
        <f t="shared" si="19"/>
        <v/>
      </c>
      <c r="AZ34" s="229" t="str">
        <f t="shared" si="20"/>
        <v/>
      </c>
      <c r="BA34" s="262" t="str">
        <f t="shared" si="21"/>
        <v/>
      </c>
      <c r="BB34" s="217" t="str">
        <f t="shared" si="22"/>
        <v/>
      </c>
      <c r="BC34" s="229" t="str">
        <f t="shared" si="23"/>
        <v/>
      </c>
      <c r="BD34" s="262" t="str">
        <f t="shared" si="24"/>
        <v/>
      </c>
      <c r="BE34" s="217" t="str">
        <f t="shared" si="25"/>
        <v/>
      </c>
      <c r="BF34" s="229" t="str">
        <f t="shared" si="26"/>
        <v/>
      </c>
      <c r="BG34" s="262" t="str">
        <f t="shared" si="27"/>
        <v/>
      </c>
      <c r="BH34" s="217" t="str">
        <f t="shared" si="28"/>
        <v/>
      </c>
      <c r="BI34" s="229" t="str">
        <f t="shared" si="29"/>
        <v/>
      </c>
      <c r="BJ34" s="262" t="str">
        <f t="shared" si="30"/>
        <v/>
      </c>
      <c r="BK34" s="217" t="str">
        <f t="shared" si="31"/>
        <v/>
      </c>
      <c r="BL34" s="229" t="str">
        <f t="shared" si="32"/>
        <v/>
      </c>
      <c r="BU34" s="92"/>
      <c r="BV34" s="92"/>
      <c r="BW34" s="92"/>
      <c r="BX34" s="92"/>
      <c r="BY34" s="92"/>
    </row>
    <row r="35" spans="1:77" x14ac:dyDescent="0.25">
      <c r="A35" s="260" t="str">
        <f t="shared" si="9"/>
        <v>#23:</v>
      </c>
      <c r="B35" s="145">
        <v>1.8288000000000002</v>
      </c>
      <c r="C35" s="145">
        <v>1.8288000000000002</v>
      </c>
      <c r="D35" s="260" t="str">
        <f t="shared" si="10"/>
        <v/>
      </c>
      <c r="E35" s="145"/>
      <c r="F35" s="145"/>
      <c r="G35" s="260" t="str">
        <f t="shared" si="11"/>
        <v/>
      </c>
      <c r="H35" s="145"/>
      <c r="I35" s="145"/>
      <c r="J35" s="261" t="str">
        <f t="shared" si="12"/>
        <v/>
      </c>
      <c r="K35" s="145"/>
      <c r="L35" s="145"/>
      <c r="M35" s="260" t="str">
        <f t="shared" si="13"/>
        <v/>
      </c>
      <c r="N35" s="145"/>
      <c r="O35" s="145"/>
      <c r="P35" s="260" t="str">
        <f t="shared" si="14"/>
        <v/>
      </c>
      <c r="Q35" s="145"/>
      <c r="R35" s="145"/>
      <c r="S35" s="259"/>
      <c r="T35" s="2"/>
      <c r="U35" s="256">
        <v>31</v>
      </c>
      <c r="V35" s="16">
        <f t="shared" si="0"/>
        <v>-4.1147990000000014</v>
      </c>
      <c r="W35" s="16">
        <f t="shared" si="1"/>
        <v>1.3716009999999998</v>
      </c>
      <c r="X35" s="16">
        <f t="shared" si="2"/>
        <v>16.931570810401013</v>
      </c>
      <c r="Y35" s="16">
        <f t="shared" si="3"/>
        <v>1.8812893032009996</v>
      </c>
      <c r="Z35" s="16">
        <f t="shared" si="4"/>
        <v>-5.6438624231990016</v>
      </c>
      <c r="AA35" s="17">
        <f t="shared" si="5"/>
        <v>1.3715999999999997</v>
      </c>
      <c r="AB35" s="17">
        <f t="shared" si="6"/>
        <v>-4.1148000000000016</v>
      </c>
      <c r="AC35" s="18">
        <f t="shared" si="7"/>
        <v>321.48511814604706</v>
      </c>
      <c r="AD35" s="18">
        <f t="shared" si="8"/>
        <v>8.0191462528234894</v>
      </c>
      <c r="AG35" s="2"/>
      <c r="AH35" s="2"/>
      <c r="AI35" s="2"/>
      <c r="AJ35" s="2"/>
      <c r="AK35" s="2"/>
      <c r="AL35" s="2"/>
      <c r="AM35" s="2"/>
      <c r="AN35" s="2"/>
      <c r="AO35" s="2"/>
      <c r="AP35" s="2"/>
      <c r="AQ35" s="2"/>
      <c r="AT35" s="2"/>
      <c r="AU35" s="262" t="str">
        <f t="shared" si="15"/>
        <v>#23:</v>
      </c>
      <c r="AV35" s="217">
        <f t="shared" si="16"/>
        <v>6.0000001920000008</v>
      </c>
      <c r="AW35" s="229">
        <f t="shared" si="17"/>
        <v>6.0000001920000008</v>
      </c>
      <c r="AX35" s="262" t="str">
        <f t="shared" si="18"/>
        <v/>
      </c>
      <c r="AY35" s="217" t="str">
        <f t="shared" si="19"/>
        <v/>
      </c>
      <c r="AZ35" s="229" t="str">
        <f t="shared" si="20"/>
        <v/>
      </c>
      <c r="BA35" s="262" t="str">
        <f t="shared" si="21"/>
        <v/>
      </c>
      <c r="BB35" s="217" t="str">
        <f t="shared" si="22"/>
        <v/>
      </c>
      <c r="BC35" s="229" t="str">
        <f t="shared" si="23"/>
        <v/>
      </c>
      <c r="BD35" s="262" t="str">
        <f t="shared" si="24"/>
        <v/>
      </c>
      <c r="BE35" s="217" t="str">
        <f t="shared" si="25"/>
        <v/>
      </c>
      <c r="BF35" s="229" t="str">
        <f t="shared" si="26"/>
        <v/>
      </c>
      <c r="BG35" s="262" t="str">
        <f t="shared" si="27"/>
        <v/>
      </c>
      <c r="BH35" s="217" t="str">
        <f t="shared" si="28"/>
        <v/>
      </c>
      <c r="BI35" s="229" t="str">
        <f t="shared" si="29"/>
        <v/>
      </c>
      <c r="BJ35" s="262" t="str">
        <f t="shared" si="30"/>
        <v/>
      </c>
      <c r="BK35" s="217" t="str">
        <f t="shared" si="31"/>
        <v/>
      </c>
      <c r="BL35" s="229" t="str">
        <f t="shared" si="32"/>
        <v/>
      </c>
      <c r="BU35" s="92"/>
      <c r="BV35" s="92"/>
      <c r="BW35" s="92"/>
      <c r="BX35" s="92"/>
      <c r="BY35" s="92"/>
    </row>
    <row r="36" spans="1:77" x14ac:dyDescent="0.25">
      <c r="A36" s="260" t="str">
        <f t="shared" si="9"/>
        <v>#24:</v>
      </c>
      <c r="B36" s="145">
        <v>1.8288000000000002</v>
      </c>
      <c r="C36" s="145">
        <v>2.7432000000000003</v>
      </c>
      <c r="D36" s="260" t="str">
        <f t="shared" si="10"/>
        <v/>
      </c>
      <c r="E36" s="145"/>
      <c r="F36" s="145"/>
      <c r="G36" s="260" t="str">
        <f t="shared" si="11"/>
        <v/>
      </c>
      <c r="H36" s="145"/>
      <c r="I36" s="145"/>
      <c r="J36" s="261" t="str">
        <f t="shared" si="12"/>
        <v/>
      </c>
      <c r="K36" s="145"/>
      <c r="L36" s="145"/>
      <c r="M36" s="260" t="str">
        <f t="shared" si="13"/>
        <v/>
      </c>
      <c r="N36" s="145"/>
      <c r="O36" s="145"/>
      <c r="P36" s="260" t="str">
        <f t="shared" si="14"/>
        <v/>
      </c>
      <c r="Q36" s="145"/>
      <c r="R36" s="145"/>
      <c r="S36" s="259"/>
      <c r="T36" s="2"/>
      <c r="U36" s="256">
        <v>32</v>
      </c>
      <c r="V36" s="16">
        <f t="shared" si="0"/>
        <v>-3.2003990000000013</v>
      </c>
      <c r="W36" s="16">
        <f t="shared" si="1"/>
        <v>1.3716009999999998</v>
      </c>
      <c r="X36" s="16">
        <f t="shared" si="2"/>
        <v>10.242553759201009</v>
      </c>
      <c r="Y36" s="16">
        <f t="shared" si="3"/>
        <v>1.8812893032009996</v>
      </c>
      <c r="Z36" s="16">
        <f t="shared" si="4"/>
        <v>-4.3896704687990011</v>
      </c>
      <c r="AA36" s="17">
        <f t="shared" si="5"/>
        <v>1.3715999999999997</v>
      </c>
      <c r="AB36" s="17">
        <f t="shared" si="6"/>
        <v>-3.2004000000000015</v>
      </c>
      <c r="AC36" s="18">
        <f t="shared" si="7"/>
        <v>319.23853817308947</v>
      </c>
      <c r="AD36" s="18">
        <f t="shared" si="8"/>
        <v>8.0191462528234894</v>
      </c>
      <c r="AG36" s="2"/>
      <c r="AH36" s="2"/>
      <c r="AI36" s="2"/>
      <c r="AJ36" s="2"/>
      <c r="AK36" s="2"/>
      <c r="AL36" s="2"/>
      <c r="AM36" s="2"/>
      <c r="AN36" s="2"/>
      <c r="AO36" s="2"/>
      <c r="AP36" s="2"/>
      <c r="AQ36" s="2"/>
      <c r="AT36" s="2"/>
      <c r="AU36" s="262" t="str">
        <f t="shared" si="15"/>
        <v>#24:</v>
      </c>
      <c r="AV36" s="217">
        <f t="shared" si="16"/>
        <v>6.0000001920000008</v>
      </c>
      <c r="AW36" s="229">
        <f t="shared" si="17"/>
        <v>9.0000002880000007</v>
      </c>
      <c r="AX36" s="262" t="str">
        <f t="shared" si="18"/>
        <v/>
      </c>
      <c r="AY36" s="217" t="str">
        <f t="shared" si="19"/>
        <v/>
      </c>
      <c r="AZ36" s="229" t="str">
        <f t="shared" si="20"/>
        <v/>
      </c>
      <c r="BA36" s="262" t="str">
        <f t="shared" si="21"/>
        <v/>
      </c>
      <c r="BB36" s="217" t="str">
        <f t="shared" si="22"/>
        <v/>
      </c>
      <c r="BC36" s="229" t="str">
        <f t="shared" si="23"/>
        <v/>
      </c>
      <c r="BD36" s="262" t="str">
        <f t="shared" si="24"/>
        <v/>
      </c>
      <c r="BE36" s="217" t="str">
        <f t="shared" si="25"/>
        <v/>
      </c>
      <c r="BF36" s="229" t="str">
        <f t="shared" si="26"/>
        <v/>
      </c>
      <c r="BG36" s="262" t="str">
        <f t="shared" si="27"/>
        <v/>
      </c>
      <c r="BH36" s="217" t="str">
        <f t="shared" si="28"/>
        <v/>
      </c>
      <c r="BI36" s="229" t="str">
        <f t="shared" si="29"/>
        <v/>
      </c>
      <c r="BJ36" s="262" t="str">
        <f t="shared" si="30"/>
        <v/>
      </c>
      <c r="BK36" s="217" t="str">
        <f t="shared" si="31"/>
        <v/>
      </c>
      <c r="BL36" s="229" t="str">
        <f t="shared" si="32"/>
        <v/>
      </c>
      <c r="BU36" s="92"/>
      <c r="BV36" s="92"/>
      <c r="BW36" s="92"/>
      <c r="BX36" s="92"/>
      <c r="BY36" s="92"/>
    </row>
    <row r="37" spans="1:77" x14ac:dyDescent="0.25">
      <c r="A37" s="260" t="str">
        <f t="shared" si="9"/>
        <v>#25:</v>
      </c>
      <c r="B37" s="145">
        <v>1.8288000000000002</v>
      </c>
      <c r="C37" s="145">
        <v>3.6576000000000004</v>
      </c>
      <c r="D37" s="260" t="str">
        <f t="shared" si="10"/>
        <v/>
      </c>
      <c r="E37" s="145"/>
      <c r="F37" s="145"/>
      <c r="G37" s="260" t="str">
        <f t="shared" si="11"/>
        <v/>
      </c>
      <c r="H37" s="145"/>
      <c r="I37" s="145"/>
      <c r="J37" s="261" t="str">
        <f t="shared" si="12"/>
        <v/>
      </c>
      <c r="K37" s="145"/>
      <c r="L37" s="145"/>
      <c r="M37" s="260" t="str">
        <f t="shared" si="13"/>
        <v/>
      </c>
      <c r="N37" s="145"/>
      <c r="O37" s="145"/>
      <c r="P37" s="260" t="str">
        <f t="shared" si="14"/>
        <v/>
      </c>
      <c r="Q37" s="145"/>
      <c r="R37" s="145"/>
      <c r="S37" s="259"/>
      <c r="T37" s="2"/>
      <c r="U37" s="256">
        <v>33</v>
      </c>
      <c r="V37" s="16">
        <f t="shared" ref="V37:V54" si="33">IF($C$9&gt;=$U37,$C45+0.000001-$V$310,"")</f>
        <v>-2.2859990000000012</v>
      </c>
      <c r="W37" s="16">
        <f t="shared" ref="W37:W54" si="34">IF($C$9&gt;=$U37,$B45+0.000001-$V$309,"")</f>
        <v>1.3716009999999998</v>
      </c>
      <c r="X37" s="16">
        <f t="shared" si="2"/>
        <v>5.2257914280010054</v>
      </c>
      <c r="Y37" s="16">
        <f t="shared" si="3"/>
        <v>1.8812893032009996</v>
      </c>
      <c r="Z37" s="16">
        <f t="shared" si="4"/>
        <v>-3.1354785143990012</v>
      </c>
      <c r="AA37" s="17">
        <f t="shared" ref="AA37:AA54" si="35">IF($C$9&gt;=$U37,$B45-$V$309,"")</f>
        <v>1.3715999999999997</v>
      </c>
      <c r="AB37" s="17">
        <f t="shared" ref="AB37:AB54" si="36">IF($C$9&gt;=$U37,$C45-$V$310,"")</f>
        <v>-2.2860000000000014</v>
      </c>
      <c r="AC37" s="18">
        <f t="shared" si="7"/>
        <v>316.99195820013188</v>
      </c>
      <c r="AD37" s="18">
        <f t="shared" si="8"/>
        <v>8.0191462528234894</v>
      </c>
      <c r="AG37" s="2"/>
      <c r="AH37" s="2"/>
      <c r="AI37" s="2"/>
      <c r="AJ37" s="2"/>
      <c r="AK37" s="2"/>
      <c r="AL37" s="2"/>
      <c r="AM37" s="2"/>
      <c r="AN37" s="2"/>
      <c r="AO37" s="2"/>
      <c r="AP37" s="2"/>
      <c r="AQ37" s="2"/>
      <c r="AT37" s="2"/>
      <c r="AU37" s="262" t="str">
        <f t="shared" si="15"/>
        <v>#25:</v>
      </c>
      <c r="AV37" s="217">
        <f t="shared" si="16"/>
        <v>6.0000001920000008</v>
      </c>
      <c r="AW37" s="229">
        <f t="shared" si="17"/>
        <v>12.000000384000002</v>
      </c>
      <c r="AX37" s="262" t="str">
        <f t="shared" si="18"/>
        <v/>
      </c>
      <c r="AY37" s="217" t="str">
        <f t="shared" si="19"/>
        <v/>
      </c>
      <c r="AZ37" s="229" t="str">
        <f t="shared" si="20"/>
        <v/>
      </c>
      <c r="BA37" s="262" t="str">
        <f t="shared" si="21"/>
        <v/>
      </c>
      <c r="BB37" s="217" t="str">
        <f t="shared" si="22"/>
        <v/>
      </c>
      <c r="BC37" s="229" t="str">
        <f t="shared" si="23"/>
        <v/>
      </c>
      <c r="BD37" s="262" t="str">
        <f t="shared" si="24"/>
        <v/>
      </c>
      <c r="BE37" s="217" t="str">
        <f t="shared" si="25"/>
        <v/>
      </c>
      <c r="BF37" s="229" t="str">
        <f t="shared" si="26"/>
        <v/>
      </c>
      <c r="BG37" s="262" t="str">
        <f t="shared" si="27"/>
        <v/>
      </c>
      <c r="BH37" s="217" t="str">
        <f t="shared" si="28"/>
        <v/>
      </c>
      <c r="BI37" s="229" t="str">
        <f t="shared" si="29"/>
        <v/>
      </c>
      <c r="BJ37" s="262" t="str">
        <f t="shared" si="30"/>
        <v/>
      </c>
      <c r="BK37" s="217" t="str">
        <f t="shared" si="31"/>
        <v/>
      </c>
      <c r="BL37" s="229" t="str">
        <f t="shared" si="32"/>
        <v/>
      </c>
      <c r="BU37" s="92"/>
      <c r="BV37" s="92"/>
      <c r="BW37" s="92"/>
      <c r="BX37" s="92"/>
      <c r="BY37" s="92"/>
    </row>
    <row r="38" spans="1:77" x14ac:dyDescent="0.25">
      <c r="A38" s="260" t="str">
        <f t="shared" si="9"/>
        <v>#26:</v>
      </c>
      <c r="B38" s="145">
        <v>1.8288000000000002</v>
      </c>
      <c r="C38" s="145">
        <v>4.5720000000000001</v>
      </c>
      <c r="D38" s="260" t="str">
        <f t="shared" si="10"/>
        <v/>
      </c>
      <c r="E38" s="145"/>
      <c r="F38" s="145"/>
      <c r="G38" s="260" t="str">
        <f t="shared" si="11"/>
        <v/>
      </c>
      <c r="H38" s="145"/>
      <c r="I38" s="145"/>
      <c r="J38" s="261" t="str">
        <f t="shared" si="12"/>
        <v/>
      </c>
      <c r="K38" s="145"/>
      <c r="L38" s="145"/>
      <c r="M38" s="260" t="str">
        <f t="shared" si="13"/>
        <v/>
      </c>
      <c r="N38" s="145"/>
      <c r="O38" s="145"/>
      <c r="P38" s="260" t="str">
        <f t="shared" si="14"/>
        <v/>
      </c>
      <c r="Q38" s="145"/>
      <c r="R38" s="145"/>
      <c r="S38" s="259"/>
      <c r="T38" s="2"/>
      <c r="U38" s="256">
        <v>34</v>
      </c>
      <c r="V38" s="16">
        <f t="shared" si="33"/>
        <v>-1.3715990000000011</v>
      </c>
      <c r="W38" s="16">
        <f t="shared" si="34"/>
        <v>1.3716009999999998</v>
      </c>
      <c r="X38" s="16">
        <f t="shared" si="2"/>
        <v>1.8812838168010031</v>
      </c>
      <c r="Y38" s="16">
        <f t="shared" si="3"/>
        <v>1.8812893032009996</v>
      </c>
      <c r="Z38" s="16">
        <f t="shared" si="4"/>
        <v>-1.8812865599990014</v>
      </c>
      <c r="AA38" s="17">
        <f t="shared" si="35"/>
        <v>1.3715999999999997</v>
      </c>
      <c r="AB38" s="17">
        <f t="shared" si="36"/>
        <v>-1.3716000000000013</v>
      </c>
      <c r="AC38" s="18">
        <f t="shared" si="7"/>
        <v>314.74537822717429</v>
      </c>
      <c r="AD38" s="18">
        <f t="shared" si="8"/>
        <v>8.0191462528234894</v>
      </c>
      <c r="AG38" s="2"/>
      <c r="AH38" s="2"/>
      <c r="AI38" s="2"/>
      <c r="AJ38" s="2"/>
      <c r="AK38" s="2"/>
      <c r="AL38" s="2"/>
      <c r="AM38" s="2"/>
      <c r="AN38" s="2"/>
      <c r="AO38" s="2"/>
      <c r="AP38" s="2"/>
      <c r="AQ38" s="2"/>
      <c r="AT38" s="2"/>
      <c r="AU38" s="262" t="str">
        <f t="shared" si="15"/>
        <v>#26:</v>
      </c>
      <c r="AV38" s="217">
        <f t="shared" si="16"/>
        <v>6.0000001920000008</v>
      </c>
      <c r="AW38" s="229">
        <f t="shared" si="17"/>
        <v>15.000000480000001</v>
      </c>
      <c r="AX38" s="262" t="str">
        <f t="shared" si="18"/>
        <v/>
      </c>
      <c r="AY38" s="217" t="str">
        <f t="shared" si="19"/>
        <v/>
      </c>
      <c r="AZ38" s="229" t="str">
        <f t="shared" si="20"/>
        <v/>
      </c>
      <c r="BA38" s="262" t="str">
        <f t="shared" si="21"/>
        <v/>
      </c>
      <c r="BB38" s="217" t="str">
        <f t="shared" si="22"/>
        <v/>
      </c>
      <c r="BC38" s="229" t="str">
        <f t="shared" si="23"/>
        <v/>
      </c>
      <c r="BD38" s="262" t="str">
        <f t="shared" si="24"/>
        <v/>
      </c>
      <c r="BE38" s="217" t="str">
        <f t="shared" si="25"/>
        <v/>
      </c>
      <c r="BF38" s="229" t="str">
        <f t="shared" si="26"/>
        <v/>
      </c>
      <c r="BG38" s="262" t="str">
        <f t="shared" si="27"/>
        <v/>
      </c>
      <c r="BH38" s="217" t="str">
        <f t="shared" si="28"/>
        <v/>
      </c>
      <c r="BI38" s="229" t="str">
        <f t="shared" si="29"/>
        <v/>
      </c>
      <c r="BJ38" s="262" t="str">
        <f t="shared" si="30"/>
        <v/>
      </c>
      <c r="BK38" s="217" t="str">
        <f t="shared" si="31"/>
        <v/>
      </c>
      <c r="BL38" s="229" t="str">
        <f t="shared" si="32"/>
        <v/>
      </c>
      <c r="BU38" s="92"/>
      <c r="BV38" s="92"/>
      <c r="BW38" s="92"/>
      <c r="BX38" s="92"/>
      <c r="BY38" s="92"/>
    </row>
    <row r="39" spans="1:77" x14ac:dyDescent="0.25">
      <c r="A39" s="260" t="str">
        <f t="shared" si="9"/>
        <v>#27:</v>
      </c>
      <c r="B39" s="145">
        <v>1.8288000000000002</v>
      </c>
      <c r="C39" s="145">
        <v>5.4864000000000006</v>
      </c>
      <c r="D39" s="260" t="str">
        <f t="shared" si="10"/>
        <v/>
      </c>
      <c r="E39" s="145"/>
      <c r="F39" s="145"/>
      <c r="G39" s="260" t="str">
        <f t="shared" si="11"/>
        <v/>
      </c>
      <c r="H39" s="145"/>
      <c r="I39" s="145"/>
      <c r="J39" s="261" t="str">
        <f t="shared" si="12"/>
        <v/>
      </c>
      <c r="K39" s="145"/>
      <c r="L39" s="145"/>
      <c r="M39" s="260" t="str">
        <f t="shared" si="13"/>
        <v/>
      </c>
      <c r="N39" s="145"/>
      <c r="O39" s="145"/>
      <c r="P39" s="260" t="str">
        <f t="shared" si="14"/>
        <v/>
      </c>
      <c r="Q39" s="145"/>
      <c r="R39" s="145"/>
      <c r="S39" s="259"/>
      <c r="T39" s="2"/>
      <c r="U39" s="256">
        <v>35</v>
      </c>
      <c r="V39" s="16">
        <f t="shared" si="33"/>
        <v>-0.45719900000000102</v>
      </c>
      <c r="W39" s="16">
        <f t="shared" si="34"/>
        <v>1.3716009999999998</v>
      </c>
      <c r="X39" s="16">
        <f t="shared" si="2"/>
        <v>0.20903092560100092</v>
      </c>
      <c r="Y39" s="16">
        <f t="shared" si="3"/>
        <v>1.8812893032009996</v>
      </c>
      <c r="Z39" s="16">
        <f t="shared" si="4"/>
        <v>-0.62709460559900132</v>
      </c>
      <c r="AA39" s="17">
        <f t="shared" si="35"/>
        <v>1.3715999999999997</v>
      </c>
      <c r="AB39" s="17">
        <f t="shared" si="36"/>
        <v>-0.45720000000000116</v>
      </c>
      <c r="AC39" s="18">
        <f t="shared" si="7"/>
        <v>312.49879825421669</v>
      </c>
      <c r="AD39" s="18">
        <f t="shared" si="8"/>
        <v>8.0191462528234894</v>
      </c>
      <c r="AG39" s="2"/>
      <c r="AH39" s="2"/>
      <c r="AI39" s="2"/>
      <c r="AJ39" s="2"/>
      <c r="AK39" s="2"/>
      <c r="AL39" s="2"/>
      <c r="AM39" s="2"/>
      <c r="AN39" s="2"/>
      <c r="AO39" s="2"/>
      <c r="AP39" s="2"/>
      <c r="AQ39" s="2"/>
      <c r="AT39" s="2"/>
      <c r="AU39" s="262" t="str">
        <f t="shared" si="15"/>
        <v>#27:</v>
      </c>
      <c r="AV39" s="217">
        <f t="shared" si="16"/>
        <v>6.0000001920000008</v>
      </c>
      <c r="AW39" s="229">
        <f t="shared" si="17"/>
        <v>18.000000576000001</v>
      </c>
      <c r="AX39" s="262" t="str">
        <f t="shared" si="18"/>
        <v/>
      </c>
      <c r="AY39" s="217" t="str">
        <f t="shared" si="19"/>
        <v/>
      </c>
      <c r="AZ39" s="229" t="str">
        <f t="shared" si="20"/>
        <v/>
      </c>
      <c r="BA39" s="262" t="str">
        <f t="shared" si="21"/>
        <v/>
      </c>
      <c r="BB39" s="217" t="str">
        <f t="shared" si="22"/>
        <v/>
      </c>
      <c r="BC39" s="229" t="str">
        <f t="shared" si="23"/>
        <v/>
      </c>
      <c r="BD39" s="262" t="str">
        <f t="shared" si="24"/>
        <v/>
      </c>
      <c r="BE39" s="217" t="str">
        <f t="shared" si="25"/>
        <v/>
      </c>
      <c r="BF39" s="229" t="str">
        <f t="shared" si="26"/>
        <v/>
      </c>
      <c r="BG39" s="262" t="str">
        <f t="shared" si="27"/>
        <v/>
      </c>
      <c r="BH39" s="217" t="str">
        <f t="shared" si="28"/>
        <v/>
      </c>
      <c r="BI39" s="229" t="str">
        <f t="shared" si="29"/>
        <v/>
      </c>
      <c r="BJ39" s="262" t="str">
        <f t="shared" si="30"/>
        <v/>
      </c>
      <c r="BK39" s="217" t="str">
        <f t="shared" si="31"/>
        <v/>
      </c>
      <c r="BL39" s="229" t="str">
        <f t="shared" si="32"/>
        <v/>
      </c>
    </row>
    <row r="40" spans="1:77" x14ac:dyDescent="0.25">
      <c r="A40" s="260" t="str">
        <f t="shared" si="9"/>
        <v>#28:</v>
      </c>
      <c r="B40" s="145">
        <v>1.8288000000000002</v>
      </c>
      <c r="C40" s="145">
        <v>6.4008000000000003</v>
      </c>
      <c r="D40" s="260" t="str">
        <f t="shared" si="10"/>
        <v/>
      </c>
      <c r="E40" s="145"/>
      <c r="F40" s="145"/>
      <c r="G40" s="260" t="str">
        <f t="shared" si="11"/>
        <v/>
      </c>
      <c r="H40" s="145"/>
      <c r="I40" s="145"/>
      <c r="J40" s="261" t="str">
        <f t="shared" si="12"/>
        <v/>
      </c>
      <c r="K40" s="145"/>
      <c r="L40" s="145"/>
      <c r="M40" s="260" t="str">
        <f t="shared" si="13"/>
        <v/>
      </c>
      <c r="N40" s="145"/>
      <c r="O40" s="145"/>
      <c r="P40" s="260" t="str">
        <f t="shared" si="14"/>
        <v/>
      </c>
      <c r="Q40" s="145"/>
      <c r="R40" s="145"/>
      <c r="S40" s="259"/>
      <c r="T40" s="2"/>
      <c r="U40" s="256">
        <v>36</v>
      </c>
      <c r="V40" s="16">
        <f t="shared" si="33"/>
        <v>0.45720099999999864</v>
      </c>
      <c r="W40" s="16">
        <f t="shared" si="34"/>
        <v>1.3716009999999998</v>
      </c>
      <c r="X40" s="16">
        <f t="shared" si="2"/>
        <v>0.20903275440099875</v>
      </c>
      <c r="Y40" s="16">
        <f t="shared" si="3"/>
        <v>1.8812893032009996</v>
      </c>
      <c r="Z40" s="16">
        <f t="shared" si="4"/>
        <v>0.6270973488009981</v>
      </c>
      <c r="AA40" s="17">
        <f t="shared" si="35"/>
        <v>1.3715999999999997</v>
      </c>
      <c r="AB40" s="17">
        <f t="shared" si="36"/>
        <v>0.4571999999999985</v>
      </c>
      <c r="AC40" s="18">
        <f t="shared" si="7"/>
        <v>310.25221828125905</v>
      </c>
      <c r="AD40" s="18">
        <f t="shared" si="8"/>
        <v>8.0191462528234894</v>
      </c>
      <c r="AG40" s="2"/>
      <c r="AH40" s="2"/>
      <c r="AI40" s="2"/>
      <c r="AJ40" s="2"/>
      <c r="AK40" s="2"/>
      <c r="AL40" s="2"/>
      <c r="AM40" s="2"/>
      <c r="AN40" s="2"/>
      <c r="AO40" s="2"/>
      <c r="AP40" s="2"/>
      <c r="AQ40" s="2"/>
      <c r="AT40" s="2"/>
      <c r="AU40" s="262" t="str">
        <f t="shared" si="15"/>
        <v>#28:</v>
      </c>
      <c r="AV40" s="217">
        <f t="shared" si="16"/>
        <v>6.0000001920000008</v>
      </c>
      <c r="AW40" s="229">
        <f t="shared" si="17"/>
        <v>21.000000672000002</v>
      </c>
      <c r="AX40" s="262" t="str">
        <f t="shared" si="18"/>
        <v/>
      </c>
      <c r="AY40" s="217" t="str">
        <f t="shared" si="19"/>
        <v/>
      </c>
      <c r="AZ40" s="229" t="str">
        <f t="shared" si="20"/>
        <v/>
      </c>
      <c r="BA40" s="262" t="str">
        <f t="shared" si="21"/>
        <v/>
      </c>
      <c r="BB40" s="217" t="str">
        <f t="shared" si="22"/>
        <v/>
      </c>
      <c r="BC40" s="229" t="str">
        <f t="shared" si="23"/>
        <v/>
      </c>
      <c r="BD40" s="262" t="str">
        <f t="shared" si="24"/>
        <v/>
      </c>
      <c r="BE40" s="217" t="str">
        <f t="shared" si="25"/>
        <v/>
      </c>
      <c r="BF40" s="229" t="str">
        <f t="shared" si="26"/>
        <v/>
      </c>
      <c r="BG40" s="262" t="str">
        <f t="shared" si="27"/>
        <v/>
      </c>
      <c r="BH40" s="217" t="str">
        <f t="shared" si="28"/>
        <v/>
      </c>
      <c r="BI40" s="229" t="str">
        <f t="shared" si="29"/>
        <v/>
      </c>
      <c r="BJ40" s="262" t="str">
        <f t="shared" si="30"/>
        <v/>
      </c>
      <c r="BK40" s="217" t="str">
        <f t="shared" si="31"/>
        <v/>
      </c>
      <c r="BL40" s="229" t="str">
        <f t="shared" si="32"/>
        <v/>
      </c>
    </row>
    <row r="41" spans="1:77" x14ac:dyDescent="0.25">
      <c r="A41" s="260" t="str">
        <f t="shared" si="9"/>
        <v>#29:</v>
      </c>
      <c r="B41" s="145">
        <v>1.8288000000000002</v>
      </c>
      <c r="C41" s="145">
        <v>7.3152000000000008</v>
      </c>
      <c r="D41" s="260" t="str">
        <f t="shared" si="10"/>
        <v/>
      </c>
      <c r="E41" s="145"/>
      <c r="F41" s="145"/>
      <c r="G41" s="260" t="str">
        <f t="shared" si="11"/>
        <v/>
      </c>
      <c r="H41" s="145"/>
      <c r="I41" s="145"/>
      <c r="J41" s="261" t="str">
        <f t="shared" si="12"/>
        <v/>
      </c>
      <c r="K41" s="145"/>
      <c r="L41" s="145"/>
      <c r="M41" s="260" t="str">
        <f t="shared" si="13"/>
        <v/>
      </c>
      <c r="N41" s="145"/>
      <c r="O41" s="145"/>
      <c r="P41" s="260" t="str">
        <f t="shared" si="14"/>
        <v/>
      </c>
      <c r="Q41" s="145"/>
      <c r="R41" s="145"/>
      <c r="S41" s="259"/>
      <c r="T41" s="2"/>
      <c r="U41" s="256">
        <v>37</v>
      </c>
      <c r="V41" s="16">
        <f t="shared" si="33"/>
        <v>1.3716009999999992</v>
      </c>
      <c r="W41" s="16">
        <f t="shared" si="34"/>
        <v>1.3716009999999998</v>
      </c>
      <c r="X41" s="16">
        <f t="shared" si="2"/>
        <v>1.8812893032009979</v>
      </c>
      <c r="Y41" s="16">
        <f t="shared" si="3"/>
        <v>1.8812893032009996</v>
      </c>
      <c r="Z41" s="16">
        <f t="shared" si="4"/>
        <v>1.8812893032009987</v>
      </c>
      <c r="AA41" s="17">
        <f t="shared" si="35"/>
        <v>1.3715999999999997</v>
      </c>
      <c r="AB41" s="17">
        <f t="shared" si="36"/>
        <v>1.371599999999999</v>
      </c>
      <c r="AC41" s="18">
        <f t="shared" si="7"/>
        <v>308.00563830830146</v>
      </c>
      <c r="AD41" s="18">
        <f t="shared" si="8"/>
        <v>8.0191462528234894</v>
      </c>
      <c r="AG41" s="2"/>
      <c r="AH41" s="2"/>
      <c r="AI41" s="2"/>
      <c r="AJ41" s="2"/>
      <c r="AK41" s="2"/>
      <c r="AL41" s="2"/>
      <c r="AM41" s="2"/>
      <c r="AN41" s="2"/>
      <c r="AO41" s="2"/>
      <c r="AP41" s="2"/>
      <c r="AQ41" s="2"/>
      <c r="AT41" s="2"/>
      <c r="AU41" s="262" t="str">
        <f t="shared" si="15"/>
        <v>#29:</v>
      </c>
      <c r="AV41" s="217">
        <f t="shared" si="16"/>
        <v>6.0000001920000008</v>
      </c>
      <c r="AW41" s="229">
        <f t="shared" si="17"/>
        <v>24.000000768000003</v>
      </c>
      <c r="AX41" s="262" t="str">
        <f t="shared" si="18"/>
        <v/>
      </c>
      <c r="AY41" s="217" t="str">
        <f t="shared" si="19"/>
        <v/>
      </c>
      <c r="AZ41" s="229" t="str">
        <f t="shared" si="20"/>
        <v/>
      </c>
      <c r="BA41" s="262" t="str">
        <f t="shared" si="21"/>
        <v/>
      </c>
      <c r="BB41" s="217" t="str">
        <f t="shared" si="22"/>
        <v/>
      </c>
      <c r="BC41" s="229" t="str">
        <f t="shared" si="23"/>
        <v/>
      </c>
      <c r="BD41" s="262" t="str">
        <f t="shared" si="24"/>
        <v/>
      </c>
      <c r="BE41" s="217" t="str">
        <f t="shared" si="25"/>
        <v/>
      </c>
      <c r="BF41" s="229" t="str">
        <f t="shared" si="26"/>
        <v/>
      </c>
      <c r="BG41" s="262" t="str">
        <f t="shared" si="27"/>
        <v/>
      </c>
      <c r="BH41" s="217" t="str">
        <f t="shared" si="28"/>
        <v/>
      </c>
      <c r="BI41" s="229" t="str">
        <f t="shared" si="29"/>
        <v/>
      </c>
      <c r="BJ41" s="262" t="str">
        <f t="shared" si="30"/>
        <v/>
      </c>
      <c r="BK41" s="217" t="str">
        <f t="shared" si="31"/>
        <v/>
      </c>
      <c r="BL41" s="229" t="str">
        <f t="shared" si="32"/>
        <v/>
      </c>
    </row>
    <row r="42" spans="1:77" x14ac:dyDescent="0.25">
      <c r="A42" s="260" t="str">
        <f t="shared" si="9"/>
        <v>#30:</v>
      </c>
      <c r="B42" s="145">
        <v>1.8288000000000002</v>
      </c>
      <c r="C42" s="145">
        <v>8.2295999999999996</v>
      </c>
      <c r="D42" s="260" t="str">
        <f t="shared" si="10"/>
        <v/>
      </c>
      <c r="E42" s="145"/>
      <c r="F42" s="145"/>
      <c r="G42" s="260" t="str">
        <f t="shared" si="11"/>
        <v/>
      </c>
      <c r="H42" s="145"/>
      <c r="I42" s="145"/>
      <c r="J42" s="261" t="str">
        <f t="shared" si="12"/>
        <v/>
      </c>
      <c r="K42" s="145"/>
      <c r="L42" s="145"/>
      <c r="M42" s="260" t="str">
        <f t="shared" si="13"/>
        <v/>
      </c>
      <c r="N42" s="145"/>
      <c r="O42" s="145"/>
      <c r="P42" s="260" t="str">
        <f t="shared" si="14"/>
        <v/>
      </c>
      <c r="Q42" s="145"/>
      <c r="R42" s="145"/>
      <c r="S42" s="259"/>
      <c r="T42" s="2"/>
      <c r="U42" s="256">
        <v>38</v>
      </c>
      <c r="V42" s="16">
        <f t="shared" si="33"/>
        <v>2.2860009999999988</v>
      </c>
      <c r="W42" s="16">
        <f t="shared" si="34"/>
        <v>1.3716009999999998</v>
      </c>
      <c r="X42" s="16">
        <f t="shared" si="2"/>
        <v>5.2258005720009946</v>
      </c>
      <c r="Y42" s="16">
        <f t="shared" si="3"/>
        <v>1.8812893032009996</v>
      </c>
      <c r="Z42" s="16">
        <f t="shared" si="4"/>
        <v>3.1354812576009983</v>
      </c>
      <c r="AA42" s="17">
        <f t="shared" si="35"/>
        <v>1.3715999999999997</v>
      </c>
      <c r="AB42" s="17">
        <f t="shared" si="36"/>
        <v>2.2859999999999987</v>
      </c>
      <c r="AC42" s="18">
        <f t="shared" si="7"/>
        <v>305.75905833534387</v>
      </c>
      <c r="AD42" s="18">
        <f t="shared" si="8"/>
        <v>8.0191462528234894</v>
      </c>
      <c r="AG42" s="2"/>
      <c r="AH42" s="2"/>
      <c r="AI42" s="2"/>
      <c r="AJ42" s="2"/>
      <c r="AK42" s="2"/>
      <c r="AL42" s="2"/>
      <c r="AM42" s="2"/>
      <c r="AN42" s="2"/>
      <c r="AO42" s="2"/>
      <c r="AP42" s="2"/>
      <c r="AQ42" s="2"/>
      <c r="AT42" s="2"/>
      <c r="AU42" s="262" t="str">
        <f t="shared" si="15"/>
        <v>#30:</v>
      </c>
      <c r="AV42" s="217">
        <f t="shared" si="16"/>
        <v>6.0000001920000008</v>
      </c>
      <c r="AW42" s="229">
        <f t="shared" si="17"/>
        <v>27.000000863999997</v>
      </c>
      <c r="AX42" s="262" t="str">
        <f t="shared" si="18"/>
        <v/>
      </c>
      <c r="AY42" s="217" t="str">
        <f t="shared" si="19"/>
        <v/>
      </c>
      <c r="AZ42" s="229" t="str">
        <f t="shared" si="20"/>
        <v/>
      </c>
      <c r="BA42" s="262" t="str">
        <f t="shared" si="21"/>
        <v/>
      </c>
      <c r="BB42" s="217" t="str">
        <f t="shared" si="22"/>
        <v/>
      </c>
      <c r="BC42" s="229" t="str">
        <f t="shared" si="23"/>
        <v/>
      </c>
      <c r="BD42" s="262" t="str">
        <f t="shared" si="24"/>
        <v/>
      </c>
      <c r="BE42" s="217" t="str">
        <f t="shared" si="25"/>
        <v/>
      </c>
      <c r="BF42" s="229" t="str">
        <f t="shared" si="26"/>
        <v/>
      </c>
      <c r="BG42" s="262" t="str">
        <f t="shared" si="27"/>
        <v/>
      </c>
      <c r="BH42" s="217" t="str">
        <f t="shared" si="28"/>
        <v/>
      </c>
      <c r="BI42" s="229" t="str">
        <f t="shared" si="29"/>
        <v/>
      </c>
      <c r="BJ42" s="262" t="str">
        <f t="shared" si="30"/>
        <v/>
      </c>
      <c r="BK42" s="217" t="str">
        <f t="shared" si="31"/>
        <v/>
      </c>
      <c r="BL42" s="229" t="str">
        <f t="shared" si="32"/>
        <v/>
      </c>
    </row>
    <row r="43" spans="1:77" x14ac:dyDescent="0.25">
      <c r="A43" s="260" t="str">
        <f t="shared" si="9"/>
        <v>#31:</v>
      </c>
      <c r="B43" s="145">
        <v>2.7432000000000003</v>
      </c>
      <c r="C43" s="145">
        <v>0</v>
      </c>
      <c r="D43" s="260" t="str">
        <f t="shared" si="10"/>
        <v/>
      </c>
      <c r="E43" s="145"/>
      <c r="F43" s="145"/>
      <c r="G43" s="260" t="str">
        <f t="shared" si="11"/>
        <v/>
      </c>
      <c r="H43" s="145"/>
      <c r="I43" s="145"/>
      <c r="J43" s="261" t="str">
        <f t="shared" si="12"/>
        <v/>
      </c>
      <c r="K43" s="145"/>
      <c r="L43" s="145"/>
      <c r="M43" s="260" t="str">
        <f t="shared" si="13"/>
        <v/>
      </c>
      <c r="N43" s="145"/>
      <c r="O43" s="145"/>
      <c r="P43" s="260" t="str">
        <f t="shared" si="14"/>
        <v/>
      </c>
      <c r="Q43" s="145"/>
      <c r="R43" s="145"/>
      <c r="S43" s="263"/>
      <c r="T43" s="10"/>
      <c r="U43" s="256">
        <v>39</v>
      </c>
      <c r="V43" s="16">
        <f t="shared" si="33"/>
        <v>3.2004009999999994</v>
      </c>
      <c r="W43" s="16">
        <f t="shared" si="34"/>
        <v>1.3716009999999998</v>
      </c>
      <c r="X43" s="16">
        <f t="shared" si="2"/>
        <v>10.242566560800997</v>
      </c>
      <c r="Y43" s="16">
        <f t="shared" si="3"/>
        <v>1.8812893032009996</v>
      </c>
      <c r="Z43" s="16">
        <f t="shared" si="4"/>
        <v>4.3896732120009982</v>
      </c>
      <c r="AA43" s="17">
        <f t="shared" si="35"/>
        <v>1.3715999999999997</v>
      </c>
      <c r="AB43" s="17">
        <f t="shared" si="36"/>
        <v>3.2003999999999992</v>
      </c>
      <c r="AC43" s="18">
        <f t="shared" si="7"/>
        <v>303.51247836238628</v>
      </c>
      <c r="AD43" s="18">
        <f t="shared" si="8"/>
        <v>8.0191462528234894</v>
      </c>
      <c r="AG43" s="2"/>
      <c r="AH43" s="2"/>
      <c r="AI43" s="2"/>
      <c r="AJ43" s="2"/>
      <c r="AK43" s="2"/>
      <c r="AL43" s="2"/>
      <c r="AM43" s="2"/>
      <c r="AN43" s="2"/>
      <c r="AO43" s="2"/>
      <c r="AP43" s="2"/>
      <c r="AQ43" s="2"/>
      <c r="AT43" s="2"/>
      <c r="AU43" s="262" t="str">
        <f t="shared" si="15"/>
        <v>#31:</v>
      </c>
      <c r="AV43" s="217">
        <f t="shared" si="16"/>
        <v>9.0000002880000007</v>
      </c>
      <c r="AW43" s="229">
        <f t="shared" si="17"/>
        <v>0</v>
      </c>
      <c r="AX43" s="262" t="str">
        <f t="shared" si="18"/>
        <v/>
      </c>
      <c r="AY43" s="217" t="str">
        <f t="shared" si="19"/>
        <v/>
      </c>
      <c r="AZ43" s="229" t="str">
        <f t="shared" si="20"/>
        <v/>
      </c>
      <c r="BA43" s="262" t="str">
        <f t="shared" si="21"/>
        <v/>
      </c>
      <c r="BB43" s="217" t="str">
        <f t="shared" si="22"/>
        <v/>
      </c>
      <c r="BC43" s="229" t="str">
        <f t="shared" si="23"/>
        <v/>
      </c>
      <c r="BD43" s="262" t="str">
        <f t="shared" si="24"/>
        <v/>
      </c>
      <c r="BE43" s="217" t="str">
        <f t="shared" si="25"/>
        <v/>
      </c>
      <c r="BF43" s="229" t="str">
        <f t="shared" si="26"/>
        <v/>
      </c>
      <c r="BG43" s="262" t="str">
        <f t="shared" si="27"/>
        <v/>
      </c>
      <c r="BH43" s="217" t="str">
        <f t="shared" si="28"/>
        <v/>
      </c>
      <c r="BI43" s="229" t="str">
        <f t="shared" si="29"/>
        <v/>
      </c>
      <c r="BJ43" s="262" t="str">
        <f t="shared" si="30"/>
        <v/>
      </c>
      <c r="BK43" s="217" t="str">
        <f t="shared" si="31"/>
        <v/>
      </c>
      <c r="BL43" s="229" t="str">
        <f t="shared" si="32"/>
        <v/>
      </c>
    </row>
    <row r="44" spans="1:77" x14ac:dyDescent="0.25">
      <c r="A44" s="260" t="str">
        <f t="shared" si="9"/>
        <v>#32:</v>
      </c>
      <c r="B44" s="145">
        <v>2.7432000000000003</v>
      </c>
      <c r="C44" s="145">
        <v>0.9144000000000001</v>
      </c>
      <c r="D44" s="260" t="str">
        <f t="shared" si="10"/>
        <v/>
      </c>
      <c r="E44" s="145"/>
      <c r="F44" s="145"/>
      <c r="G44" s="260" t="str">
        <f t="shared" si="11"/>
        <v/>
      </c>
      <c r="H44" s="145"/>
      <c r="I44" s="145"/>
      <c r="J44" s="261" t="str">
        <f t="shared" si="12"/>
        <v/>
      </c>
      <c r="K44" s="145"/>
      <c r="L44" s="145"/>
      <c r="M44" s="260" t="str">
        <f t="shared" si="13"/>
        <v/>
      </c>
      <c r="N44" s="145"/>
      <c r="O44" s="145"/>
      <c r="P44" s="260" t="str">
        <f t="shared" si="14"/>
        <v/>
      </c>
      <c r="Q44" s="145"/>
      <c r="R44" s="145"/>
      <c r="S44" s="259"/>
      <c r="T44" s="2"/>
      <c r="U44" s="256">
        <v>40</v>
      </c>
      <c r="V44" s="16">
        <f t="shared" si="33"/>
        <v>4.1148009999999973</v>
      </c>
      <c r="W44" s="16">
        <f t="shared" si="34"/>
        <v>1.3716009999999998</v>
      </c>
      <c r="X44" s="16">
        <f t="shared" si="2"/>
        <v>16.931587269600978</v>
      </c>
      <c r="Y44" s="16">
        <f t="shared" si="3"/>
        <v>1.8812893032009996</v>
      </c>
      <c r="Z44" s="16">
        <f t="shared" si="4"/>
        <v>5.643865166400996</v>
      </c>
      <c r="AA44" s="17">
        <f t="shared" si="35"/>
        <v>1.3715999999999997</v>
      </c>
      <c r="AB44" s="17">
        <f t="shared" si="36"/>
        <v>4.114799999999998</v>
      </c>
      <c r="AC44" s="18">
        <f t="shared" si="7"/>
        <v>301.26589838942868</v>
      </c>
      <c r="AD44" s="18">
        <f t="shared" si="8"/>
        <v>8.0191462528234894</v>
      </c>
      <c r="AG44" s="2"/>
      <c r="AH44" s="2"/>
      <c r="AI44" s="2"/>
      <c r="AJ44" s="2"/>
      <c r="AK44" s="2"/>
      <c r="AL44" s="2"/>
      <c r="AM44" s="2"/>
      <c r="AN44" s="2"/>
      <c r="AO44" s="2"/>
      <c r="AP44" s="2"/>
      <c r="AQ44" s="2"/>
      <c r="AT44" s="2"/>
      <c r="AU44" s="262" t="str">
        <f t="shared" si="15"/>
        <v>#32:</v>
      </c>
      <c r="AV44" s="217">
        <f t="shared" si="16"/>
        <v>9.0000002880000007</v>
      </c>
      <c r="AW44" s="229">
        <f t="shared" si="17"/>
        <v>3.0000000960000004</v>
      </c>
      <c r="AX44" s="262" t="str">
        <f t="shared" si="18"/>
        <v/>
      </c>
      <c r="AY44" s="217" t="str">
        <f t="shared" si="19"/>
        <v/>
      </c>
      <c r="AZ44" s="229" t="str">
        <f t="shared" si="20"/>
        <v/>
      </c>
      <c r="BA44" s="262" t="str">
        <f t="shared" si="21"/>
        <v/>
      </c>
      <c r="BB44" s="217" t="str">
        <f t="shared" si="22"/>
        <v/>
      </c>
      <c r="BC44" s="229" t="str">
        <f t="shared" si="23"/>
        <v/>
      </c>
      <c r="BD44" s="262" t="str">
        <f t="shared" si="24"/>
        <v/>
      </c>
      <c r="BE44" s="217" t="str">
        <f t="shared" si="25"/>
        <v/>
      </c>
      <c r="BF44" s="229" t="str">
        <f t="shared" si="26"/>
        <v/>
      </c>
      <c r="BG44" s="262" t="str">
        <f t="shared" si="27"/>
        <v/>
      </c>
      <c r="BH44" s="217" t="str">
        <f t="shared" si="28"/>
        <v/>
      </c>
      <c r="BI44" s="229" t="str">
        <f t="shared" si="29"/>
        <v/>
      </c>
      <c r="BJ44" s="262" t="str">
        <f t="shared" si="30"/>
        <v/>
      </c>
      <c r="BK44" s="217" t="str">
        <f t="shared" si="31"/>
        <v/>
      </c>
      <c r="BL44" s="229" t="str">
        <f t="shared" si="32"/>
        <v/>
      </c>
    </row>
    <row r="45" spans="1:77" x14ac:dyDescent="0.25">
      <c r="A45" s="260" t="str">
        <f t="shared" ref="A45:A62" si="37">IF($C$9&gt;=$U37,"#"&amp;$U37&amp;":","")</f>
        <v>#33:</v>
      </c>
      <c r="B45" s="145">
        <v>2.7432000000000003</v>
      </c>
      <c r="C45" s="145">
        <v>1.8288000000000002</v>
      </c>
      <c r="D45" s="260" t="str">
        <f t="shared" ref="D45:D62" si="38">IF($C$9&gt;=$U87,"#"&amp;$U87&amp;":","")</f>
        <v/>
      </c>
      <c r="E45" s="145"/>
      <c r="F45" s="145"/>
      <c r="G45" s="260" t="str">
        <f t="shared" ref="G45:G62" si="39">IF($C$9&gt;=$U137,"#"&amp;$U137&amp;":","")</f>
        <v/>
      </c>
      <c r="H45" s="145"/>
      <c r="I45" s="145"/>
      <c r="J45" s="261" t="str">
        <f t="shared" ref="J45:J62" si="40">IF($C$9&gt;=$U187,"#"&amp;$U187&amp;":","")</f>
        <v/>
      </c>
      <c r="K45" s="145"/>
      <c r="L45" s="145"/>
      <c r="M45" s="260" t="str">
        <f t="shared" ref="M45:M62" si="41">IF($C$9&gt;=$U237,"#"&amp;$U237&amp;":","")</f>
        <v/>
      </c>
      <c r="N45" s="145"/>
      <c r="O45" s="145"/>
      <c r="P45" s="260" t="str">
        <f t="shared" ref="P45:P62" si="42">IF($C$9&gt;=$U287,"#"&amp;$U287&amp;":","")</f>
        <v/>
      </c>
      <c r="Q45" s="145"/>
      <c r="R45" s="145"/>
      <c r="S45" s="259"/>
      <c r="T45" s="2"/>
      <c r="U45" s="256">
        <v>41</v>
      </c>
      <c r="V45" s="16" t="str">
        <f t="shared" si="33"/>
        <v/>
      </c>
      <c r="W45" s="16" t="str">
        <f t="shared" si="34"/>
        <v/>
      </c>
      <c r="X45" s="16" t="str">
        <f t="shared" si="2"/>
        <v/>
      </c>
      <c r="Y45" s="16" t="str">
        <f t="shared" si="3"/>
        <v/>
      </c>
      <c r="Z45" s="16" t="str">
        <f t="shared" si="4"/>
        <v/>
      </c>
      <c r="AA45" s="17" t="str">
        <f t="shared" si="35"/>
        <v/>
      </c>
      <c r="AB45" s="17" t="str">
        <f t="shared" si="36"/>
        <v/>
      </c>
      <c r="AC45" s="18" t="str">
        <f t="shared" si="7"/>
        <v/>
      </c>
      <c r="AD45" s="18" t="str">
        <f t="shared" si="8"/>
        <v/>
      </c>
      <c r="AG45" s="2"/>
      <c r="AH45" s="2"/>
      <c r="AI45" s="2"/>
      <c r="AJ45" s="2"/>
      <c r="AK45" s="2"/>
      <c r="AL45" s="2"/>
      <c r="AM45" s="2"/>
      <c r="AN45" s="2"/>
      <c r="AO45" s="2"/>
      <c r="AP45" s="2"/>
      <c r="AQ45" s="2"/>
      <c r="AT45" s="2"/>
      <c r="AU45" s="262" t="str">
        <f t="shared" ref="AU45:AU62" si="43">IF($C$9&gt;=$U37,"#"&amp;$U37&amp;":","")</f>
        <v>#33:</v>
      </c>
      <c r="AV45" s="217">
        <f t="shared" ref="AV45:AV62" si="44">IF($C$9&gt;=$U37,$B45*3.28084,"")</f>
        <v>9.0000002880000007</v>
      </c>
      <c r="AW45" s="229">
        <f t="shared" ref="AW45:AW62" si="45">IF($C$9&gt;=$U37,$C45*3.28084,"")</f>
        <v>6.0000001920000008</v>
      </c>
      <c r="AX45" s="262" t="str">
        <f t="shared" ref="AX45:AX62" si="46">IF($C$9&gt;=$U87,"#"&amp;$U87&amp;":","")</f>
        <v/>
      </c>
      <c r="AY45" s="217" t="str">
        <f t="shared" ref="AY45:AY62" si="47">IF($C$9&gt;=$U87,$E45*3.28084,"")</f>
        <v/>
      </c>
      <c r="AZ45" s="229" t="str">
        <f t="shared" ref="AZ45:AZ62" si="48">IF($C$9&gt;=$U87,$F45*3.28084,"")</f>
        <v/>
      </c>
      <c r="BA45" s="262" t="str">
        <f t="shared" ref="BA45:BA62" si="49">IF($C$9&gt;=$U137,"#"&amp;$U137&amp;":","")</f>
        <v/>
      </c>
      <c r="BB45" s="217" t="str">
        <f t="shared" ref="BB45:BB62" si="50">IF($C$9&gt;=$U137,$H45*3.28084,"")</f>
        <v/>
      </c>
      <c r="BC45" s="229" t="str">
        <f t="shared" ref="BC45:BC62" si="51">IF($C$9&gt;=$U137,$I45*3.28084,"")</f>
        <v/>
      </c>
      <c r="BD45" s="262" t="str">
        <f t="shared" ref="BD45:BD62" si="52">IF($C$9&gt;=$U187,"#"&amp;$U187&amp;":","")</f>
        <v/>
      </c>
      <c r="BE45" s="217" t="str">
        <f t="shared" ref="BE45:BE62" si="53">IF($C$9&gt;=$U187,$K45*3.28084,"")</f>
        <v/>
      </c>
      <c r="BF45" s="229" t="str">
        <f t="shared" ref="BF45:BF62" si="54">IF($C$9&gt;=$U187,$L45*3.28084,"")</f>
        <v/>
      </c>
      <c r="BG45" s="262" t="str">
        <f t="shared" ref="BG45:BG62" si="55">IF($C$9&gt;=$U237,"#"&amp;$U237&amp;":","")</f>
        <v/>
      </c>
      <c r="BH45" s="217" t="str">
        <f t="shared" ref="BH45:BH62" si="56">IF($C$9&gt;=$U237,$N45*3.28084,"")</f>
        <v/>
      </c>
      <c r="BI45" s="229" t="str">
        <f t="shared" ref="BI45:BI62" si="57">IF($C$9&gt;=$U237,$O45*3.28084,"")</f>
        <v/>
      </c>
      <c r="BJ45" s="262" t="str">
        <f t="shared" ref="BJ45:BJ62" si="58">IF($C$9&gt;=$U287,"#"&amp;$U287&amp;":","")</f>
        <v/>
      </c>
      <c r="BK45" s="217" t="str">
        <f t="shared" ref="BK45:BK62" si="59">IF($C$9&gt;=$U287,$Q45*3.28084,"")</f>
        <v/>
      </c>
      <c r="BL45" s="229" t="str">
        <f t="shared" ref="BL45:BL62" si="60">IF($C$9&gt;=$U287,$R45*3.28084,"")</f>
        <v/>
      </c>
    </row>
    <row r="46" spans="1:77" x14ac:dyDescent="0.25">
      <c r="A46" s="260" t="str">
        <f t="shared" si="37"/>
        <v>#34:</v>
      </c>
      <c r="B46" s="145">
        <v>2.7432000000000003</v>
      </c>
      <c r="C46" s="145">
        <v>2.7432000000000003</v>
      </c>
      <c r="D46" s="260" t="str">
        <f t="shared" si="38"/>
        <v/>
      </c>
      <c r="E46" s="145"/>
      <c r="F46" s="145"/>
      <c r="G46" s="260" t="str">
        <f t="shared" si="39"/>
        <v/>
      </c>
      <c r="H46" s="145"/>
      <c r="I46" s="145"/>
      <c r="J46" s="261" t="str">
        <f t="shared" si="40"/>
        <v/>
      </c>
      <c r="K46" s="145"/>
      <c r="L46" s="145"/>
      <c r="M46" s="260" t="str">
        <f t="shared" si="41"/>
        <v/>
      </c>
      <c r="N46" s="145"/>
      <c r="O46" s="145"/>
      <c r="P46" s="260" t="str">
        <f t="shared" si="42"/>
        <v/>
      </c>
      <c r="Q46" s="145"/>
      <c r="R46" s="145"/>
      <c r="S46" s="259"/>
      <c r="T46" s="2"/>
      <c r="U46" s="256">
        <v>42</v>
      </c>
      <c r="V46" s="16" t="str">
        <f t="shared" si="33"/>
        <v/>
      </c>
      <c r="W46" s="16" t="str">
        <f t="shared" si="34"/>
        <v/>
      </c>
      <c r="X46" s="16" t="str">
        <f t="shared" si="2"/>
        <v/>
      </c>
      <c r="Y46" s="16" t="str">
        <f t="shared" si="3"/>
        <v/>
      </c>
      <c r="Z46" s="16" t="str">
        <f t="shared" si="4"/>
        <v/>
      </c>
      <c r="AA46" s="17" t="str">
        <f t="shared" si="35"/>
        <v/>
      </c>
      <c r="AB46" s="17" t="str">
        <f t="shared" si="36"/>
        <v/>
      </c>
      <c r="AC46" s="18" t="str">
        <f t="shared" si="7"/>
        <v/>
      </c>
      <c r="AD46" s="18" t="str">
        <f t="shared" si="8"/>
        <v/>
      </c>
      <c r="AG46" s="2"/>
      <c r="AH46" s="2"/>
      <c r="AI46" s="2"/>
      <c r="AJ46" s="2"/>
      <c r="AK46" s="2"/>
      <c r="AL46" s="2"/>
      <c r="AM46" s="2"/>
      <c r="AN46" s="2"/>
      <c r="AO46" s="2"/>
      <c r="AP46" s="2"/>
      <c r="AQ46" s="2"/>
      <c r="AT46" s="2"/>
      <c r="AU46" s="262" t="str">
        <f t="shared" si="43"/>
        <v>#34:</v>
      </c>
      <c r="AV46" s="217">
        <f t="shared" si="44"/>
        <v>9.0000002880000007</v>
      </c>
      <c r="AW46" s="229">
        <f t="shared" si="45"/>
        <v>9.0000002880000007</v>
      </c>
      <c r="AX46" s="262" t="str">
        <f t="shared" si="46"/>
        <v/>
      </c>
      <c r="AY46" s="217" t="str">
        <f t="shared" si="47"/>
        <v/>
      </c>
      <c r="AZ46" s="229" t="str">
        <f t="shared" si="48"/>
        <v/>
      </c>
      <c r="BA46" s="262" t="str">
        <f t="shared" si="49"/>
        <v/>
      </c>
      <c r="BB46" s="217" t="str">
        <f t="shared" si="50"/>
        <v/>
      </c>
      <c r="BC46" s="229" t="str">
        <f t="shared" si="51"/>
        <v/>
      </c>
      <c r="BD46" s="262" t="str">
        <f t="shared" si="52"/>
        <v/>
      </c>
      <c r="BE46" s="217" t="str">
        <f t="shared" si="53"/>
        <v/>
      </c>
      <c r="BF46" s="229" t="str">
        <f t="shared" si="54"/>
        <v/>
      </c>
      <c r="BG46" s="262" t="str">
        <f t="shared" si="55"/>
        <v/>
      </c>
      <c r="BH46" s="217" t="str">
        <f t="shared" si="56"/>
        <v/>
      </c>
      <c r="BI46" s="229" t="str">
        <f t="shared" si="57"/>
        <v/>
      </c>
      <c r="BJ46" s="262" t="str">
        <f t="shared" si="58"/>
        <v/>
      </c>
      <c r="BK46" s="217" t="str">
        <f t="shared" si="59"/>
        <v/>
      </c>
      <c r="BL46" s="229" t="str">
        <f t="shared" si="60"/>
        <v/>
      </c>
    </row>
    <row r="47" spans="1:77" x14ac:dyDescent="0.25">
      <c r="A47" s="260" t="str">
        <f t="shared" si="37"/>
        <v>#35:</v>
      </c>
      <c r="B47" s="145">
        <v>2.7432000000000003</v>
      </c>
      <c r="C47" s="145">
        <v>3.6576000000000004</v>
      </c>
      <c r="D47" s="260" t="str">
        <f t="shared" si="38"/>
        <v/>
      </c>
      <c r="E47" s="145"/>
      <c r="F47" s="145"/>
      <c r="G47" s="260" t="str">
        <f t="shared" si="39"/>
        <v/>
      </c>
      <c r="H47" s="145"/>
      <c r="I47" s="145"/>
      <c r="J47" s="261" t="str">
        <f t="shared" si="40"/>
        <v/>
      </c>
      <c r="K47" s="145"/>
      <c r="L47" s="145"/>
      <c r="M47" s="260" t="str">
        <f t="shared" si="41"/>
        <v/>
      </c>
      <c r="N47" s="145"/>
      <c r="O47" s="145"/>
      <c r="P47" s="260" t="str">
        <f t="shared" si="42"/>
        <v/>
      </c>
      <c r="Q47" s="145"/>
      <c r="R47" s="145"/>
      <c r="S47" s="259"/>
      <c r="T47" s="2"/>
      <c r="U47" s="256">
        <v>43</v>
      </c>
      <c r="V47" s="16" t="str">
        <f t="shared" si="33"/>
        <v/>
      </c>
      <c r="W47" s="16" t="str">
        <f t="shared" si="34"/>
        <v/>
      </c>
      <c r="X47" s="16" t="str">
        <f t="shared" si="2"/>
        <v/>
      </c>
      <c r="Y47" s="16" t="str">
        <f t="shared" si="3"/>
        <v/>
      </c>
      <c r="Z47" s="16" t="str">
        <f t="shared" si="4"/>
        <v/>
      </c>
      <c r="AA47" s="17" t="str">
        <f t="shared" si="35"/>
        <v/>
      </c>
      <c r="AB47" s="17" t="str">
        <f t="shared" si="36"/>
        <v/>
      </c>
      <c r="AC47" s="18" t="str">
        <f t="shared" si="7"/>
        <v/>
      </c>
      <c r="AD47" s="18" t="str">
        <f t="shared" si="8"/>
        <v/>
      </c>
      <c r="AG47" s="2"/>
      <c r="AH47" s="2"/>
      <c r="AI47" s="2"/>
      <c r="AJ47" s="2"/>
      <c r="AK47" s="2"/>
      <c r="AL47" s="2"/>
      <c r="AM47" s="2"/>
      <c r="AN47" s="2"/>
      <c r="AO47" s="2"/>
      <c r="AP47" s="2"/>
      <c r="AQ47" s="2"/>
      <c r="AT47" s="2"/>
      <c r="AU47" s="262" t="str">
        <f t="shared" si="43"/>
        <v>#35:</v>
      </c>
      <c r="AV47" s="217">
        <f t="shared" si="44"/>
        <v>9.0000002880000007</v>
      </c>
      <c r="AW47" s="229">
        <f t="shared" si="45"/>
        <v>12.000000384000002</v>
      </c>
      <c r="AX47" s="262" t="str">
        <f t="shared" si="46"/>
        <v/>
      </c>
      <c r="AY47" s="217" t="str">
        <f t="shared" si="47"/>
        <v/>
      </c>
      <c r="AZ47" s="229" t="str">
        <f t="shared" si="48"/>
        <v/>
      </c>
      <c r="BA47" s="262" t="str">
        <f t="shared" si="49"/>
        <v/>
      </c>
      <c r="BB47" s="217" t="str">
        <f t="shared" si="50"/>
        <v/>
      </c>
      <c r="BC47" s="229" t="str">
        <f t="shared" si="51"/>
        <v/>
      </c>
      <c r="BD47" s="262" t="str">
        <f t="shared" si="52"/>
        <v/>
      </c>
      <c r="BE47" s="217" t="str">
        <f t="shared" si="53"/>
        <v/>
      </c>
      <c r="BF47" s="229" t="str">
        <f t="shared" si="54"/>
        <v/>
      </c>
      <c r="BG47" s="262" t="str">
        <f t="shared" si="55"/>
        <v/>
      </c>
      <c r="BH47" s="217" t="str">
        <f t="shared" si="56"/>
        <v/>
      </c>
      <c r="BI47" s="229" t="str">
        <f t="shared" si="57"/>
        <v/>
      </c>
      <c r="BJ47" s="262" t="str">
        <f t="shared" si="58"/>
        <v/>
      </c>
      <c r="BK47" s="217" t="str">
        <f t="shared" si="59"/>
        <v/>
      </c>
      <c r="BL47" s="229" t="str">
        <f t="shared" si="60"/>
        <v/>
      </c>
    </row>
    <row r="48" spans="1:77" x14ac:dyDescent="0.25">
      <c r="A48" s="260" t="str">
        <f t="shared" si="37"/>
        <v>#36:</v>
      </c>
      <c r="B48" s="145">
        <v>2.7432000000000003</v>
      </c>
      <c r="C48" s="145">
        <v>4.5720000000000001</v>
      </c>
      <c r="D48" s="260" t="str">
        <f t="shared" si="38"/>
        <v/>
      </c>
      <c r="E48" s="145"/>
      <c r="F48" s="145"/>
      <c r="G48" s="260" t="str">
        <f t="shared" si="39"/>
        <v/>
      </c>
      <c r="H48" s="145"/>
      <c r="I48" s="145"/>
      <c r="J48" s="261" t="str">
        <f t="shared" si="40"/>
        <v/>
      </c>
      <c r="K48" s="145"/>
      <c r="L48" s="145"/>
      <c r="M48" s="260" t="str">
        <f t="shared" si="41"/>
        <v/>
      </c>
      <c r="N48" s="145"/>
      <c r="O48" s="145"/>
      <c r="P48" s="260" t="str">
        <f t="shared" si="42"/>
        <v/>
      </c>
      <c r="Q48" s="145"/>
      <c r="R48" s="145"/>
      <c r="S48" s="259"/>
      <c r="T48" s="2"/>
      <c r="U48" s="256">
        <v>44</v>
      </c>
      <c r="V48" s="16" t="str">
        <f t="shared" si="33"/>
        <v/>
      </c>
      <c r="W48" s="16" t="str">
        <f t="shared" si="34"/>
        <v/>
      </c>
      <c r="X48" s="16" t="str">
        <f t="shared" si="2"/>
        <v/>
      </c>
      <c r="Y48" s="16" t="str">
        <f t="shared" si="3"/>
        <v/>
      </c>
      <c r="Z48" s="16" t="str">
        <f t="shared" si="4"/>
        <v/>
      </c>
      <c r="AA48" s="17" t="str">
        <f t="shared" si="35"/>
        <v/>
      </c>
      <c r="AB48" s="17" t="str">
        <f t="shared" si="36"/>
        <v/>
      </c>
      <c r="AC48" s="18" t="str">
        <f t="shared" si="7"/>
        <v/>
      </c>
      <c r="AD48" s="18" t="str">
        <f t="shared" si="8"/>
        <v/>
      </c>
      <c r="AG48" s="2"/>
      <c r="AH48" s="2"/>
      <c r="AI48" s="2"/>
      <c r="AJ48" s="2"/>
      <c r="AK48" s="2"/>
      <c r="AL48" s="2"/>
      <c r="AM48" s="2"/>
      <c r="AN48" s="2"/>
      <c r="AO48" s="2"/>
      <c r="AP48" s="2"/>
      <c r="AQ48" s="2"/>
      <c r="AT48" s="2"/>
      <c r="AU48" s="262" t="str">
        <f t="shared" si="43"/>
        <v>#36:</v>
      </c>
      <c r="AV48" s="217">
        <f t="shared" si="44"/>
        <v>9.0000002880000007</v>
      </c>
      <c r="AW48" s="229">
        <f t="shared" si="45"/>
        <v>15.000000480000001</v>
      </c>
      <c r="AX48" s="262" t="str">
        <f t="shared" si="46"/>
        <v/>
      </c>
      <c r="AY48" s="217" t="str">
        <f t="shared" si="47"/>
        <v/>
      </c>
      <c r="AZ48" s="229" t="str">
        <f t="shared" si="48"/>
        <v/>
      </c>
      <c r="BA48" s="262" t="str">
        <f t="shared" si="49"/>
        <v/>
      </c>
      <c r="BB48" s="217" t="str">
        <f t="shared" si="50"/>
        <v/>
      </c>
      <c r="BC48" s="229" t="str">
        <f t="shared" si="51"/>
        <v/>
      </c>
      <c r="BD48" s="262" t="str">
        <f t="shared" si="52"/>
        <v/>
      </c>
      <c r="BE48" s="217" t="str">
        <f t="shared" si="53"/>
        <v/>
      </c>
      <c r="BF48" s="229" t="str">
        <f t="shared" si="54"/>
        <v/>
      </c>
      <c r="BG48" s="262" t="str">
        <f t="shared" si="55"/>
        <v/>
      </c>
      <c r="BH48" s="217" t="str">
        <f t="shared" si="56"/>
        <v/>
      </c>
      <c r="BI48" s="229" t="str">
        <f t="shared" si="57"/>
        <v/>
      </c>
      <c r="BJ48" s="262" t="str">
        <f t="shared" si="58"/>
        <v/>
      </c>
      <c r="BK48" s="217" t="str">
        <f t="shared" si="59"/>
        <v/>
      </c>
      <c r="BL48" s="229" t="str">
        <f t="shared" si="60"/>
        <v/>
      </c>
    </row>
    <row r="49" spans="1:64" x14ac:dyDescent="0.25">
      <c r="A49" s="260" t="str">
        <f t="shared" si="37"/>
        <v>#37:</v>
      </c>
      <c r="B49" s="145">
        <v>2.7432000000000003</v>
      </c>
      <c r="C49" s="145">
        <v>5.4864000000000006</v>
      </c>
      <c r="D49" s="260" t="str">
        <f t="shared" si="38"/>
        <v/>
      </c>
      <c r="E49" s="145"/>
      <c r="F49" s="145"/>
      <c r="G49" s="260" t="str">
        <f t="shared" si="39"/>
        <v/>
      </c>
      <c r="H49" s="145"/>
      <c r="I49" s="145"/>
      <c r="J49" s="261" t="str">
        <f t="shared" si="40"/>
        <v/>
      </c>
      <c r="K49" s="145"/>
      <c r="L49" s="145"/>
      <c r="M49" s="260" t="str">
        <f t="shared" si="41"/>
        <v/>
      </c>
      <c r="N49" s="145"/>
      <c r="O49" s="145"/>
      <c r="P49" s="260" t="str">
        <f t="shared" si="42"/>
        <v/>
      </c>
      <c r="Q49" s="145"/>
      <c r="R49" s="145"/>
      <c r="S49" s="259"/>
      <c r="T49" s="2"/>
      <c r="U49" s="256">
        <v>45</v>
      </c>
      <c r="V49" s="16" t="str">
        <f t="shared" si="33"/>
        <v/>
      </c>
      <c r="W49" s="16" t="str">
        <f t="shared" si="34"/>
        <v/>
      </c>
      <c r="X49" s="16" t="str">
        <f t="shared" si="2"/>
        <v/>
      </c>
      <c r="Y49" s="16" t="str">
        <f t="shared" si="3"/>
        <v/>
      </c>
      <c r="Z49" s="16" t="str">
        <f t="shared" si="4"/>
        <v/>
      </c>
      <c r="AA49" s="17" t="str">
        <f t="shared" si="35"/>
        <v/>
      </c>
      <c r="AB49" s="17" t="str">
        <f t="shared" si="36"/>
        <v/>
      </c>
      <c r="AC49" s="18" t="str">
        <f t="shared" si="7"/>
        <v/>
      </c>
      <c r="AD49" s="18" t="str">
        <f t="shared" si="8"/>
        <v/>
      </c>
      <c r="AG49" s="2"/>
      <c r="AH49" s="2"/>
      <c r="AI49" s="2"/>
      <c r="AJ49" s="2"/>
      <c r="AK49" s="2"/>
      <c r="AL49" s="2"/>
      <c r="AM49" s="2"/>
      <c r="AN49" s="2"/>
      <c r="AO49" s="2"/>
      <c r="AP49" s="2"/>
      <c r="AQ49" s="2"/>
      <c r="AT49" s="2"/>
      <c r="AU49" s="262" t="str">
        <f t="shared" si="43"/>
        <v>#37:</v>
      </c>
      <c r="AV49" s="217">
        <f t="shared" si="44"/>
        <v>9.0000002880000007</v>
      </c>
      <c r="AW49" s="229">
        <f t="shared" si="45"/>
        <v>18.000000576000001</v>
      </c>
      <c r="AX49" s="262" t="str">
        <f t="shared" si="46"/>
        <v/>
      </c>
      <c r="AY49" s="217" t="str">
        <f t="shared" si="47"/>
        <v/>
      </c>
      <c r="AZ49" s="229" t="str">
        <f t="shared" si="48"/>
        <v/>
      </c>
      <c r="BA49" s="262" t="str">
        <f t="shared" si="49"/>
        <v/>
      </c>
      <c r="BB49" s="217" t="str">
        <f t="shared" si="50"/>
        <v/>
      </c>
      <c r="BC49" s="229" t="str">
        <f t="shared" si="51"/>
        <v/>
      </c>
      <c r="BD49" s="262" t="str">
        <f t="shared" si="52"/>
        <v/>
      </c>
      <c r="BE49" s="217" t="str">
        <f t="shared" si="53"/>
        <v/>
      </c>
      <c r="BF49" s="229" t="str">
        <f t="shared" si="54"/>
        <v/>
      </c>
      <c r="BG49" s="262" t="str">
        <f t="shared" si="55"/>
        <v/>
      </c>
      <c r="BH49" s="217" t="str">
        <f t="shared" si="56"/>
        <v/>
      </c>
      <c r="BI49" s="229" t="str">
        <f t="shared" si="57"/>
        <v/>
      </c>
      <c r="BJ49" s="262" t="str">
        <f t="shared" si="58"/>
        <v/>
      </c>
      <c r="BK49" s="217" t="str">
        <f t="shared" si="59"/>
        <v/>
      </c>
      <c r="BL49" s="229" t="str">
        <f t="shared" si="60"/>
        <v/>
      </c>
    </row>
    <row r="50" spans="1:64" x14ac:dyDescent="0.25">
      <c r="A50" s="260" t="str">
        <f t="shared" si="37"/>
        <v>#38:</v>
      </c>
      <c r="B50" s="145">
        <v>2.7432000000000003</v>
      </c>
      <c r="C50" s="145">
        <v>6.4008000000000003</v>
      </c>
      <c r="D50" s="260" t="str">
        <f t="shared" si="38"/>
        <v/>
      </c>
      <c r="E50" s="145"/>
      <c r="F50" s="145"/>
      <c r="G50" s="260" t="str">
        <f t="shared" si="39"/>
        <v/>
      </c>
      <c r="H50" s="145"/>
      <c r="I50" s="145"/>
      <c r="J50" s="261" t="str">
        <f t="shared" si="40"/>
        <v/>
      </c>
      <c r="K50" s="145"/>
      <c r="L50" s="145"/>
      <c r="M50" s="260" t="str">
        <f t="shared" si="41"/>
        <v/>
      </c>
      <c r="N50" s="145"/>
      <c r="O50" s="145"/>
      <c r="P50" s="260" t="str">
        <f t="shared" si="42"/>
        <v/>
      </c>
      <c r="Q50" s="145"/>
      <c r="R50" s="145"/>
      <c r="S50" s="259"/>
      <c r="T50" s="2"/>
      <c r="U50" s="256">
        <v>46</v>
      </c>
      <c r="V50" s="16" t="str">
        <f t="shared" si="33"/>
        <v/>
      </c>
      <c r="W50" s="16" t="str">
        <f t="shared" si="34"/>
        <v/>
      </c>
      <c r="X50" s="16" t="str">
        <f t="shared" si="2"/>
        <v/>
      </c>
      <c r="Y50" s="16" t="str">
        <f t="shared" si="3"/>
        <v/>
      </c>
      <c r="Z50" s="16" t="str">
        <f t="shared" si="4"/>
        <v/>
      </c>
      <c r="AA50" s="17" t="str">
        <f t="shared" si="35"/>
        <v/>
      </c>
      <c r="AB50" s="17" t="str">
        <f t="shared" si="36"/>
        <v/>
      </c>
      <c r="AC50" s="18" t="str">
        <f t="shared" si="7"/>
        <v/>
      </c>
      <c r="AD50" s="18" t="str">
        <f t="shared" si="8"/>
        <v/>
      </c>
      <c r="AG50" s="2"/>
      <c r="AH50" s="2"/>
      <c r="AI50" s="2"/>
      <c r="AJ50" s="2"/>
      <c r="AK50" s="2"/>
      <c r="AL50" s="2"/>
      <c r="AM50" s="2"/>
      <c r="AN50" s="2"/>
      <c r="AO50" s="2"/>
      <c r="AP50" s="2"/>
      <c r="AQ50" s="2"/>
      <c r="AT50" s="2"/>
      <c r="AU50" s="262" t="str">
        <f t="shared" si="43"/>
        <v>#38:</v>
      </c>
      <c r="AV50" s="217">
        <f t="shared" si="44"/>
        <v>9.0000002880000007</v>
      </c>
      <c r="AW50" s="229">
        <f t="shared" si="45"/>
        <v>21.000000672000002</v>
      </c>
      <c r="AX50" s="262" t="str">
        <f t="shared" si="46"/>
        <v/>
      </c>
      <c r="AY50" s="217" t="str">
        <f t="shared" si="47"/>
        <v/>
      </c>
      <c r="AZ50" s="229" t="str">
        <f t="shared" si="48"/>
        <v/>
      </c>
      <c r="BA50" s="262" t="str">
        <f t="shared" si="49"/>
        <v/>
      </c>
      <c r="BB50" s="217" t="str">
        <f t="shared" si="50"/>
        <v/>
      </c>
      <c r="BC50" s="229" t="str">
        <f t="shared" si="51"/>
        <v/>
      </c>
      <c r="BD50" s="262" t="str">
        <f t="shared" si="52"/>
        <v/>
      </c>
      <c r="BE50" s="217" t="str">
        <f t="shared" si="53"/>
        <v/>
      </c>
      <c r="BF50" s="229" t="str">
        <f t="shared" si="54"/>
        <v/>
      </c>
      <c r="BG50" s="262" t="str">
        <f t="shared" si="55"/>
        <v/>
      </c>
      <c r="BH50" s="217" t="str">
        <f t="shared" si="56"/>
        <v/>
      </c>
      <c r="BI50" s="229" t="str">
        <f t="shared" si="57"/>
        <v/>
      </c>
      <c r="BJ50" s="262" t="str">
        <f t="shared" si="58"/>
        <v/>
      </c>
      <c r="BK50" s="217" t="str">
        <f t="shared" si="59"/>
        <v/>
      </c>
      <c r="BL50" s="229" t="str">
        <f t="shared" si="60"/>
        <v/>
      </c>
    </row>
    <row r="51" spans="1:64" x14ac:dyDescent="0.25">
      <c r="A51" s="260" t="str">
        <f t="shared" si="37"/>
        <v>#39:</v>
      </c>
      <c r="B51" s="145">
        <v>2.7432000000000003</v>
      </c>
      <c r="C51" s="145">
        <v>7.3152000000000008</v>
      </c>
      <c r="D51" s="260" t="str">
        <f t="shared" si="38"/>
        <v/>
      </c>
      <c r="E51" s="145"/>
      <c r="F51" s="145"/>
      <c r="G51" s="260" t="str">
        <f t="shared" si="39"/>
        <v/>
      </c>
      <c r="H51" s="145"/>
      <c r="I51" s="145"/>
      <c r="J51" s="261" t="str">
        <f t="shared" si="40"/>
        <v/>
      </c>
      <c r="K51" s="145"/>
      <c r="L51" s="145"/>
      <c r="M51" s="260" t="str">
        <f t="shared" si="41"/>
        <v/>
      </c>
      <c r="N51" s="145"/>
      <c r="O51" s="145"/>
      <c r="P51" s="260" t="str">
        <f t="shared" si="42"/>
        <v/>
      </c>
      <c r="Q51" s="145"/>
      <c r="R51" s="145"/>
      <c r="S51" s="259"/>
      <c r="T51" s="2"/>
      <c r="U51" s="256">
        <v>47</v>
      </c>
      <c r="V51" s="16" t="str">
        <f t="shared" si="33"/>
        <v/>
      </c>
      <c r="W51" s="16" t="str">
        <f t="shared" si="34"/>
        <v/>
      </c>
      <c r="X51" s="16" t="str">
        <f t="shared" si="2"/>
        <v/>
      </c>
      <c r="Y51" s="16" t="str">
        <f t="shared" si="3"/>
        <v/>
      </c>
      <c r="Z51" s="16" t="str">
        <f t="shared" si="4"/>
        <v/>
      </c>
      <c r="AA51" s="17" t="str">
        <f t="shared" si="35"/>
        <v/>
      </c>
      <c r="AB51" s="17" t="str">
        <f t="shared" si="36"/>
        <v/>
      </c>
      <c r="AC51" s="18" t="str">
        <f t="shared" si="7"/>
        <v/>
      </c>
      <c r="AD51" s="18" t="str">
        <f t="shared" si="8"/>
        <v/>
      </c>
      <c r="AG51" s="2"/>
      <c r="AH51" s="2"/>
      <c r="AI51" s="2"/>
      <c r="AJ51" s="2"/>
      <c r="AK51" s="2"/>
      <c r="AL51" s="2"/>
      <c r="AM51" s="2"/>
      <c r="AN51" s="2"/>
      <c r="AO51" s="2"/>
      <c r="AP51" s="2"/>
      <c r="AQ51" s="2"/>
      <c r="AT51" s="2"/>
      <c r="AU51" s="262" t="str">
        <f t="shared" si="43"/>
        <v>#39:</v>
      </c>
      <c r="AV51" s="217">
        <f t="shared" si="44"/>
        <v>9.0000002880000007</v>
      </c>
      <c r="AW51" s="229">
        <f t="shared" si="45"/>
        <v>24.000000768000003</v>
      </c>
      <c r="AX51" s="262" t="str">
        <f t="shared" si="46"/>
        <v/>
      </c>
      <c r="AY51" s="217" t="str">
        <f t="shared" si="47"/>
        <v/>
      </c>
      <c r="AZ51" s="229" t="str">
        <f t="shared" si="48"/>
        <v/>
      </c>
      <c r="BA51" s="262" t="str">
        <f t="shared" si="49"/>
        <v/>
      </c>
      <c r="BB51" s="217" t="str">
        <f t="shared" si="50"/>
        <v/>
      </c>
      <c r="BC51" s="229" t="str">
        <f t="shared" si="51"/>
        <v/>
      </c>
      <c r="BD51" s="262" t="str">
        <f t="shared" si="52"/>
        <v/>
      </c>
      <c r="BE51" s="217" t="str">
        <f t="shared" si="53"/>
        <v/>
      </c>
      <c r="BF51" s="229" t="str">
        <f t="shared" si="54"/>
        <v/>
      </c>
      <c r="BG51" s="262" t="str">
        <f t="shared" si="55"/>
        <v/>
      </c>
      <c r="BH51" s="217" t="str">
        <f t="shared" si="56"/>
        <v/>
      </c>
      <c r="BI51" s="229" t="str">
        <f t="shared" si="57"/>
        <v/>
      </c>
      <c r="BJ51" s="262" t="str">
        <f t="shared" si="58"/>
        <v/>
      </c>
      <c r="BK51" s="217" t="str">
        <f t="shared" si="59"/>
        <v/>
      </c>
      <c r="BL51" s="229" t="str">
        <f t="shared" si="60"/>
        <v/>
      </c>
    </row>
    <row r="52" spans="1:64" x14ac:dyDescent="0.25">
      <c r="A52" s="260" t="str">
        <f t="shared" si="37"/>
        <v>#40:</v>
      </c>
      <c r="B52" s="145">
        <v>2.7432000000000003</v>
      </c>
      <c r="C52" s="145">
        <v>8.2295999999999996</v>
      </c>
      <c r="D52" s="260" t="str">
        <f t="shared" si="38"/>
        <v/>
      </c>
      <c r="E52" s="145"/>
      <c r="F52" s="145"/>
      <c r="G52" s="260" t="str">
        <f t="shared" si="39"/>
        <v/>
      </c>
      <c r="H52" s="145"/>
      <c r="I52" s="145"/>
      <c r="J52" s="261" t="str">
        <f t="shared" si="40"/>
        <v/>
      </c>
      <c r="K52" s="145"/>
      <c r="L52" s="145"/>
      <c r="M52" s="260" t="str">
        <f t="shared" si="41"/>
        <v/>
      </c>
      <c r="N52" s="145"/>
      <c r="O52" s="145"/>
      <c r="P52" s="260" t="str">
        <f t="shared" si="42"/>
        <v/>
      </c>
      <c r="Q52" s="145"/>
      <c r="R52" s="145"/>
      <c r="S52" s="259"/>
      <c r="T52" s="2"/>
      <c r="U52" s="256">
        <v>48</v>
      </c>
      <c r="V52" s="16" t="str">
        <f t="shared" si="33"/>
        <v/>
      </c>
      <c r="W52" s="16" t="str">
        <f t="shared" si="34"/>
        <v/>
      </c>
      <c r="X52" s="16" t="str">
        <f t="shared" si="2"/>
        <v/>
      </c>
      <c r="Y52" s="16" t="str">
        <f t="shared" si="3"/>
        <v/>
      </c>
      <c r="Z52" s="16" t="str">
        <f t="shared" si="4"/>
        <v/>
      </c>
      <c r="AA52" s="17" t="str">
        <f t="shared" si="35"/>
        <v/>
      </c>
      <c r="AB52" s="17" t="str">
        <f t="shared" si="36"/>
        <v/>
      </c>
      <c r="AC52" s="18" t="str">
        <f t="shared" si="7"/>
        <v/>
      </c>
      <c r="AD52" s="18" t="str">
        <f t="shared" si="8"/>
        <v/>
      </c>
      <c r="AG52" s="2"/>
      <c r="AH52" s="2"/>
      <c r="AI52" s="2"/>
      <c r="AJ52" s="2"/>
      <c r="AK52" s="2"/>
      <c r="AL52" s="2"/>
      <c r="AM52" s="2"/>
      <c r="AN52" s="2"/>
      <c r="AO52" s="2"/>
      <c r="AP52" s="2"/>
      <c r="AQ52" s="2"/>
      <c r="AT52" s="2"/>
      <c r="AU52" s="262" t="str">
        <f t="shared" si="43"/>
        <v>#40:</v>
      </c>
      <c r="AV52" s="217">
        <f t="shared" si="44"/>
        <v>9.0000002880000007</v>
      </c>
      <c r="AW52" s="229">
        <f t="shared" si="45"/>
        <v>27.000000863999997</v>
      </c>
      <c r="AX52" s="262" t="str">
        <f t="shared" si="46"/>
        <v/>
      </c>
      <c r="AY52" s="217" t="str">
        <f t="shared" si="47"/>
        <v/>
      </c>
      <c r="AZ52" s="229" t="str">
        <f t="shared" si="48"/>
        <v/>
      </c>
      <c r="BA52" s="262" t="str">
        <f t="shared" si="49"/>
        <v/>
      </c>
      <c r="BB52" s="217" t="str">
        <f t="shared" si="50"/>
        <v/>
      </c>
      <c r="BC52" s="229" t="str">
        <f t="shared" si="51"/>
        <v/>
      </c>
      <c r="BD52" s="262" t="str">
        <f t="shared" si="52"/>
        <v/>
      </c>
      <c r="BE52" s="217" t="str">
        <f t="shared" si="53"/>
        <v/>
      </c>
      <c r="BF52" s="229" t="str">
        <f t="shared" si="54"/>
        <v/>
      </c>
      <c r="BG52" s="262" t="str">
        <f t="shared" si="55"/>
        <v/>
      </c>
      <c r="BH52" s="217" t="str">
        <f t="shared" si="56"/>
        <v/>
      </c>
      <c r="BI52" s="229" t="str">
        <f t="shared" si="57"/>
        <v/>
      </c>
      <c r="BJ52" s="262" t="str">
        <f t="shared" si="58"/>
        <v/>
      </c>
      <c r="BK52" s="217" t="str">
        <f t="shared" si="59"/>
        <v/>
      </c>
      <c r="BL52" s="229" t="str">
        <f t="shared" si="60"/>
        <v/>
      </c>
    </row>
    <row r="53" spans="1:64" x14ac:dyDescent="0.25">
      <c r="A53" s="260" t="str">
        <f t="shared" si="37"/>
        <v/>
      </c>
      <c r="B53" s="145"/>
      <c r="C53" s="145"/>
      <c r="D53" s="260" t="str">
        <f t="shared" si="38"/>
        <v/>
      </c>
      <c r="E53" s="145"/>
      <c r="F53" s="145"/>
      <c r="G53" s="260" t="str">
        <f t="shared" si="39"/>
        <v/>
      </c>
      <c r="H53" s="145"/>
      <c r="I53" s="145"/>
      <c r="J53" s="261" t="str">
        <f t="shared" si="40"/>
        <v/>
      </c>
      <c r="K53" s="145"/>
      <c r="L53" s="145"/>
      <c r="M53" s="260" t="str">
        <f t="shared" si="41"/>
        <v/>
      </c>
      <c r="N53" s="145"/>
      <c r="O53" s="145"/>
      <c r="P53" s="260" t="str">
        <f t="shared" si="42"/>
        <v/>
      </c>
      <c r="Q53" s="145"/>
      <c r="R53" s="145"/>
      <c r="S53" s="259"/>
      <c r="T53" s="2"/>
      <c r="U53" s="256">
        <v>49</v>
      </c>
      <c r="V53" s="16" t="str">
        <f t="shared" si="33"/>
        <v/>
      </c>
      <c r="W53" s="16" t="str">
        <f t="shared" si="34"/>
        <v/>
      </c>
      <c r="X53" s="16" t="str">
        <f t="shared" si="2"/>
        <v/>
      </c>
      <c r="Y53" s="16" t="str">
        <f t="shared" si="3"/>
        <v/>
      </c>
      <c r="Z53" s="16" t="str">
        <f t="shared" si="4"/>
        <v/>
      </c>
      <c r="AA53" s="17" t="str">
        <f t="shared" si="35"/>
        <v/>
      </c>
      <c r="AB53" s="17" t="str">
        <f t="shared" si="36"/>
        <v/>
      </c>
      <c r="AC53" s="18" t="str">
        <f t="shared" si="7"/>
        <v/>
      </c>
      <c r="AD53" s="18" t="str">
        <f t="shared" si="8"/>
        <v/>
      </c>
      <c r="AG53" s="2"/>
      <c r="AH53" s="2"/>
      <c r="AI53" s="2"/>
      <c r="AJ53" s="2"/>
      <c r="AK53" s="2"/>
      <c r="AL53" s="2"/>
      <c r="AM53" s="2"/>
      <c r="AN53" s="2"/>
      <c r="AO53" s="2"/>
      <c r="AP53" s="2"/>
      <c r="AQ53" s="2"/>
      <c r="AT53" s="2"/>
      <c r="AU53" s="262" t="str">
        <f t="shared" si="43"/>
        <v/>
      </c>
      <c r="AV53" s="217" t="str">
        <f t="shared" si="44"/>
        <v/>
      </c>
      <c r="AW53" s="229" t="str">
        <f t="shared" si="45"/>
        <v/>
      </c>
      <c r="AX53" s="262" t="str">
        <f t="shared" si="46"/>
        <v/>
      </c>
      <c r="AY53" s="217" t="str">
        <f t="shared" si="47"/>
        <v/>
      </c>
      <c r="AZ53" s="229" t="str">
        <f t="shared" si="48"/>
        <v/>
      </c>
      <c r="BA53" s="262" t="str">
        <f t="shared" si="49"/>
        <v/>
      </c>
      <c r="BB53" s="217" t="str">
        <f t="shared" si="50"/>
        <v/>
      </c>
      <c r="BC53" s="229" t="str">
        <f t="shared" si="51"/>
        <v/>
      </c>
      <c r="BD53" s="262" t="str">
        <f t="shared" si="52"/>
        <v/>
      </c>
      <c r="BE53" s="217" t="str">
        <f t="shared" si="53"/>
        <v/>
      </c>
      <c r="BF53" s="229" t="str">
        <f t="shared" si="54"/>
        <v/>
      </c>
      <c r="BG53" s="262" t="str">
        <f t="shared" si="55"/>
        <v/>
      </c>
      <c r="BH53" s="217" t="str">
        <f t="shared" si="56"/>
        <v/>
      </c>
      <c r="BI53" s="229" t="str">
        <f t="shared" si="57"/>
        <v/>
      </c>
      <c r="BJ53" s="262" t="str">
        <f t="shared" si="58"/>
        <v/>
      </c>
      <c r="BK53" s="217" t="str">
        <f t="shared" si="59"/>
        <v/>
      </c>
      <c r="BL53" s="229" t="str">
        <f t="shared" si="60"/>
        <v/>
      </c>
    </row>
    <row r="54" spans="1:64" x14ac:dyDescent="0.25">
      <c r="A54" s="260" t="str">
        <f t="shared" si="37"/>
        <v/>
      </c>
      <c r="B54" s="145"/>
      <c r="C54" s="145"/>
      <c r="D54" s="260" t="str">
        <f t="shared" si="38"/>
        <v/>
      </c>
      <c r="E54" s="145"/>
      <c r="F54" s="145"/>
      <c r="G54" s="260" t="str">
        <f t="shared" si="39"/>
        <v/>
      </c>
      <c r="H54" s="145"/>
      <c r="I54" s="145"/>
      <c r="J54" s="261" t="str">
        <f t="shared" si="40"/>
        <v/>
      </c>
      <c r="K54" s="145"/>
      <c r="L54" s="145"/>
      <c r="M54" s="260" t="str">
        <f t="shared" si="41"/>
        <v/>
      </c>
      <c r="N54" s="145"/>
      <c r="O54" s="145"/>
      <c r="P54" s="260" t="str">
        <f t="shared" si="42"/>
        <v/>
      </c>
      <c r="Q54" s="145"/>
      <c r="R54" s="145"/>
      <c r="S54" s="259"/>
      <c r="T54" s="2"/>
      <c r="U54" s="256">
        <v>50</v>
      </c>
      <c r="V54" s="16" t="str">
        <f t="shared" si="33"/>
        <v/>
      </c>
      <c r="W54" s="16" t="str">
        <f t="shared" si="34"/>
        <v/>
      </c>
      <c r="X54" s="16" t="str">
        <f t="shared" si="2"/>
        <v/>
      </c>
      <c r="Y54" s="16" t="str">
        <f t="shared" si="3"/>
        <v/>
      </c>
      <c r="Z54" s="16" t="str">
        <f t="shared" si="4"/>
        <v/>
      </c>
      <c r="AA54" s="17" t="str">
        <f t="shared" si="35"/>
        <v/>
      </c>
      <c r="AB54" s="17" t="str">
        <f t="shared" si="36"/>
        <v/>
      </c>
      <c r="AC54" s="18" t="str">
        <f t="shared" si="7"/>
        <v/>
      </c>
      <c r="AD54" s="18" t="str">
        <f t="shared" si="8"/>
        <v/>
      </c>
      <c r="AG54" s="2"/>
      <c r="AH54" s="2"/>
      <c r="AI54" s="2"/>
      <c r="AJ54" s="2"/>
      <c r="AK54" s="2"/>
      <c r="AL54" s="2"/>
      <c r="AM54" s="2"/>
      <c r="AN54" s="2"/>
      <c r="AO54" s="2"/>
      <c r="AP54" s="2"/>
      <c r="AQ54" s="2"/>
      <c r="AT54" s="2"/>
      <c r="AU54" s="262" t="str">
        <f t="shared" si="43"/>
        <v/>
      </c>
      <c r="AV54" s="217" t="str">
        <f t="shared" si="44"/>
        <v/>
      </c>
      <c r="AW54" s="229" t="str">
        <f t="shared" si="45"/>
        <v/>
      </c>
      <c r="AX54" s="262" t="str">
        <f t="shared" si="46"/>
        <v/>
      </c>
      <c r="AY54" s="217" t="str">
        <f t="shared" si="47"/>
        <v/>
      </c>
      <c r="AZ54" s="229" t="str">
        <f t="shared" si="48"/>
        <v/>
      </c>
      <c r="BA54" s="262" t="str">
        <f t="shared" si="49"/>
        <v/>
      </c>
      <c r="BB54" s="217" t="str">
        <f t="shared" si="50"/>
        <v/>
      </c>
      <c r="BC54" s="229" t="str">
        <f t="shared" si="51"/>
        <v/>
      </c>
      <c r="BD54" s="262" t="str">
        <f t="shared" si="52"/>
        <v/>
      </c>
      <c r="BE54" s="217" t="str">
        <f t="shared" si="53"/>
        <v/>
      </c>
      <c r="BF54" s="229" t="str">
        <f t="shared" si="54"/>
        <v/>
      </c>
      <c r="BG54" s="262" t="str">
        <f t="shared" si="55"/>
        <v/>
      </c>
      <c r="BH54" s="217" t="str">
        <f t="shared" si="56"/>
        <v/>
      </c>
      <c r="BI54" s="229" t="str">
        <f t="shared" si="57"/>
        <v/>
      </c>
      <c r="BJ54" s="262" t="str">
        <f t="shared" si="58"/>
        <v/>
      </c>
      <c r="BK54" s="217" t="str">
        <f t="shared" si="59"/>
        <v/>
      </c>
      <c r="BL54" s="229" t="str">
        <f t="shared" si="60"/>
        <v/>
      </c>
    </row>
    <row r="55" spans="1:64" x14ac:dyDescent="0.25">
      <c r="A55" s="260" t="str">
        <f t="shared" si="37"/>
        <v/>
      </c>
      <c r="B55" s="145"/>
      <c r="C55" s="145"/>
      <c r="D55" s="260" t="str">
        <f t="shared" si="38"/>
        <v/>
      </c>
      <c r="E55" s="145"/>
      <c r="F55" s="145"/>
      <c r="G55" s="260" t="str">
        <f t="shared" si="39"/>
        <v/>
      </c>
      <c r="H55" s="145"/>
      <c r="I55" s="145"/>
      <c r="J55" s="261" t="str">
        <f t="shared" si="40"/>
        <v/>
      </c>
      <c r="K55" s="145"/>
      <c r="L55" s="145"/>
      <c r="M55" s="260" t="str">
        <f t="shared" si="41"/>
        <v/>
      </c>
      <c r="N55" s="145"/>
      <c r="O55" s="145"/>
      <c r="P55" s="260" t="str">
        <f t="shared" si="42"/>
        <v/>
      </c>
      <c r="Q55" s="145"/>
      <c r="R55" s="145"/>
      <c r="S55" s="259"/>
      <c r="T55" s="2"/>
      <c r="U55" s="256">
        <v>51</v>
      </c>
      <c r="V55" s="16" t="str">
        <f t="shared" ref="V55:V86" si="61">IF($C$9&gt;=$U55,$F13+0.000001-$V$310,"")</f>
        <v/>
      </c>
      <c r="W55" s="16" t="str">
        <f t="shared" ref="W55:W86" si="62">IF($C$9&gt;=$U55,$E13+0.000001-$V$309,"")</f>
        <v/>
      </c>
      <c r="X55" s="16" t="str">
        <f t="shared" si="2"/>
        <v/>
      </c>
      <c r="Y55" s="16" t="str">
        <f t="shared" si="3"/>
        <v/>
      </c>
      <c r="Z55" s="16" t="str">
        <f t="shared" si="4"/>
        <v/>
      </c>
      <c r="AA55" s="17" t="str">
        <f t="shared" ref="AA55:AA86" si="63">IF($C$9&gt;=$U55,$E13-$V$309,"")</f>
        <v/>
      </c>
      <c r="AB55" s="17" t="str">
        <f t="shared" ref="AB55:AB86" si="64">IF($C$9&gt;=$U55,$F13-$V$310,"")</f>
        <v/>
      </c>
      <c r="AC55" s="18" t="str">
        <f t="shared" si="7"/>
        <v/>
      </c>
      <c r="AD55" s="18" t="str">
        <f t="shared" si="8"/>
        <v/>
      </c>
      <c r="AG55" s="2"/>
      <c r="AH55" s="2"/>
      <c r="AI55" s="2"/>
      <c r="AJ55" s="2"/>
      <c r="AK55" s="2"/>
      <c r="AL55" s="2"/>
      <c r="AM55" s="2"/>
      <c r="AN55" s="2"/>
      <c r="AO55" s="2"/>
      <c r="AP55" s="2"/>
      <c r="AQ55" s="2"/>
      <c r="AT55" s="2"/>
      <c r="AU55" s="262" t="str">
        <f t="shared" si="43"/>
        <v/>
      </c>
      <c r="AV55" s="217" t="str">
        <f t="shared" si="44"/>
        <v/>
      </c>
      <c r="AW55" s="229" t="str">
        <f t="shared" si="45"/>
        <v/>
      </c>
      <c r="AX55" s="262" t="str">
        <f t="shared" si="46"/>
        <v/>
      </c>
      <c r="AY55" s="217" t="str">
        <f t="shared" si="47"/>
        <v/>
      </c>
      <c r="AZ55" s="229" t="str">
        <f t="shared" si="48"/>
        <v/>
      </c>
      <c r="BA55" s="262" t="str">
        <f t="shared" si="49"/>
        <v/>
      </c>
      <c r="BB55" s="217" t="str">
        <f t="shared" si="50"/>
        <v/>
      </c>
      <c r="BC55" s="229" t="str">
        <f t="shared" si="51"/>
        <v/>
      </c>
      <c r="BD55" s="262" t="str">
        <f t="shared" si="52"/>
        <v/>
      </c>
      <c r="BE55" s="217" t="str">
        <f t="shared" si="53"/>
        <v/>
      </c>
      <c r="BF55" s="229" t="str">
        <f t="shared" si="54"/>
        <v/>
      </c>
      <c r="BG55" s="262" t="str">
        <f t="shared" si="55"/>
        <v/>
      </c>
      <c r="BH55" s="217" t="str">
        <f t="shared" si="56"/>
        <v/>
      </c>
      <c r="BI55" s="229" t="str">
        <f t="shared" si="57"/>
        <v/>
      </c>
      <c r="BJ55" s="262" t="str">
        <f t="shared" si="58"/>
        <v/>
      </c>
      <c r="BK55" s="217" t="str">
        <f t="shared" si="59"/>
        <v/>
      </c>
      <c r="BL55" s="229" t="str">
        <f t="shared" si="60"/>
        <v/>
      </c>
    </row>
    <row r="56" spans="1:64" x14ac:dyDescent="0.25">
      <c r="A56" s="260" t="str">
        <f t="shared" si="37"/>
        <v/>
      </c>
      <c r="B56" s="145"/>
      <c r="C56" s="145"/>
      <c r="D56" s="260" t="str">
        <f t="shared" si="38"/>
        <v/>
      </c>
      <c r="E56" s="145"/>
      <c r="F56" s="145"/>
      <c r="G56" s="260" t="str">
        <f t="shared" si="39"/>
        <v/>
      </c>
      <c r="H56" s="145"/>
      <c r="I56" s="145"/>
      <c r="J56" s="261" t="str">
        <f t="shared" si="40"/>
        <v/>
      </c>
      <c r="K56" s="145"/>
      <c r="L56" s="145"/>
      <c r="M56" s="260" t="str">
        <f t="shared" si="41"/>
        <v/>
      </c>
      <c r="N56" s="145"/>
      <c r="O56" s="145"/>
      <c r="P56" s="260" t="str">
        <f t="shared" si="42"/>
        <v/>
      </c>
      <c r="Q56" s="145"/>
      <c r="R56" s="145"/>
      <c r="S56" s="259"/>
      <c r="T56" s="2"/>
      <c r="U56" s="256">
        <v>52</v>
      </c>
      <c r="V56" s="16" t="str">
        <f t="shared" si="61"/>
        <v/>
      </c>
      <c r="W56" s="16" t="str">
        <f t="shared" si="62"/>
        <v/>
      </c>
      <c r="X56" s="16" t="str">
        <f t="shared" si="2"/>
        <v/>
      </c>
      <c r="Y56" s="16" t="str">
        <f t="shared" si="3"/>
        <v/>
      </c>
      <c r="Z56" s="16" t="str">
        <f t="shared" si="4"/>
        <v/>
      </c>
      <c r="AA56" s="17" t="str">
        <f t="shared" si="63"/>
        <v/>
      </c>
      <c r="AB56" s="17" t="str">
        <f t="shared" si="64"/>
        <v/>
      </c>
      <c r="AC56" s="18" t="str">
        <f t="shared" si="7"/>
        <v/>
      </c>
      <c r="AD56" s="18" t="str">
        <f t="shared" si="8"/>
        <v/>
      </c>
      <c r="AG56" s="2"/>
      <c r="AH56" s="2"/>
      <c r="AI56" s="2"/>
      <c r="AJ56" s="2"/>
      <c r="AK56" s="2"/>
      <c r="AL56" s="2"/>
      <c r="AM56" s="2"/>
      <c r="AN56" s="2"/>
      <c r="AO56" s="2"/>
      <c r="AP56" s="2"/>
      <c r="AQ56" s="2"/>
      <c r="AT56" s="2"/>
      <c r="AU56" s="262" t="str">
        <f t="shared" si="43"/>
        <v/>
      </c>
      <c r="AV56" s="217" t="str">
        <f t="shared" si="44"/>
        <v/>
      </c>
      <c r="AW56" s="229" t="str">
        <f t="shared" si="45"/>
        <v/>
      </c>
      <c r="AX56" s="262" t="str">
        <f t="shared" si="46"/>
        <v/>
      </c>
      <c r="AY56" s="217" t="str">
        <f t="shared" si="47"/>
        <v/>
      </c>
      <c r="AZ56" s="229" t="str">
        <f t="shared" si="48"/>
        <v/>
      </c>
      <c r="BA56" s="262" t="str">
        <f t="shared" si="49"/>
        <v/>
      </c>
      <c r="BB56" s="217" t="str">
        <f t="shared" si="50"/>
        <v/>
      </c>
      <c r="BC56" s="229" t="str">
        <f t="shared" si="51"/>
        <v/>
      </c>
      <c r="BD56" s="262" t="str">
        <f t="shared" si="52"/>
        <v/>
      </c>
      <c r="BE56" s="217" t="str">
        <f t="shared" si="53"/>
        <v/>
      </c>
      <c r="BF56" s="229" t="str">
        <f t="shared" si="54"/>
        <v/>
      </c>
      <c r="BG56" s="262" t="str">
        <f t="shared" si="55"/>
        <v/>
      </c>
      <c r="BH56" s="217" t="str">
        <f t="shared" si="56"/>
        <v/>
      </c>
      <c r="BI56" s="229" t="str">
        <f t="shared" si="57"/>
        <v/>
      </c>
      <c r="BJ56" s="262" t="str">
        <f t="shared" si="58"/>
        <v/>
      </c>
      <c r="BK56" s="217" t="str">
        <f t="shared" si="59"/>
        <v/>
      </c>
      <c r="BL56" s="229" t="str">
        <f t="shared" si="60"/>
        <v/>
      </c>
    </row>
    <row r="57" spans="1:64" x14ac:dyDescent="0.25">
      <c r="A57" s="260" t="str">
        <f t="shared" si="37"/>
        <v/>
      </c>
      <c r="B57" s="145"/>
      <c r="C57" s="145"/>
      <c r="D57" s="260" t="str">
        <f t="shared" si="38"/>
        <v/>
      </c>
      <c r="E57" s="145"/>
      <c r="F57" s="145"/>
      <c r="G57" s="260" t="str">
        <f t="shared" si="39"/>
        <v/>
      </c>
      <c r="H57" s="145"/>
      <c r="I57" s="145"/>
      <c r="J57" s="261" t="str">
        <f t="shared" si="40"/>
        <v/>
      </c>
      <c r="K57" s="145"/>
      <c r="L57" s="145"/>
      <c r="M57" s="260" t="str">
        <f t="shared" si="41"/>
        <v/>
      </c>
      <c r="N57" s="145"/>
      <c r="O57" s="145"/>
      <c r="P57" s="260" t="str">
        <f t="shared" si="42"/>
        <v/>
      </c>
      <c r="Q57" s="145"/>
      <c r="R57" s="145"/>
      <c r="S57" s="259"/>
      <c r="T57" s="2"/>
      <c r="U57" s="256">
        <v>53</v>
      </c>
      <c r="V57" s="16" t="str">
        <f t="shared" si="61"/>
        <v/>
      </c>
      <c r="W57" s="16" t="str">
        <f t="shared" si="62"/>
        <v/>
      </c>
      <c r="X57" s="16" t="str">
        <f t="shared" si="2"/>
        <v/>
      </c>
      <c r="Y57" s="16" t="str">
        <f t="shared" si="3"/>
        <v/>
      </c>
      <c r="Z57" s="16" t="str">
        <f t="shared" si="4"/>
        <v/>
      </c>
      <c r="AA57" s="17" t="str">
        <f t="shared" si="63"/>
        <v/>
      </c>
      <c r="AB57" s="17" t="str">
        <f t="shared" si="64"/>
        <v/>
      </c>
      <c r="AC57" s="18" t="str">
        <f t="shared" si="7"/>
        <v/>
      </c>
      <c r="AD57" s="18" t="str">
        <f t="shared" si="8"/>
        <v/>
      </c>
      <c r="AG57" s="2"/>
      <c r="AH57" s="2"/>
      <c r="AI57" s="2"/>
      <c r="AJ57" s="2"/>
      <c r="AK57" s="2"/>
      <c r="AL57" s="2"/>
      <c r="AM57" s="2"/>
      <c r="AN57" s="2"/>
      <c r="AO57" s="2"/>
      <c r="AP57" s="2"/>
      <c r="AQ57" s="2"/>
      <c r="AT57" s="2"/>
      <c r="AU57" s="262" t="str">
        <f t="shared" si="43"/>
        <v/>
      </c>
      <c r="AV57" s="217" t="str">
        <f t="shared" si="44"/>
        <v/>
      </c>
      <c r="AW57" s="229" t="str">
        <f t="shared" si="45"/>
        <v/>
      </c>
      <c r="AX57" s="262" t="str">
        <f t="shared" si="46"/>
        <v/>
      </c>
      <c r="AY57" s="217" t="str">
        <f t="shared" si="47"/>
        <v/>
      </c>
      <c r="AZ57" s="229" t="str">
        <f t="shared" si="48"/>
        <v/>
      </c>
      <c r="BA57" s="262" t="str">
        <f t="shared" si="49"/>
        <v/>
      </c>
      <c r="BB57" s="217" t="str">
        <f t="shared" si="50"/>
        <v/>
      </c>
      <c r="BC57" s="229" t="str">
        <f t="shared" si="51"/>
        <v/>
      </c>
      <c r="BD57" s="262" t="str">
        <f t="shared" si="52"/>
        <v/>
      </c>
      <c r="BE57" s="217" t="str">
        <f t="shared" si="53"/>
        <v/>
      </c>
      <c r="BF57" s="229" t="str">
        <f t="shared" si="54"/>
        <v/>
      </c>
      <c r="BG57" s="262" t="str">
        <f t="shared" si="55"/>
        <v/>
      </c>
      <c r="BH57" s="217" t="str">
        <f t="shared" si="56"/>
        <v/>
      </c>
      <c r="BI57" s="229" t="str">
        <f t="shared" si="57"/>
        <v/>
      </c>
      <c r="BJ57" s="262" t="str">
        <f t="shared" si="58"/>
        <v/>
      </c>
      <c r="BK57" s="217" t="str">
        <f t="shared" si="59"/>
        <v/>
      </c>
      <c r="BL57" s="229" t="str">
        <f t="shared" si="60"/>
        <v/>
      </c>
    </row>
    <row r="58" spans="1:64" x14ac:dyDescent="0.25">
      <c r="A58" s="260" t="str">
        <f t="shared" si="37"/>
        <v/>
      </c>
      <c r="B58" s="145"/>
      <c r="C58" s="145"/>
      <c r="D58" s="260" t="str">
        <f t="shared" si="38"/>
        <v/>
      </c>
      <c r="E58" s="145"/>
      <c r="F58" s="145"/>
      <c r="G58" s="260" t="str">
        <f t="shared" si="39"/>
        <v/>
      </c>
      <c r="H58" s="145"/>
      <c r="I58" s="145"/>
      <c r="J58" s="261" t="str">
        <f t="shared" si="40"/>
        <v/>
      </c>
      <c r="K58" s="145"/>
      <c r="L58" s="145"/>
      <c r="M58" s="260" t="str">
        <f t="shared" si="41"/>
        <v/>
      </c>
      <c r="N58" s="145"/>
      <c r="O58" s="145"/>
      <c r="P58" s="260" t="str">
        <f t="shared" si="42"/>
        <v/>
      </c>
      <c r="Q58" s="145"/>
      <c r="R58" s="145"/>
      <c r="S58" s="259"/>
      <c r="T58" s="2"/>
      <c r="U58" s="256">
        <v>54</v>
      </c>
      <c r="V58" s="16" t="str">
        <f t="shared" si="61"/>
        <v/>
      </c>
      <c r="W58" s="16" t="str">
        <f t="shared" si="62"/>
        <v/>
      </c>
      <c r="X58" s="16" t="str">
        <f t="shared" si="2"/>
        <v/>
      </c>
      <c r="Y58" s="16" t="str">
        <f t="shared" si="3"/>
        <v/>
      </c>
      <c r="Z58" s="16" t="str">
        <f t="shared" si="4"/>
        <v/>
      </c>
      <c r="AA58" s="17" t="str">
        <f t="shared" si="63"/>
        <v/>
      </c>
      <c r="AB58" s="17" t="str">
        <f t="shared" si="64"/>
        <v/>
      </c>
      <c r="AC58" s="18" t="str">
        <f t="shared" si="7"/>
        <v/>
      </c>
      <c r="AD58" s="18" t="str">
        <f t="shared" si="8"/>
        <v/>
      </c>
      <c r="AG58" s="2"/>
      <c r="AH58" s="2"/>
      <c r="AI58" s="2"/>
      <c r="AJ58" s="2"/>
      <c r="AK58" s="2"/>
      <c r="AL58" s="2"/>
      <c r="AM58" s="2"/>
      <c r="AN58" s="2"/>
      <c r="AO58" s="2"/>
      <c r="AP58" s="2"/>
      <c r="AQ58" s="2"/>
      <c r="AT58" s="2"/>
      <c r="AU58" s="262" t="str">
        <f t="shared" si="43"/>
        <v/>
      </c>
      <c r="AV58" s="217" t="str">
        <f t="shared" si="44"/>
        <v/>
      </c>
      <c r="AW58" s="229" t="str">
        <f t="shared" si="45"/>
        <v/>
      </c>
      <c r="AX58" s="262" t="str">
        <f t="shared" si="46"/>
        <v/>
      </c>
      <c r="AY58" s="217" t="str">
        <f t="shared" si="47"/>
        <v/>
      </c>
      <c r="AZ58" s="229" t="str">
        <f t="shared" si="48"/>
        <v/>
      </c>
      <c r="BA58" s="262" t="str">
        <f t="shared" si="49"/>
        <v/>
      </c>
      <c r="BB58" s="217" t="str">
        <f t="shared" si="50"/>
        <v/>
      </c>
      <c r="BC58" s="229" t="str">
        <f t="shared" si="51"/>
        <v/>
      </c>
      <c r="BD58" s="262" t="str">
        <f t="shared" si="52"/>
        <v/>
      </c>
      <c r="BE58" s="217" t="str">
        <f t="shared" si="53"/>
        <v/>
      </c>
      <c r="BF58" s="229" t="str">
        <f t="shared" si="54"/>
        <v/>
      </c>
      <c r="BG58" s="262" t="str">
        <f t="shared" si="55"/>
        <v/>
      </c>
      <c r="BH58" s="217" t="str">
        <f t="shared" si="56"/>
        <v/>
      </c>
      <c r="BI58" s="229" t="str">
        <f t="shared" si="57"/>
        <v/>
      </c>
      <c r="BJ58" s="262" t="str">
        <f t="shared" si="58"/>
        <v/>
      </c>
      <c r="BK58" s="217" t="str">
        <f t="shared" si="59"/>
        <v/>
      </c>
      <c r="BL58" s="229" t="str">
        <f t="shared" si="60"/>
        <v/>
      </c>
    </row>
    <row r="59" spans="1:64" x14ac:dyDescent="0.25">
      <c r="A59" s="260" t="str">
        <f t="shared" si="37"/>
        <v/>
      </c>
      <c r="B59" s="145"/>
      <c r="C59" s="145"/>
      <c r="D59" s="260" t="str">
        <f t="shared" si="38"/>
        <v/>
      </c>
      <c r="E59" s="145"/>
      <c r="F59" s="145"/>
      <c r="G59" s="260" t="str">
        <f t="shared" si="39"/>
        <v/>
      </c>
      <c r="H59" s="145"/>
      <c r="I59" s="145"/>
      <c r="J59" s="261" t="str">
        <f t="shared" si="40"/>
        <v/>
      </c>
      <c r="K59" s="145"/>
      <c r="L59" s="145"/>
      <c r="M59" s="260" t="str">
        <f t="shared" si="41"/>
        <v/>
      </c>
      <c r="N59" s="145"/>
      <c r="O59" s="145"/>
      <c r="P59" s="260" t="str">
        <f t="shared" si="42"/>
        <v/>
      </c>
      <c r="Q59" s="145"/>
      <c r="R59" s="145"/>
      <c r="S59" s="259"/>
      <c r="T59" s="2"/>
      <c r="U59" s="256">
        <v>55</v>
      </c>
      <c r="V59" s="16" t="str">
        <f t="shared" si="61"/>
        <v/>
      </c>
      <c r="W59" s="16" t="str">
        <f t="shared" si="62"/>
        <v/>
      </c>
      <c r="X59" s="16" t="str">
        <f t="shared" si="2"/>
        <v/>
      </c>
      <c r="Y59" s="16" t="str">
        <f t="shared" si="3"/>
        <v/>
      </c>
      <c r="Z59" s="16" t="str">
        <f t="shared" si="4"/>
        <v/>
      </c>
      <c r="AA59" s="17" t="str">
        <f t="shared" si="63"/>
        <v/>
      </c>
      <c r="AB59" s="17" t="str">
        <f t="shared" si="64"/>
        <v/>
      </c>
      <c r="AC59" s="18" t="str">
        <f t="shared" si="7"/>
        <v/>
      </c>
      <c r="AD59" s="18" t="str">
        <f t="shared" si="8"/>
        <v/>
      </c>
      <c r="AG59" s="2"/>
      <c r="AH59" s="2"/>
      <c r="AI59" s="2"/>
      <c r="AJ59" s="2"/>
      <c r="AK59" s="2"/>
      <c r="AL59" s="2"/>
      <c r="AM59" s="2"/>
      <c r="AN59" s="2"/>
      <c r="AO59" s="2"/>
      <c r="AP59" s="2"/>
      <c r="AQ59" s="2"/>
      <c r="AT59" s="2"/>
      <c r="AU59" s="262" t="str">
        <f t="shared" si="43"/>
        <v/>
      </c>
      <c r="AV59" s="217" t="str">
        <f t="shared" si="44"/>
        <v/>
      </c>
      <c r="AW59" s="229" t="str">
        <f t="shared" si="45"/>
        <v/>
      </c>
      <c r="AX59" s="262" t="str">
        <f t="shared" si="46"/>
        <v/>
      </c>
      <c r="AY59" s="217" t="str">
        <f t="shared" si="47"/>
        <v/>
      </c>
      <c r="AZ59" s="229" t="str">
        <f t="shared" si="48"/>
        <v/>
      </c>
      <c r="BA59" s="262" t="str">
        <f t="shared" si="49"/>
        <v/>
      </c>
      <c r="BB59" s="217" t="str">
        <f t="shared" si="50"/>
        <v/>
      </c>
      <c r="BC59" s="229" t="str">
        <f t="shared" si="51"/>
        <v/>
      </c>
      <c r="BD59" s="262" t="str">
        <f t="shared" si="52"/>
        <v/>
      </c>
      <c r="BE59" s="217" t="str">
        <f t="shared" si="53"/>
        <v/>
      </c>
      <c r="BF59" s="229" t="str">
        <f t="shared" si="54"/>
        <v/>
      </c>
      <c r="BG59" s="262" t="str">
        <f t="shared" si="55"/>
        <v/>
      </c>
      <c r="BH59" s="217" t="str">
        <f t="shared" si="56"/>
        <v/>
      </c>
      <c r="BI59" s="229" t="str">
        <f t="shared" si="57"/>
        <v/>
      </c>
      <c r="BJ59" s="262" t="str">
        <f t="shared" si="58"/>
        <v/>
      </c>
      <c r="BK59" s="217" t="str">
        <f t="shared" si="59"/>
        <v/>
      </c>
      <c r="BL59" s="229" t="str">
        <f t="shared" si="60"/>
        <v/>
      </c>
    </row>
    <row r="60" spans="1:64" x14ac:dyDescent="0.25">
      <c r="A60" s="260" t="str">
        <f t="shared" si="37"/>
        <v/>
      </c>
      <c r="B60" s="145"/>
      <c r="C60" s="145"/>
      <c r="D60" s="260" t="str">
        <f t="shared" si="38"/>
        <v/>
      </c>
      <c r="E60" s="145"/>
      <c r="F60" s="145"/>
      <c r="G60" s="260" t="str">
        <f t="shared" si="39"/>
        <v/>
      </c>
      <c r="H60" s="145"/>
      <c r="I60" s="145"/>
      <c r="J60" s="261" t="str">
        <f t="shared" si="40"/>
        <v/>
      </c>
      <c r="K60" s="145"/>
      <c r="L60" s="145"/>
      <c r="M60" s="260" t="str">
        <f t="shared" si="41"/>
        <v/>
      </c>
      <c r="N60" s="145"/>
      <c r="O60" s="145"/>
      <c r="P60" s="260" t="str">
        <f t="shared" si="42"/>
        <v/>
      </c>
      <c r="Q60" s="145"/>
      <c r="R60" s="145"/>
      <c r="S60" s="259"/>
      <c r="T60" s="2"/>
      <c r="U60" s="256">
        <v>56</v>
      </c>
      <c r="V60" s="16" t="str">
        <f t="shared" si="61"/>
        <v/>
      </c>
      <c r="W60" s="16" t="str">
        <f t="shared" si="62"/>
        <v/>
      </c>
      <c r="X60" s="16" t="str">
        <f t="shared" si="2"/>
        <v/>
      </c>
      <c r="Y60" s="16" t="str">
        <f t="shared" si="3"/>
        <v/>
      </c>
      <c r="Z60" s="16" t="str">
        <f t="shared" si="4"/>
        <v/>
      </c>
      <c r="AA60" s="17" t="str">
        <f t="shared" si="63"/>
        <v/>
      </c>
      <c r="AB60" s="17" t="str">
        <f t="shared" si="64"/>
        <v/>
      </c>
      <c r="AC60" s="18" t="str">
        <f t="shared" si="7"/>
        <v/>
      </c>
      <c r="AD60" s="18" t="str">
        <f t="shared" si="8"/>
        <v/>
      </c>
      <c r="AG60" s="2"/>
      <c r="AH60" s="2"/>
      <c r="AI60" s="2"/>
      <c r="AJ60" s="2"/>
      <c r="AK60" s="2"/>
      <c r="AL60" s="2"/>
      <c r="AM60" s="2"/>
      <c r="AN60" s="2"/>
      <c r="AO60" s="2"/>
      <c r="AP60" s="2"/>
      <c r="AQ60" s="2"/>
      <c r="AT60" s="2"/>
      <c r="AU60" s="262" t="str">
        <f t="shared" si="43"/>
        <v/>
      </c>
      <c r="AV60" s="217" t="str">
        <f t="shared" si="44"/>
        <v/>
      </c>
      <c r="AW60" s="229" t="str">
        <f t="shared" si="45"/>
        <v/>
      </c>
      <c r="AX60" s="262" t="str">
        <f t="shared" si="46"/>
        <v/>
      </c>
      <c r="AY60" s="217" t="str">
        <f t="shared" si="47"/>
        <v/>
      </c>
      <c r="AZ60" s="229" t="str">
        <f t="shared" si="48"/>
        <v/>
      </c>
      <c r="BA60" s="262" t="str">
        <f t="shared" si="49"/>
        <v/>
      </c>
      <c r="BB60" s="217" t="str">
        <f t="shared" si="50"/>
        <v/>
      </c>
      <c r="BC60" s="229" t="str">
        <f t="shared" si="51"/>
        <v/>
      </c>
      <c r="BD60" s="262" t="str">
        <f t="shared" si="52"/>
        <v/>
      </c>
      <c r="BE60" s="217" t="str">
        <f t="shared" si="53"/>
        <v/>
      </c>
      <c r="BF60" s="229" t="str">
        <f t="shared" si="54"/>
        <v/>
      </c>
      <c r="BG60" s="262" t="str">
        <f t="shared" si="55"/>
        <v/>
      </c>
      <c r="BH60" s="217" t="str">
        <f t="shared" si="56"/>
        <v/>
      </c>
      <c r="BI60" s="229" t="str">
        <f t="shared" si="57"/>
        <v/>
      </c>
      <c r="BJ60" s="262" t="str">
        <f t="shared" si="58"/>
        <v/>
      </c>
      <c r="BK60" s="217" t="str">
        <f t="shared" si="59"/>
        <v/>
      </c>
      <c r="BL60" s="229" t="str">
        <f t="shared" si="60"/>
        <v/>
      </c>
    </row>
    <row r="61" spans="1:64" x14ac:dyDescent="0.25">
      <c r="A61" s="260" t="str">
        <f t="shared" si="37"/>
        <v/>
      </c>
      <c r="B61" s="145"/>
      <c r="C61" s="145"/>
      <c r="D61" s="260" t="str">
        <f t="shared" si="38"/>
        <v/>
      </c>
      <c r="E61" s="145"/>
      <c r="F61" s="145"/>
      <c r="G61" s="260" t="str">
        <f t="shared" si="39"/>
        <v/>
      </c>
      <c r="H61" s="145"/>
      <c r="I61" s="145"/>
      <c r="J61" s="261" t="str">
        <f t="shared" si="40"/>
        <v/>
      </c>
      <c r="K61" s="145"/>
      <c r="L61" s="145"/>
      <c r="M61" s="260" t="str">
        <f t="shared" si="41"/>
        <v/>
      </c>
      <c r="N61" s="145"/>
      <c r="O61" s="145"/>
      <c r="P61" s="260" t="str">
        <f t="shared" si="42"/>
        <v/>
      </c>
      <c r="Q61" s="145"/>
      <c r="R61" s="145"/>
      <c r="S61" s="259"/>
      <c r="T61" s="2"/>
      <c r="U61" s="256">
        <v>57</v>
      </c>
      <c r="V61" s="16" t="str">
        <f t="shared" si="61"/>
        <v/>
      </c>
      <c r="W61" s="16" t="str">
        <f t="shared" si="62"/>
        <v/>
      </c>
      <c r="X61" s="16" t="str">
        <f t="shared" si="2"/>
        <v/>
      </c>
      <c r="Y61" s="16" t="str">
        <f t="shared" si="3"/>
        <v/>
      </c>
      <c r="Z61" s="16" t="str">
        <f t="shared" si="4"/>
        <v/>
      </c>
      <c r="AA61" s="17" t="str">
        <f t="shared" si="63"/>
        <v/>
      </c>
      <c r="AB61" s="17" t="str">
        <f t="shared" si="64"/>
        <v/>
      </c>
      <c r="AC61" s="18" t="str">
        <f t="shared" si="7"/>
        <v/>
      </c>
      <c r="AD61" s="18" t="str">
        <f t="shared" si="8"/>
        <v/>
      </c>
      <c r="AG61" s="2"/>
      <c r="AH61" s="2"/>
      <c r="AI61" s="2"/>
      <c r="AJ61" s="2"/>
      <c r="AK61" s="2"/>
      <c r="AL61" s="2"/>
      <c r="AM61" s="2"/>
      <c r="AN61" s="2"/>
      <c r="AO61" s="2"/>
      <c r="AP61" s="2"/>
      <c r="AQ61" s="2"/>
      <c r="AT61" s="2"/>
      <c r="AU61" s="262" t="str">
        <f t="shared" si="43"/>
        <v/>
      </c>
      <c r="AV61" s="217" t="str">
        <f t="shared" si="44"/>
        <v/>
      </c>
      <c r="AW61" s="229" t="str">
        <f t="shared" si="45"/>
        <v/>
      </c>
      <c r="AX61" s="262" t="str">
        <f t="shared" si="46"/>
        <v/>
      </c>
      <c r="AY61" s="217" t="str">
        <f t="shared" si="47"/>
        <v/>
      </c>
      <c r="AZ61" s="229" t="str">
        <f t="shared" si="48"/>
        <v/>
      </c>
      <c r="BA61" s="262" t="str">
        <f t="shared" si="49"/>
        <v/>
      </c>
      <c r="BB61" s="217" t="str">
        <f t="shared" si="50"/>
        <v/>
      </c>
      <c r="BC61" s="229" t="str">
        <f t="shared" si="51"/>
        <v/>
      </c>
      <c r="BD61" s="262" t="str">
        <f t="shared" si="52"/>
        <v/>
      </c>
      <c r="BE61" s="217" t="str">
        <f t="shared" si="53"/>
        <v/>
      </c>
      <c r="BF61" s="229" t="str">
        <f t="shared" si="54"/>
        <v/>
      </c>
      <c r="BG61" s="262" t="str">
        <f t="shared" si="55"/>
        <v/>
      </c>
      <c r="BH61" s="217" t="str">
        <f t="shared" si="56"/>
        <v/>
      </c>
      <c r="BI61" s="229" t="str">
        <f t="shared" si="57"/>
        <v/>
      </c>
      <c r="BJ61" s="262" t="str">
        <f t="shared" si="58"/>
        <v/>
      </c>
      <c r="BK61" s="217" t="str">
        <f t="shared" si="59"/>
        <v/>
      </c>
      <c r="BL61" s="229" t="str">
        <f t="shared" si="60"/>
        <v/>
      </c>
    </row>
    <row r="62" spans="1:64" x14ac:dyDescent="0.25">
      <c r="A62" s="260" t="str">
        <f t="shared" si="37"/>
        <v/>
      </c>
      <c r="B62" s="152"/>
      <c r="C62" s="152"/>
      <c r="D62" s="260" t="str">
        <f t="shared" si="38"/>
        <v/>
      </c>
      <c r="E62" s="152"/>
      <c r="F62" s="152"/>
      <c r="G62" s="260" t="str">
        <f t="shared" si="39"/>
        <v/>
      </c>
      <c r="H62" s="152"/>
      <c r="I62" s="152"/>
      <c r="J62" s="261" t="str">
        <f t="shared" si="40"/>
        <v/>
      </c>
      <c r="K62" s="152"/>
      <c r="L62" s="152"/>
      <c r="M62" s="260" t="str">
        <f t="shared" si="41"/>
        <v/>
      </c>
      <c r="N62" s="152"/>
      <c r="O62" s="152"/>
      <c r="P62" s="260" t="str">
        <f t="shared" si="42"/>
        <v/>
      </c>
      <c r="Q62" s="152"/>
      <c r="R62" s="152"/>
      <c r="S62" s="259"/>
      <c r="T62" s="2"/>
      <c r="U62" s="256">
        <v>58</v>
      </c>
      <c r="V62" s="16" t="str">
        <f t="shared" si="61"/>
        <v/>
      </c>
      <c r="W62" s="16" t="str">
        <f t="shared" si="62"/>
        <v/>
      </c>
      <c r="X62" s="16" t="str">
        <f t="shared" si="2"/>
        <v/>
      </c>
      <c r="Y62" s="16" t="str">
        <f t="shared" si="3"/>
        <v/>
      </c>
      <c r="Z62" s="16" t="str">
        <f t="shared" si="4"/>
        <v/>
      </c>
      <c r="AA62" s="17" t="str">
        <f t="shared" si="63"/>
        <v/>
      </c>
      <c r="AB62" s="17" t="str">
        <f t="shared" si="64"/>
        <v/>
      </c>
      <c r="AC62" s="18" t="str">
        <f t="shared" si="7"/>
        <v/>
      </c>
      <c r="AD62" s="18" t="str">
        <f t="shared" si="8"/>
        <v/>
      </c>
      <c r="AG62" s="2"/>
      <c r="AH62" s="2"/>
      <c r="AI62" s="2"/>
      <c r="AJ62" s="2"/>
      <c r="AK62" s="2"/>
      <c r="AL62" s="2"/>
      <c r="AM62" s="2"/>
      <c r="AN62" s="2"/>
      <c r="AO62" s="2"/>
      <c r="AP62" s="2"/>
      <c r="AQ62" s="2"/>
      <c r="AT62" s="2"/>
      <c r="AU62" s="262" t="str">
        <f t="shared" si="43"/>
        <v/>
      </c>
      <c r="AV62" s="222" t="str">
        <f t="shared" si="44"/>
        <v/>
      </c>
      <c r="AW62" s="230" t="str">
        <f t="shared" si="45"/>
        <v/>
      </c>
      <c r="AX62" s="262" t="str">
        <f t="shared" si="46"/>
        <v/>
      </c>
      <c r="AY62" s="222" t="str">
        <f t="shared" si="47"/>
        <v/>
      </c>
      <c r="AZ62" s="230" t="str">
        <f t="shared" si="48"/>
        <v/>
      </c>
      <c r="BA62" s="262" t="str">
        <f t="shared" si="49"/>
        <v/>
      </c>
      <c r="BB62" s="222" t="str">
        <f t="shared" si="50"/>
        <v/>
      </c>
      <c r="BC62" s="230" t="str">
        <f t="shared" si="51"/>
        <v/>
      </c>
      <c r="BD62" s="262" t="str">
        <f t="shared" si="52"/>
        <v/>
      </c>
      <c r="BE62" s="222" t="str">
        <f t="shared" si="53"/>
        <v/>
      </c>
      <c r="BF62" s="230" t="str">
        <f t="shared" si="54"/>
        <v/>
      </c>
      <c r="BG62" s="262" t="str">
        <f t="shared" si="55"/>
        <v/>
      </c>
      <c r="BH62" s="222" t="str">
        <f t="shared" si="56"/>
        <v/>
      </c>
      <c r="BI62" s="230" t="str">
        <f t="shared" si="57"/>
        <v/>
      </c>
      <c r="BJ62" s="262" t="str">
        <f t="shared" si="58"/>
        <v/>
      </c>
      <c r="BK62" s="222" t="str">
        <f t="shared" si="59"/>
        <v/>
      </c>
      <c r="BL62" s="230" t="str">
        <f t="shared" si="60"/>
        <v/>
      </c>
    </row>
    <row r="63" spans="1:64" x14ac:dyDescent="0.25">
      <c r="A63" s="48"/>
      <c r="B63" s="54"/>
      <c r="C63" s="54"/>
      <c r="D63" s="54"/>
      <c r="E63" s="54"/>
      <c r="F63" s="54"/>
      <c r="G63" s="54"/>
      <c r="H63" s="54"/>
      <c r="I63" s="54"/>
      <c r="J63" s="2"/>
      <c r="K63" s="2"/>
      <c r="L63" s="2"/>
      <c r="M63" s="2"/>
      <c r="N63" s="2"/>
      <c r="O63" s="2"/>
      <c r="P63" s="2"/>
      <c r="Q63" s="2"/>
      <c r="R63" s="2"/>
      <c r="S63" s="259"/>
      <c r="T63" s="2"/>
      <c r="U63" s="264">
        <v>59</v>
      </c>
      <c r="V63" s="16" t="str">
        <f t="shared" si="61"/>
        <v/>
      </c>
      <c r="W63" s="16" t="str">
        <f t="shared" si="62"/>
        <v/>
      </c>
      <c r="X63" s="16" t="str">
        <f t="shared" si="2"/>
        <v/>
      </c>
      <c r="Y63" s="16" t="str">
        <f t="shared" si="3"/>
        <v/>
      </c>
      <c r="Z63" s="16" t="str">
        <f t="shared" si="4"/>
        <v/>
      </c>
      <c r="AA63" s="16" t="str">
        <f t="shared" si="63"/>
        <v/>
      </c>
      <c r="AB63" s="16" t="str">
        <f t="shared" si="64"/>
        <v/>
      </c>
      <c r="AC63" s="29" t="str">
        <f t="shared" si="7"/>
        <v/>
      </c>
      <c r="AD63" s="29" t="str">
        <f t="shared" si="8"/>
        <v/>
      </c>
      <c r="AE63" s="2"/>
      <c r="AF63" s="2"/>
      <c r="AG63" s="2"/>
      <c r="AH63" s="2"/>
      <c r="AI63" s="2"/>
      <c r="AJ63" s="2"/>
      <c r="AK63" s="2"/>
      <c r="AL63" s="2"/>
      <c r="AM63" s="2"/>
      <c r="AN63" s="2"/>
      <c r="AO63" s="2"/>
      <c r="AP63" s="2"/>
      <c r="AQ63" s="2"/>
      <c r="AT63" s="2"/>
    </row>
    <row r="64" spans="1:64" x14ac:dyDescent="0.25">
      <c r="A64" s="99" t="s">
        <v>49</v>
      </c>
      <c r="B64" s="27">
        <v>2</v>
      </c>
      <c r="C64" s="76"/>
      <c r="D64" s="54"/>
      <c r="E64" s="54"/>
      <c r="G64" s="54"/>
      <c r="H64" s="54"/>
      <c r="I64" s="54"/>
      <c r="J64" s="2"/>
      <c r="K64" s="2"/>
      <c r="L64" s="2"/>
      <c r="M64" s="2"/>
      <c r="N64" s="2"/>
      <c r="O64" s="2"/>
      <c r="P64" s="2"/>
      <c r="Q64" s="2"/>
      <c r="R64" s="2"/>
      <c r="S64" s="259"/>
      <c r="T64" s="2"/>
      <c r="U64" s="264">
        <v>60</v>
      </c>
      <c r="V64" s="16" t="str">
        <f t="shared" si="61"/>
        <v/>
      </c>
      <c r="W64" s="16" t="str">
        <f t="shared" si="62"/>
        <v/>
      </c>
      <c r="X64" s="16" t="str">
        <f t="shared" si="2"/>
        <v/>
      </c>
      <c r="Y64" s="16" t="str">
        <f t="shared" si="3"/>
        <v/>
      </c>
      <c r="Z64" s="16" t="str">
        <f t="shared" si="4"/>
        <v/>
      </c>
      <c r="AA64" s="16" t="str">
        <f t="shared" si="63"/>
        <v/>
      </c>
      <c r="AB64" s="16" t="str">
        <f t="shared" si="64"/>
        <v/>
      </c>
      <c r="AC64" s="29" t="str">
        <f t="shared" si="7"/>
        <v/>
      </c>
      <c r="AD64" s="29" t="str">
        <f t="shared" si="8"/>
        <v/>
      </c>
      <c r="AE64" s="2"/>
      <c r="AF64" s="2"/>
      <c r="AG64" s="2"/>
      <c r="AH64" s="2"/>
      <c r="AI64" s="2"/>
      <c r="AJ64" s="2"/>
      <c r="AK64" s="2"/>
      <c r="AL64" s="2"/>
      <c r="AM64" s="2"/>
      <c r="AN64" s="2"/>
      <c r="AO64" s="2"/>
      <c r="AP64" s="2"/>
      <c r="AQ64" s="2"/>
      <c r="AT64" s="2"/>
    </row>
    <row r="65" spans="1:63" x14ac:dyDescent="0.25">
      <c r="A65" s="48"/>
      <c r="B65" s="56" t="s">
        <v>52</v>
      </c>
      <c r="C65" s="53"/>
      <c r="D65" s="53"/>
      <c r="E65" s="53"/>
      <c r="F65" s="108"/>
      <c r="G65" s="53"/>
      <c r="H65" s="53"/>
      <c r="I65" s="53"/>
      <c r="J65" s="21"/>
      <c r="K65" s="53"/>
      <c r="L65" s="265"/>
      <c r="M65" s="53"/>
      <c r="N65" s="6"/>
      <c r="O65" s="6"/>
      <c r="P65" s="6"/>
      <c r="Q65" s="6"/>
      <c r="R65" s="6"/>
      <c r="S65" s="259"/>
      <c r="T65" s="2"/>
      <c r="U65" s="264">
        <v>61</v>
      </c>
      <c r="V65" s="16" t="str">
        <f t="shared" si="61"/>
        <v/>
      </c>
      <c r="W65" s="16" t="str">
        <f t="shared" si="62"/>
        <v/>
      </c>
      <c r="X65" s="16" t="str">
        <f t="shared" si="2"/>
        <v/>
      </c>
      <c r="Y65" s="16" t="str">
        <f t="shared" si="3"/>
        <v/>
      </c>
      <c r="Z65" s="16" t="str">
        <f t="shared" si="4"/>
        <v/>
      </c>
      <c r="AA65" s="16" t="str">
        <f t="shared" si="63"/>
        <v/>
      </c>
      <c r="AB65" s="16" t="str">
        <f t="shared" si="64"/>
        <v/>
      </c>
      <c r="AC65" s="29" t="str">
        <f t="shared" si="7"/>
        <v/>
      </c>
      <c r="AD65" s="29" t="str">
        <f t="shared" si="8"/>
        <v/>
      </c>
      <c r="AE65" s="2"/>
      <c r="AF65" s="2"/>
      <c r="AG65" s="2"/>
      <c r="AH65" s="2"/>
      <c r="AI65" s="2"/>
      <c r="AJ65" s="2"/>
      <c r="AK65" s="2"/>
      <c r="AL65" s="2"/>
      <c r="AM65" s="2"/>
      <c r="AN65" s="2"/>
      <c r="AO65" s="2"/>
      <c r="AP65" s="2"/>
      <c r="AQ65" s="2"/>
      <c r="AT65" s="2"/>
      <c r="AU65" s="266" t="s">
        <v>256</v>
      </c>
    </row>
    <row r="66" spans="1:63" x14ac:dyDescent="0.25">
      <c r="A66" s="45"/>
      <c r="B66" s="77" t="str">
        <f>IF($B$64&gt;=1,"Pier #1","")</f>
        <v>Pier #1</v>
      </c>
      <c r="C66" s="77" t="str">
        <f>IF($B$64&gt;=2,"Pier #2","")</f>
        <v>Pier #2</v>
      </c>
      <c r="D66" s="77" t="str">
        <f>IF($B$64&gt;=3,"Pier #3","")</f>
        <v/>
      </c>
      <c r="E66" s="77" t="str">
        <f>IF($B$64&gt;=4,"Pier #4","")</f>
        <v/>
      </c>
      <c r="F66" s="77" t="str">
        <f>IF($B$64&gt;=5,"Pier #5","")</f>
        <v/>
      </c>
      <c r="G66" s="77" t="str">
        <f>IF($B$64&gt;=6,"Pier #6","")</f>
        <v/>
      </c>
      <c r="H66" s="77" t="str">
        <f>IF($B$64&gt;=7,"Pier #7","")</f>
        <v/>
      </c>
      <c r="I66" s="77" t="str">
        <f>IF($B$64&gt;=8,"Pier #8","")</f>
        <v/>
      </c>
      <c r="J66" s="77" t="str">
        <f>IF($B$64&gt;=9,"Pier #9","")</f>
        <v/>
      </c>
      <c r="K66" s="77" t="str">
        <f>IF($B$64&gt;=10,"Pier #10","")</f>
        <v/>
      </c>
      <c r="L66" s="77" t="str">
        <f>IF($B$64&gt;=11,"Pier #11","")</f>
        <v/>
      </c>
      <c r="M66" s="77" t="str">
        <f>IF($B$64&gt;=12,"Pier #12","")</f>
        <v/>
      </c>
      <c r="N66" s="77" t="str">
        <f>IF($B$64&gt;=13,"Pier #13","")</f>
        <v/>
      </c>
      <c r="O66" s="77" t="str">
        <f>IF($B$64&gt;=14,"Pier #14","")</f>
        <v/>
      </c>
      <c r="P66" s="77" t="str">
        <f>IF($B$64&gt;=15,"Pier #15","")</f>
        <v/>
      </c>
      <c r="Q66" s="77" t="str">
        <f>IF($B$64&gt;=16,"Pier #16","")</f>
        <v/>
      </c>
      <c r="R66" s="77" t="str">
        <f>IF($B$64=17,"Pier #17","")</f>
        <v/>
      </c>
      <c r="S66" s="259"/>
      <c r="T66" s="2"/>
      <c r="U66" s="264">
        <v>62</v>
      </c>
      <c r="V66" s="16" t="str">
        <f t="shared" si="61"/>
        <v/>
      </c>
      <c r="W66" s="16" t="str">
        <f t="shared" si="62"/>
        <v/>
      </c>
      <c r="X66" s="16" t="str">
        <f t="shared" si="2"/>
        <v/>
      </c>
      <c r="Y66" s="16" t="str">
        <f t="shared" si="3"/>
        <v/>
      </c>
      <c r="Z66" s="16" t="str">
        <f t="shared" si="4"/>
        <v/>
      </c>
      <c r="AA66" s="16" t="str">
        <f t="shared" si="63"/>
        <v/>
      </c>
      <c r="AB66" s="16" t="str">
        <f t="shared" si="64"/>
        <v/>
      </c>
      <c r="AC66" s="29" t="str">
        <f t="shared" si="7"/>
        <v/>
      </c>
      <c r="AD66" s="29" t="str">
        <f t="shared" si="8"/>
        <v/>
      </c>
      <c r="AE66" s="2"/>
      <c r="AF66" s="2"/>
      <c r="AG66" s="2"/>
      <c r="AH66" s="2"/>
      <c r="AI66" s="2"/>
      <c r="AJ66" s="2"/>
      <c r="AK66" s="2"/>
      <c r="AL66" s="2"/>
      <c r="AM66" s="2"/>
      <c r="AN66" s="2"/>
      <c r="AO66" s="2"/>
      <c r="AP66" s="2"/>
      <c r="AQ66" s="2"/>
      <c r="AT66" s="2"/>
      <c r="AU66" s="203" t="s">
        <v>52</v>
      </c>
      <c r="AV66" s="196" t="str">
        <f>IF($B$64&gt;=1,"Pier #1","")</f>
        <v>Pier #1</v>
      </c>
      <c r="AW66" s="196" t="str">
        <f>IF($B$64&gt;=2,"Pier #2","")</f>
        <v>Pier #2</v>
      </c>
      <c r="AX66" s="196" t="str">
        <f>IF($B$64&gt;=3,"Pier #3","")</f>
        <v/>
      </c>
      <c r="AY66" s="196" t="str">
        <f>IF($B$64&gt;=4,"Pier #4","")</f>
        <v/>
      </c>
      <c r="AZ66" s="196" t="str">
        <f>IF($B$64&gt;=5,"Pier #5","")</f>
        <v/>
      </c>
      <c r="BA66" s="196" t="str">
        <f>IF($B$64&gt;=6,"Pier #6","")</f>
        <v/>
      </c>
      <c r="BB66" s="196" t="str">
        <f>IF($B$64&gt;=7,"Pier #7","")</f>
        <v/>
      </c>
      <c r="BC66" s="196" t="str">
        <f>IF($B$64&gt;=8,"Pier #8","")</f>
        <v/>
      </c>
      <c r="BD66" s="196" t="str">
        <f>IF($B$64&gt;=9,"Pier #9","")</f>
        <v/>
      </c>
      <c r="BE66" s="196" t="str">
        <f>IF($B$64&gt;=10,"Pier #10","")</f>
        <v/>
      </c>
      <c r="BF66" s="196" t="str">
        <f>IF($B$64&gt;=11,"Pier #11","")</f>
        <v/>
      </c>
      <c r="BG66" s="196" t="str">
        <f>IF($B$64&gt;=12,"Pier #12","")</f>
        <v/>
      </c>
      <c r="BH66" s="196" t="str">
        <f>IF($B$64&gt;=13,"Pier #13","")</f>
        <v/>
      </c>
      <c r="BI66" s="196" t="str">
        <f>IF($B$64&gt;=14,"Pier #14","")</f>
        <v/>
      </c>
      <c r="BJ66" s="196" t="str">
        <f>IF($B$64&gt;=15,"Pier #15","")</f>
        <v/>
      </c>
      <c r="BK66" s="196" t="str">
        <f>IF($B$64=16,"Pier #16","")</f>
        <v/>
      </c>
    </row>
    <row r="67" spans="1:63" x14ac:dyDescent="0.25">
      <c r="A67" s="45" t="s">
        <v>129</v>
      </c>
      <c r="B67" s="141">
        <v>1.3716000000000002</v>
      </c>
      <c r="C67" s="141">
        <v>1.3716000000000002</v>
      </c>
      <c r="D67" s="157"/>
      <c r="E67" s="141"/>
      <c r="F67" s="157"/>
      <c r="G67" s="141"/>
      <c r="H67" s="157"/>
      <c r="I67" s="141"/>
      <c r="J67" s="141"/>
      <c r="K67" s="141"/>
      <c r="L67" s="157"/>
      <c r="M67" s="141"/>
      <c r="N67" s="157"/>
      <c r="O67" s="141"/>
      <c r="P67" s="157"/>
      <c r="Q67" s="141"/>
      <c r="R67" s="141"/>
      <c r="S67" s="259"/>
      <c r="T67" s="2"/>
      <c r="U67" s="264">
        <v>63</v>
      </c>
      <c r="V67" s="16" t="str">
        <f t="shared" si="61"/>
        <v/>
      </c>
      <c r="W67" s="16" t="str">
        <f t="shared" si="62"/>
        <v/>
      </c>
      <c r="X67" s="16" t="str">
        <f t="shared" si="2"/>
        <v/>
      </c>
      <c r="Y67" s="16" t="str">
        <f t="shared" si="3"/>
        <v/>
      </c>
      <c r="Z67" s="16" t="str">
        <f t="shared" si="4"/>
        <v/>
      </c>
      <c r="AA67" s="16" t="str">
        <f t="shared" si="63"/>
        <v/>
      </c>
      <c r="AB67" s="16" t="str">
        <f t="shared" si="64"/>
        <v/>
      </c>
      <c r="AC67" s="29" t="str">
        <f t="shared" si="7"/>
        <v/>
      </c>
      <c r="AD67" s="29" t="str">
        <f t="shared" si="8"/>
        <v/>
      </c>
      <c r="AE67" s="2"/>
      <c r="AF67" s="2"/>
      <c r="AG67" s="2"/>
      <c r="AH67" s="2"/>
      <c r="AI67" s="2"/>
      <c r="AJ67" s="2"/>
      <c r="AK67" s="2"/>
      <c r="AL67" s="2"/>
      <c r="AM67" s="2"/>
      <c r="AN67" s="2"/>
      <c r="AO67" s="2"/>
      <c r="AP67" s="2"/>
      <c r="AQ67" s="2"/>
      <c r="AT67" s="2"/>
      <c r="AU67" s="199" t="s">
        <v>198</v>
      </c>
      <c r="AV67" s="216">
        <f>IF($B$64&gt;=1,$B67*3.28084,"")</f>
        <v>4.5000001440000004</v>
      </c>
      <c r="AW67" s="231">
        <f>IF($B$64&gt;=2,$C67*3.28084,"")</f>
        <v>4.5000001440000004</v>
      </c>
      <c r="AX67" s="216" t="str">
        <f>IF($B$64&gt;=3,$D67*3.28084,"")</f>
        <v/>
      </c>
      <c r="AY67" s="231" t="str">
        <f>IF($B$64&gt;=4,$E67*3.28084,"")</f>
        <v/>
      </c>
      <c r="AZ67" s="216" t="str">
        <f>IF($B$64&gt;=5,$F67*3.28084,"")</f>
        <v/>
      </c>
      <c r="BA67" s="231" t="str">
        <f>IF($B$64&gt;=6,$G67*3.28084,"")</f>
        <v/>
      </c>
      <c r="BB67" s="216" t="str">
        <f>IF($B$64&gt;=7,$H67*3.28084,"")</f>
        <v/>
      </c>
      <c r="BC67" s="228" t="str">
        <f>IF($B$64&gt;=8,$I67*3.28084,"")</f>
        <v/>
      </c>
      <c r="BD67" s="216" t="str">
        <f>IF($B$64&gt;=9,$J67*3.28084,"")</f>
        <v/>
      </c>
      <c r="BE67" s="231" t="str">
        <f>IF($B$64&gt;=10,$K67*3.28084,"")</f>
        <v/>
      </c>
      <c r="BF67" s="216" t="str">
        <f>IF($B$64&gt;=11,$L67*3.28084,"")</f>
        <v/>
      </c>
      <c r="BG67" s="231" t="str">
        <f>IF($B$64&gt;=12,$M67*3.28084,"")</f>
        <v/>
      </c>
      <c r="BH67" s="216" t="str">
        <f>IF($B$64&gt;=13,$N67*3.28084,"")</f>
        <v/>
      </c>
      <c r="BI67" s="231" t="str">
        <f>IF($B$64&gt;=14,$O67*3.28084,"")</f>
        <v/>
      </c>
      <c r="BJ67" s="216" t="str">
        <f>IF($B$64&gt;=15,$P67*3.28084,"")</f>
        <v/>
      </c>
      <c r="BK67" s="228" t="str">
        <f>IF($B$64&gt;=16,$Q67*3.28084,"")</f>
        <v/>
      </c>
    </row>
    <row r="68" spans="1:63" x14ac:dyDescent="0.25">
      <c r="A68" s="45" t="s">
        <v>130</v>
      </c>
      <c r="B68" s="145">
        <v>2.7432000000000003</v>
      </c>
      <c r="C68" s="145">
        <v>5.4864000000000006</v>
      </c>
      <c r="D68" s="158"/>
      <c r="E68" s="145"/>
      <c r="F68" s="158"/>
      <c r="G68" s="145"/>
      <c r="H68" s="158"/>
      <c r="I68" s="145"/>
      <c r="J68" s="145"/>
      <c r="K68" s="145"/>
      <c r="L68" s="158"/>
      <c r="M68" s="145"/>
      <c r="N68" s="158"/>
      <c r="O68" s="145"/>
      <c r="P68" s="158"/>
      <c r="Q68" s="145"/>
      <c r="R68" s="145"/>
      <c r="S68" s="259"/>
      <c r="T68" s="2"/>
      <c r="U68" s="264">
        <v>64</v>
      </c>
      <c r="V68" s="16" t="str">
        <f t="shared" si="61"/>
        <v/>
      </c>
      <c r="W68" s="16" t="str">
        <f t="shared" si="62"/>
        <v/>
      </c>
      <c r="X68" s="16" t="str">
        <f t="shared" si="2"/>
        <v/>
      </c>
      <c r="Y68" s="16" t="str">
        <f t="shared" si="3"/>
        <v/>
      </c>
      <c r="Z68" s="16" t="str">
        <f t="shared" si="4"/>
        <v/>
      </c>
      <c r="AA68" s="16" t="str">
        <f t="shared" si="63"/>
        <v/>
      </c>
      <c r="AB68" s="16" t="str">
        <f t="shared" si="64"/>
        <v/>
      </c>
      <c r="AC68" s="29" t="str">
        <f t="shared" si="7"/>
        <v/>
      </c>
      <c r="AD68" s="29" t="str">
        <f t="shared" si="8"/>
        <v/>
      </c>
      <c r="AE68" s="2"/>
      <c r="AF68" s="2"/>
      <c r="AG68" s="2"/>
      <c r="AH68" s="2"/>
      <c r="AI68" s="2"/>
      <c r="AJ68" s="2"/>
      <c r="AK68" s="2"/>
      <c r="AL68" s="2"/>
      <c r="AM68" s="2"/>
      <c r="AN68" s="2"/>
      <c r="AO68" s="2"/>
      <c r="AP68" s="2"/>
      <c r="AQ68" s="2"/>
      <c r="AT68" s="2"/>
      <c r="AU68" s="199" t="s">
        <v>199</v>
      </c>
      <c r="AV68" s="217">
        <f>IF($B$64&gt;=1,$B68*3.28084,"")</f>
        <v>9.0000002880000007</v>
      </c>
      <c r="AW68" s="232">
        <f>IF($B$64&gt;=2,$C68*3.28084,"")</f>
        <v>18.000000576000001</v>
      </c>
      <c r="AX68" s="217" t="str">
        <f>IF($B$64&gt;=3,$D68*3.28084,"")</f>
        <v/>
      </c>
      <c r="AY68" s="232" t="str">
        <f>IF($B$64&gt;=4,$E68*3.28084,"")</f>
        <v/>
      </c>
      <c r="AZ68" s="217" t="str">
        <f>IF($B$64&gt;=5,$F68*3.28084,"")</f>
        <v/>
      </c>
      <c r="BA68" s="232" t="str">
        <f>IF($B$64&gt;=6,$G68*3.28084,"")</f>
        <v/>
      </c>
      <c r="BB68" s="217" t="str">
        <f>IF($B$64&gt;=7,$H68*3.28084,"")</f>
        <v/>
      </c>
      <c r="BC68" s="229" t="str">
        <f>IF($B$64&gt;=8,$I68*3.28084,"")</f>
        <v/>
      </c>
      <c r="BD68" s="217" t="str">
        <f>IF($B$64&gt;=9,$J68*3.28084,"")</f>
        <v/>
      </c>
      <c r="BE68" s="232" t="str">
        <f>IF($B$64&gt;=10,$K68*3.28084,"")</f>
        <v/>
      </c>
      <c r="BF68" s="217" t="str">
        <f>IF($B$64&gt;=11,$L68*3.28084,"")</f>
        <v/>
      </c>
      <c r="BG68" s="232" t="str">
        <f>IF($B$64&gt;=12,$M68*3.28084,"")</f>
        <v/>
      </c>
      <c r="BH68" s="217" t="str">
        <f>IF($B$64&gt;=13,$N68*3.28084,"")</f>
        <v/>
      </c>
      <c r="BI68" s="232" t="str">
        <f>IF($B$64&gt;=14,$O68*3.28084,"")</f>
        <v/>
      </c>
      <c r="BJ68" s="217" t="str">
        <f>IF($B$64&gt;=15,$P68*3.28084,"")</f>
        <v/>
      </c>
      <c r="BK68" s="229" t="str">
        <f>IF($B$64&gt;=16,$Q68*3.28084,"")</f>
        <v/>
      </c>
    </row>
    <row r="69" spans="1:63" x14ac:dyDescent="0.25">
      <c r="A69" s="45" t="s">
        <v>131</v>
      </c>
      <c r="B69" s="145">
        <v>1.524</v>
      </c>
      <c r="C69" s="145">
        <v>1.524</v>
      </c>
      <c r="D69" s="158"/>
      <c r="E69" s="145"/>
      <c r="F69" s="158"/>
      <c r="G69" s="145"/>
      <c r="H69" s="158"/>
      <c r="I69" s="145"/>
      <c r="J69" s="145"/>
      <c r="K69" s="145"/>
      <c r="L69" s="158"/>
      <c r="M69" s="145"/>
      <c r="N69" s="158"/>
      <c r="O69" s="145"/>
      <c r="P69" s="158"/>
      <c r="Q69" s="145"/>
      <c r="R69" s="145"/>
      <c r="S69" s="259"/>
      <c r="T69" s="2"/>
      <c r="U69" s="264">
        <v>65</v>
      </c>
      <c r="V69" s="16" t="str">
        <f t="shared" si="61"/>
        <v/>
      </c>
      <c r="W69" s="16" t="str">
        <f t="shared" si="62"/>
        <v/>
      </c>
      <c r="X69" s="16" t="str">
        <f t="shared" ref="X69:X132" si="65">IF($C$9&gt;=$U69,$V69^2,"")</f>
        <v/>
      </c>
      <c r="Y69" s="16" t="str">
        <f t="shared" ref="Y69:Y132" si="66">IF($C$9&gt;=$U69,$W69^2,"")</f>
        <v/>
      </c>
      <c r="Z69" s="16" t="str">
        <f t="shared" ref="Z69:Z132" si="67">IF($C$9&gt;=$U69,$V69*$W69,"")</f>
        <v/>
      </c>
      <c r="AA69" s="16" t="str">
        <f t="shared" si="63"/>
        <v/>
      </c>
      <c r="AB69" s="16" t="str">
        <f t="shared" si="64"/>
        <v/>
      </c>
      <c r="AC69" s="29" t="str">
        <f t="shared" ref="AC69:AC132" si="68">IF($C$9&gt;=$U69,(-$Z$318/$C$9+($Z$322*$V$311--$Z$321*$V$314)/($V$311*$V$312-$V$314^2)*$AA69+(-$Z$321*$V$312-$Z$322*$V$314)/($V$311*$V$312-$V$314^2)*$AB69),"")</f>
        <v/>
      </c>
      <c r="AD69" s="29" t="str">
        <f t="shared" ref="AD69:AD132" si="69">IF($C$9&gt;=$U69,((($Z$319/$C$9+$Z$323*-$AB69/$V$313)^2+($Z$320/$C$9+$Z$323*$AA69/$V$313)^2)^(1/2)),"")</f>
        <v/>
      </c>
      <c r="AE69" s="2"/>
      <c r="AF69" s="2"/>
      <c r="AG69" s="2"/>
      <c r="AH69" s="2"/>
      <c r="AI69" s="2"/>
      <c r="AJ69" s="2"/>
      <c r="AK69" s="2"/>
      <c r="AL69" s="2"/>
      <c r="AM69" s="2"/>
      <c r="AN69" s="2"/>
      <c r="AO69" s="2"/>
      <c r="AP69" s="2"/>
      <c r="AQ69" s="2"/>
      <c r="AT69" s="2"/>
      <c r="AU69" s="199" t="s">
        <v>200</v>
      </c>
      <c r="AV69" s="217">
        <f>IF($B$64&gt;=1,$B69*3.28084,"")</f>
        <v>5.0000001599999999</v>
      </c>
      <c r="AW69" s="232">
        <f>IF($B$64&gt;=2,$C69*3.28084,"")</f>
        <v>5.0000001599999999</v>
      </c>
      <c r="AX69" s="217" t="str">
        <f>IF($B$64&gt;=3,$D69*3.28084,"")</f>
        <v/>
      </c>
      <c r="AY69" s="232" t="str">
        <f>IF($B$64&gt;=4,$E69*3.28084,"")</f>
        <v/>
      </c>
      <c r="AZ69" s="217" t="str">
        <f>IF($B$64&gt;=5,$F69*3.28084,"")</f>
        <v/>
      </c>
      <c r="BA69" s="232" t="str">
        <f>IF($B$64&gt;=6,$G69*3.28084,"")</f>
        <v/>
      </c>
      <c r="BB69" s="217" t="str">
        <f>IF($B$64&gt;=7,$H69*3.28084,"")</f>
        <v/>
      </c>
      <c r="BC69" s="229" t="str">
        <f>IF($B$64&gt;=8,$I69*3.28084,"")</f>
        <v/>
      </c>
      <c r="BD69" s="217" t="str">
        <f>IF($B$64&gt;=9,$J69*3.28084,"")</f>
        <v/>
      </c>
      <c r="BE69" s="232" t="str">
        <f>IF($B$64&gt;=10,$K69*3.28084,"")</f>
        <v/>
      </c>
      <c r="BF69" s="217" t="str">
        <f>IF($B$64&gt;=11,$L69*3.28084,"")</f>
        <v/>
      </c>
      <c r="BG69" s="232" t="str">
        <f>IF($B$64&gt;=12,$M69*3.28084,"")</f>
        <v/>
      </c>
      <c r="BH69" s="217" t="str">
        <f>IF($B$64&gt;=13,$N69*3.28084,"")</f>
        <v/>
      </c>
      <c r="BI69" s="232" t="str">
        <f>IF($B$64&gt;=14,$O69*3.28084,"")</f>
        <v/>
      </c>
      <c r="BJ69" s="217" t="str">
        <f>IF($B$64&gt;=15,$P69*3.28084,"")</f>
        <v/>
      </c>
      <c r="BK69" s="229" t="str">
        <f>IF($B$64&gt;=16,$Q69*3.28084,"")</f>
        <v/>
      </c>
    </row>
    <row r="70" spans="1:63" x14ac:dyDescent="0.25">
      <c r="A70" s="45" t="s">
        <v>132</v>
      </c>
      <c r="B70" s="159">
        <v>-6672.3330000000005</v>
      </c>
      <c r="C70" s="159">
        <v>-6672.3330000000005</v>
      </c>
      <c r="D70" s="160"/>
      <c r="E70" s="159"/>
      <c r="F70" s="160"/>
      <c r="G70" s="159"/>
      <c r="H70" s="160"/>
      <c r="I70" s="159"/>
      <c r="J70" s="159"/>
      <c r="K70" s="159"/>
      <c r="L70" s="160"/>
      <c r="M70" s="159"/>
      <c r="N70" s="160"/>
      <c r="O70" s="159"/>
      <c r="P70" s="160"/>
      <c r="Q70" s="159"/>
      <c r="R70" s="159"/>
      <c r="S70" s="259"/>
      <c r="T70" s="2"/>
      <c r="U70" s="264">
        <v>66</v>
      </c>
      <c r="V70" s="16" t="str">
        <f t="shared" si="61"/>
        <v/>
      </c>
      <c r="W70" s="16" t="str">
        <f t="shared" si="62"/>
        <v/>
      </c>
      <c r="X70" s="16" t="str">
        <f t="shared" si="65"/>
        <v/>
      </c>
      <c r="Y70" s="16" t="str">
        <f t="shared" si="66"/>
        <v/>
      </c>
      <c r="Z70" s="16" t="str">
        <f t="shared" si="67"/>
        <v/>
      </c>
      <c r="AA70" s="16" t="str">
        <f t="shared" si="63"/>
        <v/>
      </c>
      <c r="AB70" s="16" t="str">
        <f t="shared" si="64"/>
        <v/>
      </c>
      <c r="AC70" s="29" t="str">
        <f t="shared" si="68"/>
        <v/>
      </c>
      <c r="AD70" s="29" t="str">
        <f t="shared" si="69"/>
        <v/>
      </c>
      <c r="AE70" s="2"/>
      <c r="AF70" s="2"/>
      <c r="AG70" s="2"/>
      <c r="AH70" s="2"/>
      <c r="AI70" s="2"/>
      <c r="AJ70" s="2"/>
      <c r="AK70" s="2"/>
      <c r="AL70" s="2"/>
      <c r="AM70" s="2"/>
      <c r="AN70" s="2"/>
      <c r="AO70" s="2"/>
      <c r="AP70" s="2"/>
      <c r="AQ70" s="2"/>
      <c r="AT70" s="2"/>
      <c r="AU70" s="199" t="s">
        <v>201</v>
      </c>
      <c r="AV70" s="233">
        <f>IF($B$64&gt;=1,$B70*0.224809,"")</f>
        <v>-1500.0005093970001</v>
      </c>
      <c r="AW70" s="234">
        <f>IF($B$64&gt;=2,$C70*0.224809,"")</f>
        <v>-1500.0005093970001</v>
      </c>
      <c r="AX70" s="233" t="str">
        <f>IF($B$64&gt;=3,$D70*0.224809,"")</f>
        <v/>
      </c>
      <c r="AY70" s="234" t="str">
        <f>IF($B$64&gt;=4,$E70*0.224809,"")</f>
        <v/>
      </c>
      <c r="AZ70" s="233" t="str">
        <f>IF($B$64&gt;=5,$F70*0.224809,"")</f>
        <v/>
      </c>
      <c r="BA70" s="234" t="str">
        <f>IF($B$64&gt;=6,$G70*0.224809,"")</f>
        <v/>
      </c>
      <c r="BB70" s="233" t="str">
        <f>IF($B$64&gt;=7,$H70*0.224809,"")</f>
        <v/>
      </c>
      <c r="BC70" s="235" t="str">
        <f>IF($B$64&gt;=8,$I70*0.224809,"")</f>
        <v/>
      </c>
      <c r="BD70" s="233" t="str">
        <f>IF($B$64&gt;=9,$J70*0.224809,"")</f>
        <v/>
      </c>
      <c r="BE70" s="234" t="str">
        <f>IF($B$64&gt;=10,$K70*0.224809,"")</f>
        <v/>
      </c>
      <c r="BF70" s="233" t="str">
        <f>IF($B$64&gt;=11,$L70*0.224809,"")</f>
        <v/>
      </c>
      <c r="BG70" s="234" t="str">
        <f>IF($B$64&gt;=12,$M70*0.224809,"")</f>
        <v/>
      </c>
      <c r="BH70" s="233" t="str">
        <f>IF($B$64&gt;=13,$N70*0.224809,"")</f>
        <v/>
      </c>
      <c r="BI70" s="234" t="str">
        <f>IF($B$64&gt;=14,$O70*0.224809,"")</f>
        <v/>
      </c>
      <c r="BJ70" s="233" t="str">
        <f>IF($B$64&gt;=15,$P70*0.224809,"")</f>
        <v/>
      </c>
      <c r="BK70" s="235" t="str">
        <f>IF($B$64&gt;=16,$Q70*0.224809,"")</f>
        <v/>
      </c>
    </row>
    <row r="71" spans="1:63" x14ac:dyDescent="0.25">
      <c r="A71" s="45" t="s">
        <v>133</v>
      </c>
      <c r="B71" s="159">
        <v>-88.96444000000001</v>
      </c>
      <c r="C71" s="159">
        <v>-88.96444000000001</v>
      </c>
      <c r="D71" s="160"/>
      <c r="E71" s="159"/>
      <c r="F71" s="160"/>
      <c r="G71" s="159"/>
      <c r="H71" s="160"/>
      <c r="I71" s="159"/>
      <c r="J71" s="159"/>
      <c r="K71" s="159"/>
      <c r="L71" s="160"/>
      <c r="M71" s="159"/>
      <c r="N71" s="160"/>
      <c r="O71" s="159"/>
      <c r="P71" s="160"/>
      <c r="Q71" s="159"/>
      <c r="R71" s="159"/>
      <c r="S71" s="259"/>
      <c r="T71" s="2"/>
      <c r="U71" s="264">
        <v>67</v>
      </c>
      <c r="V71" s="16" t="str">
        <f t="shared" si="61"/>
        <v/>
      </c>
      <c r="W71" s="16" t="str">
        <f t="shared" si="62"/>
        <v/>
      </c>
      <c r="X71" s="16" t="str">
        <f t="shared" si="65"/>
        <v/>
      </c>
      <c r="Y71" s="16" t="str">
        <f t="shared" si="66"/>
        <v/>
      </c>
      <c r="Z71" s="16" t="str">
        <f t="shared" si="67"/>
        <v/>
      </c>
      <c r="AA71" s="16" t="str">
        <f t="shared" si="63"/>
        <v/>
      </c>
      <c r="AB71" s="16" t="str">
        <f t="shared" si="64"/>
        <v/>
      </c>
      <c r="AC71" s="29" t="str">
        <f t="shared" si="68"/>
        <v/>
      </c>
      <c r="AD71" s="29" t="str">
        <f t="shared" si="69"/>
        <v/>
      </c>
      <c r="AE71" s="2"/>
      <c r="AF71" s="2"/>
      <c r="AG71" s="2"/>
      <c r="AH71" s="2"/>
      <c r="AI71" s="2"/>
      <c r="AJ71" s="2"/>
      <c r="AK71" s="2"/>
      <c r="AL71" s="2"/>
      <c r="AM71" s="2"/>
      <c r="AN71" s="2"/>
      <c r="AO71" s="2"/>
      <c r="AP71" s="2"/>
      <c r="AQ71" s="2"/>
      <c r="AT71" s="2"/>
      <c r="AU71" s="199" t="s">
        <v>202</v>
      </c>
      <c r="AV71" s="233">
        <f>IF($B$64&gt;=1,$B71*0.224809,"")</f>
        <v>-20.000006791960004</v>
      </c>
      <c r="AW71" s="234">
        <f>IF($B$64&gt;=2,$C71*0.224809,"")</f>
        <v>-20.000006791960004</v>
      </c>
      <c r="AX71" s="233" t="str">
        <f>IF($B$64&gt;=3,$D71*0.224809,"")</f>
        <v/>
      </c>
      <c r="AY71" s="234" t="str">
        <f>IF($B$64&gt;=4,$E71*0.224809,"")</f>
        <v/>
      </c>
      <c r="AZ71" s="233" t="str">
        <f>IF($B$64&gt;=5,$F71*0.224809,"")</f>
        <v/>
      </c>
      <c r="BA71" s="234" t="str">
        <f>IF($B$64&gt;=6,$G71*0.224809,"")</f>
        <v/>
      </c>
      <c r="BB71" s="233" t="str">
        <f>IF($B$64&gt;=7,$H71*0.224809,"")</f>
        <v/>
      </c>
      <c r="BC71" s="235" t="str">
        <f>IF($B$64&gt;=8,$I71*0.224809,"")</f>
        <v/>
      </c>
      <c r="BD71" s="233" t="str">
        <f>IF($B$64&gt;=9,$J71*0.224809,"")</f>
        <v/>
      </c>
      <c r="BE71" s="234" t="str">
        <f>IF($B$64&gt;=10,$K71*0.224809,"")</f>
        <v/>
      </c>
      <c r="BF71" s="233" t="str">
        <f>IF($B$64&gt;=11,$L71*0.224809,"")</f>
        <v/>
      </c>
      <c r="BG71" s="234" t="str">
        <f>IF($B$64&gt;=12,$M71*0.224809,"")</f>
        <v/>
      </c>
      <c r="BH71" s="233" t="str">
        <f>IF($B$64&gt;=13,$N71*0.224809,"")</f>
        <v/>
      </c>
      <c r="BI71" s="234" t="str">
        <f>IF($B$64&gt;=14,$O71*0.224809,"")</f>
        <v/>
      </c>
      <c r="BJ71" s="233" t="str">
        <f>IF($B$64&gt;=15,$P71*0.224809,"")</f>
        <v/>
      </c>
      <c r="BK71" s="235" t="str">
        <f>IF($B$64&gt;=16,$Q71*0.224809,"")</f>
        <v/>
      </c>
    </row>
    <row r="72" spans="1:63" x14ac:dyDescent="0.25">
      <c r="A72" s="45" t="s">
        <v>134</v>
      </c>
      <c r="B72" s="159">
        <v>-133.44666000000001</v>
      </c>
      <c r="C72" s="159">
        <v>-133.44666000000001</v>
      </c>
      <c r="D72" s="160"/>
      <c r="E72" s="159"/>
      <c r="F72" s="160"/>
      <c r="G72" s="159"/>
      <c r="H72" s="160"/>
      <c r="I72" s="159"/>
      <c r="J72" s="159"/>
      <c r="K72" s="159"/>
      <c r="L72" s="160"/>
      <c r="M72" s="159"/>
      <c r="N72" s="160"/>
      <c r="O72" s="159"/>
      <c r="P72" s="160"/>
      <c r="Q72" s="159"/>
      <c r="R72" s="159"/>
      <c r="S72" s="259"/>
      <c r="T72" s="2"/>
      <c r="U72" s="264">
        <v>68</v>
      </c>
      <c r="V72" s="16" t="str">
        <f t="shared" si="61"/>
        <v/>
      </c>
      <c r="W72" s="16" t="str">
        <f t="shared" si="62"/>
        <v/>
      </c>
      <c r="X72" s="16" t="str">
        <f t="shared" si="65"/>
        <v/>
      </c>
      <c r="Y72" s="16" t="str">
        <f t="shared" si="66"/>
        <v/>
      </c>
      <c r="Z72" s="16" t="str">
        <f t="shared" si="67"/>
        <v/>
      </c>
      <c r="AA72" s="16" t="str">
        <f t="shared" si="63"/>
        <v/>
      </c>
      <c r="AB72" s="16" t="str">
        <f t="shared" si="64"/>
        <v/>
      </c>
      <c r="AC72" s="29" t="str">
        <f t="shared" si="68"/>
        <v/>
      </c>
      <c r="AD72" s="29" t="str">
        <f t="shared" si="69"/>
        <v/>
      </c>
      <c r="AE72" s="2"/>
      <c r="AF72" s="2"/>
      <c r="AG72" s="2"/>
      <c r="AH72" s="2"/>
      <c r="AI72" s="2"/>
      <c r="AJ72" s="2"/>
      <c r="AK72" s="2"/>
      <c r="AL72" s="2"/>
      <c r="AM72" s="2"/>
      <c r="AN72" s="2"/>
      <c r="AO72" s="2"/>
      <c r="AP72" s="2"/>
      <c r="AQ72" s="2"/>
      <c r="AT72" s="2"/>
      <c r="AU72" s="199" t="s">
        <v>203</v>
      </c>
      <c r="AV72" s="233">
        <f>IF($B$64&gt;=1,$B72*0.224809,"")</f>
        <v>-30.000010187940003</v>
      </c>
      <c r="AW72" s="234">
        <f>IF($B$64&gt;=2,$C72*0.224809,"")</f>
        <v>-30.000010187940003</v>
      </c>
      <c r="AX72" s="233" t="str">
        <f>IF($B$64&gt;=3,$D72*0.224809,"")</f>
        <v/>
      </c>
      <c r="AY72" s="234" t="str">
        <f>IF($B$64&gt;=4,$E72*0.224809,"")</f>
        <v/>
      </c>
      <c r="AZ72" s="233" t="str">
        <f>IF($B$64&gt;=5,$F72*0.224809,"")</f>
        <v/>
      </c>
      <c r="BA72" s="234" t="str">
        <f>IF($B$64&gt;=6,$G72*0.224809,"")</f>
        <v/>
      </c>
      <c r="BB72" s="233" t="str">
        <f>IF($B$64&gt;=7,$H72*0.224809,"")</f>
        <v/>
      </c>
      <c r="BC72" s="235" t="str">
        <f>IF($B$64&gt;=8,$I72*0.224809,"")</f>
        <v/>
      </c>
      <c r="BD72" s="233" t="str">
        <f>IF($B$64&gt;=9,$J72*0.224809,"")</f>
        <v/>
      </c>
      <c r="BE72" s="234" t="str">
        <f>IF($B$64&gt;=10,$K72*0.224809,"")</f>
        <v/>
      </c>
      <c r="BF72" s="233" t="str">
        <f>IF($B$64&gt;=11,$L72*0.224809,"")</f>
        <v/>
      </c>
      <c r="BG72" s="234" t="str">
        <f>IF($B$64&gt;=12,$M72*0.224809,"")</f>
        <v/>
      </c>
      <c r="BH72" s="233" t="str">
        <f>IF($B$64&gt;=13,$N72*0.224809,"")</f>
        <v/>
      </c>
      <c r="BI72" s="234" t="str">
        <f>IF($B$64&gt;=14,$O72*0.224809,"")</f>
        <v/>
      </c>
      <c r="BJ72" s="233" t="str">
        <f>IF($B$64&gt;=15,$P72*0.224809,"")</f>
        <v/>
      </c>
      <c r="BK72" s="235" t="str">
        <f>IF($B$64&gt;=16,$Q72*0.224809,"")</f>
        <v/>
      </c>
    </row>
    <row r="73" spans="1:63" x14ac:dyDescent="0.25">
      <c r="A73" s="45" t="s">
        <v>135</v>
      </c>
      <c r="B73" s="159">
        <v>135.58179999999999</v>
      </c>
      <c r="C73" s="159">
        <v>135.58179999999999</v>
      </c>
      <c r="D73" s="160"/>
      <c r="E73" s="159"/>
      <c r="F73" s="160"/>
      <c r="G73" s="159"/>
      <c r="H73" s="160"/>
      <c r="I73" s="159"/>
      <c r="J73" s="159"/>
      <c r="K73" s="159"/>
      <c r="L73" s="160"/>
      <c r="M73" s="159"/>
      <c r="N73" s="160"/>
      <c r="O73" s="159"/>
      <c r="P73" s="160"/>
      <c r="Q73" s="159"/>
      <c r="R73" s="159"/>
      <c r="S73" s="259"/>
      <c r="T73" s="2"/>
      <c r="U73" s="264">
        <v>69</v>
      </c>
      <c r="V73" s="16" t="str">
        <f t="shared" si="61"/>
        <v/>
      </c>
      <c r="W73" s="16" t="str">
        <f t="shared" si="62"/>
        <v/>
      </c>
      <c r="X73" s="16" t="str">
        <f t="shared" si="65"/>
        <v/>
      </c>
      <c r="Y73" s="16" t="str">
        <f t="shared" si="66"/>
        <v/>
      </c>
      <c r="Z73" s="16" t="str">
        <f t="shared" si="67"/>
        <v/>
      </c>
      <c r="AA73" s="16" t="str">
        <f t="shared" si="63"/>
        <v/>
      </c>
      <c r="AB73" s="16" t="str">
        <f t="shared" si="64"/>
        <v/>
      </c>
      <c r="AC73" s="29" t="str">
        <f t="shared" si="68"/>
        <v/>
      </c>
      <c r="AD73" s="29" t="str">
        <f t="shared" si="69"/>
        <v/>
      </c>
      <c r="AE73" s="2"/>
      <c r="AF73" s="2"/>
      <c r="AG73" s="2"/>
      <c r="AH73" s="2"/>
      <c r="AI73" s="2"/>
      <c r="AJ73" s="2"/>
      <c r="AK73" s="2"/>
      <c r="AL73" s="2"/>
      <c r="AM73" s="2"/>
      <c r="AN73" s="2"/>
      <c r="AO73" s="2"/>
      <c r="AP73" s="2"/>
      <c r="AQ73" s="2"/>
      <c r="AT73" s="2"/>
      <c r="AU73" s="199" t="s">
        <v>204</v>
      </c>
      <c r="AV73" s="233">
        <f>IF($B$64&gt;=1,$B73*0.737562,"")</f>
        <v>99.999983571599998</v>
      </c>
      <c r="AW73" s="234">
        <f>IF($B$64&gt;=2,$C73*0.737562,"")</f>
        <v>99.999983571599998</v>
      </c>
      <c r="AX73" s="233" t="str">
        <f>IF($B$64&gt;=3,$D73*0.737562,"")</f>
        <v/>
      </c>
      <c r="AY73" s="234" t="str">
        <f>IF($B$64&gt;=4,$E73*0.737562,"")</f>
        <v/>
      </c>
      <c r="AZ73" s="233" t="str">
        <f>IF($B$64&gt;=5,$F73*0.737562,"")</f>
        <v/>
      </c>
      <c r="BA73" s="234" t="str">
        <f>IF($B$64&gt;=6,$G73*0.737562,"")</f>
        <v/>
      </c>
      <c r="BB73" s="233" t="str">
        <f>IF($B$64&gt;=7,$H73*0.737562,"")</f>
        <v/>
      </c>
      <c r="BC73" s="235" t="str">
        <f>IF($B$64&gt;=8,$I73*0.737562,"")</f>
        <v/>
      </c>
      <c r="BD73" s="233" t="str">
        <f>IF($B$64&gt;=9,$J73*0.737562,"")</f>
        <v/>
      </c>
      <c r="BE73" s="234" t="str">
        <f>IF($B$64&gt;=10,$K73*0.737562,"")</f>
        <v/>
      </c>
      <c r="BF73" s="233" t="str">
        <f>IF($B$64&gt;=11,$L73*0.737562,"")</f>
        <v/>
      </c>
      <c r="BG73" s="234" t="str">
        <f>IF($B$64&gt;=12,$M73*0.737562,"")</f>
        <v/>
      </c>
      <c r="BH73" s="233" t="str">
        <f>IF($B$64&gt;=13,$N73*0.737562,"")</f>
        <v/>
      </c>
      <c r="BI73" s="234" t="str">
        <f>IF($B$64&gt;=14,$O73*0.737562,"")</f>
        <v/>
      </c>
      <c r="BJ73" s="233" t="str">
        <f>IF($B$64&gt;=15,$P73*0.737562,"")</f>
        <v/>
      </c>
      <c r="BK73" s="235" t="str">
        <f>IF($B$64&gt;=16,$Q73*0.737562,"")</f>
        <v/>
      </c>
    </row>
    <row r="74" spans="1:63" x14ac:dyDescent="0.25">
      <c r="A74" s="45" t="s">
        <v>136</v>
      </c>
      <c r="B74" s="159">
        <v>-203.37270000000001</v>
      </c>
      <c r="C74" s="159">
        <v>-203.37270000000001</v>
      </c>
      <c r="D74" s="160"/>
      <c r="E74" s="159"/>
      <c r="F74" s="160"/>
      <c r="G74" s="159"/>
      <c r="H74" s="160"/>
      <c r="I74" s="159"/>
      <c r="J74" s="159"/>
      <c r="K74" s="159"/>
      <c r="L74" s="160"/>
      <c r="M74" s="159"/>
      <c r="N74" s="160"/>
      <c r="O74" s="159"/>
      <c r="P74" s="160"/>
      <c r="Q74" s="159"/>
      <c r="R74" s="159"/>
      <c r="S74" s="259"/>
      <c r="T74" s="2"/>
      <c r="U74" s="264">
        <v>70</v>
      </c>
      <c r="V74" s="16" t="str">
        <f t="shared" si="61"/>
        <v/>
      </c>
      <c r="W74" s="16" t="str">
        <f t="shared" si="62"/>
        <v/>
      </c>
      <c r="X74" s="16" t="str">
        <f t="shared" si="65"/>
        <v/>
      </c>
      <c r="Y74" s="16" t="str">
        <f t="shared" si="66"/>
        <v/>
      </c>
      <c r="Z74" s="16" t="str">
        <f t="shared" si="67"/>
        <v/>
      </c>
      <c r="AA74" s="16" t="str">
        <f t="shared" si="63"/>
        <v/>
      </c>
      <c r="AB74" s="16" t="str">
        <f t="shared" si="64"/>
        <v/>
      </c>
      <c r="AC74" s="29" t="str">
        <f t="shared" si="68"/>
        <v/>
      </c>
      <c r="AD74" s="29" t="str">
        <f t="shared" si="69"/>
        <v/>
      </c>
      <c r="AE74" s="2"/>
      <c r="AF74" s="2"/>
      <c r="AG74" s="2"/>
      <c r="AH74" s="2"/>
      <c r="AI74" s="2"/>
      <c r="AJ74" s="2"/>
      <c r="AK74" s="2"/>
      <c r="AL74" s="2"/>
      <c r="AM74" s="2"/>
      <c r="AN74" s="2"/>
      <c r="AO74" s="2"/>
      <c r="AP74" s="2"/>
      <c r="AQ74" s="2"/>
      <c r="AT74" s="2"/>
      <c r="AU74" s="199" t="s">
        <v>205</v>
      </c>
      <c r="AV74" s="233">
        <f>IF($B$64&gt;=1,$B74*0.737562,"")</f>
        <v>-149.99997535740002</v>
      </c>
      <c r="AW74" s="234">
        <f>IF($B$64&gt;=2,$C74*0.737562,"")</f>
        <v>-149.99997535740002</v>
      </c>
      <c r="AX74" s="233" t="str">
        <f>IF($B$64&gt;=3,$D74*0.737562,"")</f>
        <v/>
      </c>
      <c r="AY74" s="234" t="str">
        <f>IF($B$64&gt;=4,$E74*0.737562,"")</f>
        <v/>
      </c>
      <c r="AZ74" s="233" t="str">
        <f>IF($B$64&gt;=5,$F74*0.737562,"")</f>
        <v/>
      </c>
      <c r="BA74" s="234" t="str">
        <f>IF($B$64&gt;=6,$G74*0.737562,"")</f>
        <v/>
      </c>
      <c r="BB74" s="233" t="str">
        <f>IF($B$64&gt;=7,$H74*0.737562,"")</f>
        <v/>
      </c>
      <c r="BC74" s="235" t="str">
        <f>IF($B$64&gt;=8,$I74*0.737562,"")</f>
        <v/>
      </c>
      <c r="BD74" s="233" t="str">
        <f>IF($B$64&gt;=9,$J74*0.737562,"")</f>
        <v/>
      </c>
      <c r="BE74" s="234" t="str">
        <f>IF($B$64&gt;=10,$K74*0.737562,"")</f>
        <v/>
      </c>
      <c r="BF74" s="233" t="str">
        <f>IF($B$64&gt;=11,$L74*0.737562,"")</f>
        <v/>
      </c>
      <c r="BG74" s="234" t="str">
        <f>IF($B$64&gt;=12,$M74*0.737562,"")</f>
        <v/>
      </c>
      <c r="BH74" s="233" t="str">
        <f>IF($B$64&gt;=13,$N74*0.737562,"")</f>
        <v/>
      </c>
      <c r="BI74" s="234" t="str">
        <f>IF($B$64&gt;=14,$O74*0.737562,"")</f>
        <v/>
      </c>
      <c r="BJ74" s="233" t="str">
        <f>IF($B$64&gt;=15,$P74*0.737562,"")</f>
        <v/>
      </c>
      <c r="BK74" s="235" t="str">
        <f>IF($B$64&gt;=16,$Q74*0.737562,"")</f>
        <v/>
      </c>
    </row>
    <row r="75" spans="1:63" x14ac:dyDescent="0.25">
      <c r="A75" s="45" t="s">
        <v>253</v>
      </c>
      <c r="B75" s="162">
        <v>0</v>
      </c>
      <c r="C75" s="162">
        <v>0</v>
      </c>
      <c r="D75" s="163"/>
      <c r="E75" s="162"/>
      <c r="F75" s="163"/>
      <c r="G75" s="162"/>
      <c r="H75" s="163"/>
      <c r="I75" s="162"/>
      <c r="J75" s="162"/>
      <c r="K75" s="162"/>
      <c r="L75" s="163"/>
      <c r="M75" s="162"/>
      <c r="N75" s="163"/>
      <c r="O75" s="162"/>
      <c r="P75" s="163"/>
      <c r="Q75" s="162"/>
      <c r="R75" s="162"/>
      <c r="S75" s="259"/>
      <c r="T75" s="2"/>
      <c r="U75" s="264">
        <v>71</v>
      </c>
      <c r="V75" s="16" t="str">
        <f t="shared" si="61"/>
        <v/>
      </c>
      <c r="W75" s="16" t="str">
        <f t="shared" si="62"/>
        <v/>
      </c>
      <c r="X75" s="16" t="str">
        <f t="shared" si="65"/>
        <v/>
      </c>
      <c r="Y75" s="16" t="str">
        <f t="shared" si="66"/>
        <v/>
      </c>
      <c r="Z75" s="16" t="str">
        <f t="shared" si="67"/>
        <v/>
      </c>
      <c r="AA75" s="16" t="str">
        <f t="shared" si="63"/>
        <v/>
      </c>
      <c r="AB75" s="16" t="str">
        <f t="shared" si="64"/>
        <v/>
      </c>
      <c r="AC75" s="29" t="str">
        <f t="shared" si="68"/>
        <v/>
      </c>
      <c r="AD75" s="29" t="str">
        <f t="shared" si="69"/>
        <v/>
      </c>
      <c r="AE75" s="2"/>
      <c r="AF75" s="2"/>
      <c r="AG75" s="2"/>
      <c r="AH75" s="2"/>
      <c r="AI75" s="2"/>
      <c r="AJ75" s="2"/>
      <c r="AK75" s="2"/>
      <c r="AL75" s="2"/>
      <c r="AM75" s="2"/>
      <c r="AN75" s="2"/>
      <c r="AO75" s="2"/>
      <c r="AP75" s="2"/>
      <c r="AQ75" s="2"/>
      <c r="AT75" s="2"/>
      <c r="AU75" s="199" t="s">
        <v>206</v>
      </c>
      <c r="AV75" s="236">
        <f>IF($B$64&gt;=1,$B75*0.737562,"")</f>
        <v>0</v>
      </c>
      <c r="AW75" s="237">
        <f>IF($B$64&gt;=2,$C75*0.737562,"")</f>
        <v>0</v>
      </c>
      <c r="AX75" s="236" t="str">
        <f>IF($B$64&gt;=3,$D75*0.737562,"")</f>
        <v/>
      </c>
      <c r="AY75" s="237" t="str">
        <f>IF($B$64&gt;=4,$E75*0.737562,"")</f>
        <v/>
      </c>
      <c r="AZ75" s="236" t="str">
        <f>IF($B$64&gt;=5,$F75*0.737562,"")</f>
        <v/>
      </c>
      <c r="BA75" s="237" t="str">
        <f>IF($B$64&gt;=6,$G75*0.737562,"")</f>
        <v/>
      </c>
      <c r="BB75" s="236" t="str">
        <f>IF($B$64&gt;=7,$H75*0.737562,"")</f>
        <v/>
      </c>
      <c r="BC75" s="238" t="str">
        <f>IF($B$64&gt;=8,$I75*0.737562,"")</f>
        <v/>
      </c>
      <c r="BD75" s="236" t="str">
        <f>IF($B$64&gt;=9,$J75*0.737562,"")</f>
        <v/>
      </c>
      <c r="BE75" s="237" t="str">
        <f>IF($B$64&gt;=10,$K75*0.737562,"")</f>
        <v/>
      </c>
      <c r="BF75" s="236" t="str">
        <f>IF($B$64&gt;=11,$L75*0.737562,"")</f>
        <v/>
      </c>
      <c r="BG75" s="237" t="str">
        <f>IF($B$64&gt;=12,$M75*0.737562,"")</f>
        <v/>
      </c>
      <c r="BH75" s="236" t="str">
        <f>IF($B$64&gt;=13,$N75*0.737562,"")</f>
        <v/>
      </c>
      <c r="BI75" s="237" t="str">
        <f>IF($B$64&gt;=14,$O75*0.737562,"")</f>
        <v/>
      </c>
      <c r="BJ75" s="236" t="str">
        <f>IF($B$64&gt;=15,$P75*0.737562,"")</f>
        <v/>
      </c>
      <c r="BK75" s="238" t="str">
        <f>IF($B$64&gt;=16,$Q75*0.737562,"")</f>
        <v/>
      </c>
    </row>
    <row r="76" spans="1:63" x14ac:dyDescent="0.25">
      <c r="A76" s="48"/>
      <c r="B76" s="54"/>
      <c r="C76" s="54"/>
      <c r="D76" s="54"/>
      <c r="E76" s="54"/>
      <c r="F76" s="54"/>
      <c r="G76" s="54"/>
      <c r="H76" s="54"/>
      <c r="I76" s="267"/>
      <c r="J76" s="2"/>
      <c r="K76" s="2"/>
      <c r="L76" s="2"/>
      <c r="M76" s="2"/>
      <c r="N76" s="2"/>
      <c r="O76" s="2"/>
      <c r="P76" s="2"/>
      <c r="Q76" s="2"/>
      <c r="R76" s="2"/>
      <c r="S76" s="259"/>
      <c r="T76" s="2"/>
      <c r="U76" s="264">
        <v>72</v>
      </c>
      <c r="V76" s="16" t="str">
        <f t="shared" si="61"/>
        <v/>
      </c>
      <c r="W76" s="16" t="str">
        <f t="shared" si="62"/>
        <v/>
      </c>
      <c r="X76" s="16" t="str">
        <f t="shared" si="65"/>
        <v/>
      </c>
      <c r="Y76" s="16" t="str">
        <f t="shared" si="66"/>
        <v/>
      </c>
      <c r="Z76" s="16" t="str">
        <f t="shared" si="67"/>
        <v/>
      </c>
      <c r="AA76" s="16" t="str">
        <f t="shared" si="63"/>
        <v/>
      </c>
      <c r="AB76" s="16" t="str">
        <f t="shared" si="64"/>
        <v/>
      </c>
      <c r="AC76" s="29" t="str">
        <f t="shared" si="68"/>
        <v/>
      </c>
      <c r="AD76" s="29" t="str">
        <f t="shared" si="69"/>
        <v/>
      </c>
      <c r="AE76" s="2"/>
      <c r="AF76" s="2"/>
      <c r="AG76" s="2"/>
      <c r="AH76" s="2"/>
      <c r="AI76" s="2"/>
      <c r="AJ76" s="2"/>
      <c r="AK76" s="2"/>
      <c r="AL76" s="2"/>
      <c r="AM76" s="2"/>
      <c r="AN76" s="2"/>
      <c r="AO76" s="2"/>
      <c r="AP76" s="2"/>
      <c r="AQ76" s="2"/>
      <c r="AT76" s="2"/>
      <c r="BA76" s="5"/>
      <c r="BB76" s="8"/>
      <c r="BC76" s="8"/>
      <c r="BD76" s="8"/>
      <c r="BE76" s="8"/>
      <c r="BF76" s="8"/>
      <c r="BG76" s="8"/>
      <c r="BH76" s="8"/>
      <c r="BI76" s="8"/>
      <c r="BJ76" s="8"/>
    </row>
    <row r="77" spans="1:63" x14ac:dyDescent="0.25">
      <c r="A77" s="48"/>
      <c r="B77" s="54"/>
      <c r="C77" s="54"/>
      <c r="D77" s="54"/>
      <c r="E77" s="54"/>
      <c r="F77" s="54"/>
      <c r="G77" s="54"/>
      <c r="H77" s="54"/>
      <c r="I77" s="54"/>
      <c r="J77" s="2"/>
      <c r="K77" s="2"/>
      <c r="L77" s="2"/>
      <c r="M77" s="2"/>
      <c r="N77" s="2"/>
      <c r="O77" s="2"/>
      <c r="P77" s="2"/>
      <c r="Q77" s="2"/>
      <c r="R77" s="2"/>
      <c r="S77" s="259"/>
      <c r="T77" s="2"/>
      <c r="U77" s="264">
        <v>73</v>
      </c>
      <c r="V77" s="16" t="str">
        <f t="shared" si="61"/>
        <v/>
      </c>
      <c r="W77" s="16" t="str">
        <f t="shared" si="62"/>
        <v/>
      </c>
      <c r="X77" s="16" t="str">
        <f t="shared" si="65"/>
        <v/>
      </c>
      <c r="Y77" s="16" t="str">
        <f t="shared" si="66"/>
        <v/>
      </c>
      <c r="Z77" s="16" t="str">
        <f t="shared" si="67"/>
        <v/>
      </c>
      <c r="AA77" s="16" t="str">
        <f t="shared" si="63"/>
        <v/>
      </c>
      <c r="AB77" s="16" t="str">
        <f t="shared" si="64"/>
        <v/>
      </c>
      <c r="AC77" s="29" t="str">
        <f t="shared" si="68"/>
        <v/>
      </c>
      <c r="AD77" s="29" t="str">
        <f t="shared" si="69"/>
        <v/>
      </c>
      <c r="AE77" s="2"/>
      <c r="AF77" s="2"/>
      <c r="AG77" s="2"/>
      <c r="AH77" s="2"/>
      <c r="AI77" s="2"/>
      <c r="AJ77" s="2"/>
      <c r="AK77" s="2"/>
      <c r="AL77" s="2"/>
      <c r="AM77" s="2"/>
      <c r="AN77" s="2"/>
      <c r="AO77" s="2"/>
      <c r="AP77" s="2"/>
      <c r="AQ77" s="2"/>
      <c r="AT77" s="2"/>
      <c r="BA77" s="8"/>
      <c r="BB77" s="8"/>
      <c r="BC77" s="8"/>
      <c r="BD77" s="8"/>
      <c r="BE77" s="8"/>
      <c r="BF77" s="8"/>
      <c r="BG77" s="8"/>
      <c r="BH77" s="8"/>
      <c r="BI77" s="8"/>
      <c r="BJ77" s="8"/>
    </row>
    <row r="78" spans="1:63" x14ac:dyDescent="0.25">
      <c r="A78" s="48"/>
      <c r="B78" s="54"/>
      <c r="C78" s="54"/>
      <c r="D78" s="54"/>
      <c r="E78" s="54"/>
      <c r="F78" s="54"/>
      <c r="G78" s="54"/>
      <c r="H78" s="54"/>
      <c r="I78" s="54"/>
      <c r="J78" s="2"/>
      <c r="K78" s="2"/>
      <c r="L78" s="2"/>
      <c r="M78" s="2"/>
      <c r="N78" s="2"/>
      <c r="O78" s="2"/>
      <c r="P78" s="2"/>
      <c r="Q78" s="2"/>
      <c r="R78" s="2"/>
      <c r="S78" s="259"/>
      <c r="T78" s="2"/>
      <c r="U78" s="264">
        <v>74</v>
      </c>
      <c r="V78" s="16" t="str">
        <f t="shared" si="61"/>
        <v/>
      </c>
      <c r="W78" s="16" t="str">
        <f t="shared" si="62"/>
        <v/>
      </c>
      <c r="X78" s="16" t="str">
        <f t="shared" si="65"/>
        <v/>
      </c>
      <c r="Y78" s="16" t="str">
        <f t="shared" si="66"/>
        <v/>
      </c>
      <c r="Z78" s="16" t="str">
        <f t="shared" si="67"/>
        <v/>
      </c>
      <c r="AA78" s="16" t="str">
        <f t="shared" si="63"/>
        <v/>
      </c>
      <c r="AB78" s="16" t="str">
        <f t="shared" si="64"/>
        <v/>
      </c>
      <c r="AC78" s="29" t="str">
        <f t="shared" si="68"/>
        <v/>
      </c>
      <c r="AD78" s="29" t="str">
        <f t="shared" si="69"/>
        <v/>
      </c>
      <c r="AE78" s="2"/>
      <c r="AF78" s="2"/>
      <c r="AG78" s="2"/>
      <c r="AH78" s="2"/>
      <c r="AI78" s="2"/>
      <c r="AJ78" s="2"/>
      <c r="AK78" s="2"/>
      <c r="AL78" s="2"/>
      <c r="AM78" s="2"/>
      <c r="AN78" s="2"/>
      <c r="AO78" s="2"/>
      <c r="AP78" s="2"/>
      <c r="AQ78" s="2"/>
      <c r="AT78" s="197" t="s">
        <v>181</v>
      </c>
      <c r="AU78" s="198"/>
      <c r="AV78" s="198"/>
      <c r="AW78" s="198"/>
      <c r="AX78" s="198"/>
      <c r="AY78" s="198"/>
      <c r="AZ78" s="92"/>
      <c r="BA78" s="92"/>
      <c r="BB78" s="92"/>
      <c r="BC78" s="92"/>
      <c r="BD78" s="92"/>
      <c r="BE78" s="92"/>
    </row>
    <row r="79" spans="1:63" x14ac:dyDescent="0.25">
      <c r="A79" s="131" t="s">
        <v>41</v>
      </c>
      <c r="B79" s="54"/>
      <c r="C79" s="54"/>
      <c r="D79" s="54"/>
      <c r="E79" s="54"/>
      <c r="F79" s="54"/>
      <c r="G79" s="54"/>
      <c r="H79" s="54"/>
      <c r="I79" s="54"/>
      <c r="J79" s="2"/>
      <c r="K79" s="2"/>
      <c r="L79" s="2"/>
      <c r="M79" s="2"/>
      <c r="N79" s="2"/>
      <c r="O79" s="2"/>
      <c r="P79" s="2"/>
      <c r="Q79" s="2"/>
      <c r="R79" s="2"/>
      <c r="S79" s="259"/>
      <c r="T79" s="2"/>
      <c r="U79" s="264">
        <v>75</v>
      </c>
      <c r="V79" s="16" t="str">
        <f t="shared" si="61"/>
        <v/>
      </c>
      <c r="W79" s="16" t="str">
        <f t="shared" si="62"/>
        <v/>
      </c>
      <c r="X79" s="16" t="str">
        <f t="shared" si="65"/>
        <v/>
      </c>
      <c r="Y79" s="16" t="str">
        <f t="shared" si="66"/>
        <v/>
      </c>
      <c r="Z79" s="16" t="str">
        <f t="shared" si="67"/>
        <v/>
      </c>
      <c r="AA79" s="16" t="str">
        <f t="shared" si="63"/>
        <v/>
      </c>
      <c r="AB79" s="16" t="str">
        <f t="shared" si="64"/>
        <v/>
      </c>
      <c r="AC79" s="29" t="str">
        <f t="shared" si="68"/>
        <v/>
      </c>
      <c r="AD79" s="29" t="str">
        <f t="shared" si="69"/>
        <v/>
      </c>
      <c r="AE79" s="2"/>
      <c r="AF79" s="2"/>
      <c r="AG79" s="2"/>
      <c r="AH79" s="2"/>
      <c r="AI79" s="2"/>
      <c r="AJ79" s="2"/>
      <c r="AK79" s="2"/>
      <c r="AL79" s="2"/>
      <c r="AM79" s="2"/>
      <c r="AN79" s="2"/>
      <c r="AO79" s="2"/>
      <c r="AP79" s="2"/>
      <c r="AQ79" s="2"/>
      <c r="AT79" s="201"/>
      <c r="AU79" s="201"/>
      <c r="AV79" s="201"/>
      <c r="AW79" s="201"/>
      <c r="AX79" s="201"/>
      <c r="AY79" s="201"/>
      <c r="AZ79" s="92"/>
      <c r="BA79" s="92"/>
      <c r="BB79" s="92"/>
      <c r="BC79" s="92"/>
      <c r="BD79" s="92"/>
      <c r="BE79" s="92"/>
    </row>
    <row r="80" spans="1:63" x14ac:dyDescent="0.25">
      <c r="A80" s="48"/>
      <c r="B80" s="54"/>
      <c r="C80" s="54"/>
      <c r="D80" s="54"/>
      <c r="E80" s="54"/>
      <c r="F80" s="54"/>
      <c r="G80" s="54"/>
      <c r="H80" s="54"/>
      <c r="I80" s="54"/>
      <c r="J80" s="2"/>
      <c r="K80" s="2"/>
      <c r="L80" s="2"/>
      <c r="M80" s="2"/>
      <c r="N80" s="2"/>
      <c r="O80" s="2"/>
      <c r="P80" s="2"/>
      <c r="Q80" s="2"/>
      <c r="R80" s="2"/>
      <c r="S80" s="259"/>
      <c r="T80" s="2"/>
      <c r="U80" s="264">
        <v>76</v>
      </c>
      <c r="V80" s="16" t="str">
        <f t="shared" si="61"/>
        <v/>
      </c>
      <c r="W80" s="16" t="str">
        <f t="shared" si="62"/>
        <v/>
      </c>
      <c r="X80" s="16" t="str">
        <f t="shared" si="65"/>
        <v/>
      </c>
      <c r="Y80" s="16" t="str">
        <f t="shared" si="66"/>
        <v/>
      </c>
      <c r="Z80" s="16" t="str">
        <f t="shared" si="67"/>
        <v/>
      </c>
      <c r="AA80" s="16" t="str">
        <f t="shared" si="63"/>
        <v/>
      </c>
      <c r="AB80" s="16" t="str">
        <f t="shared" si="64"/>
        <v/>
      </c>
      <c r="AC80" s="29" t="str">
        <f t="shared" si="68"/>
        <v/>
      </c>
      <c r="AD80" s="29" t="str">
        <f t="shared" si="69"/>
        <v/>
      </c>
      <c r="AE80" s="2"/>
      <c r="AF80" s="2"/>
      <c r="AG80" s="2"/>
      <c r="AH80" s="2"/>
      <c r="AI80" s="2"/>
      <c r="AJ80" s="2"/>
      <c r="AK80" s="2"/>
      <c r="AL80" s="2"/>
      <c r="AM80" s="2"/>
      <c r="AN80" s="2"/>
      <c r="AO80" s="2"/>
      <c r="AP80" s="2"/>
      <c r="AQ80" s="2"/>
      <c r="AT80" s="223" t="s">
        <v>236</v>
      </c>
      <c r="AU80" s="204"/>
      <c r="AV80" s="205"/>
      <c r="AW80" s="205"/>
      <c r="AX80" s="205"/>
      <c r="AY80" s="205"/>
      <c r="AZ80" s="92"/>
      <c r="BA80" s="92"/>
      <c r="BB80" s="92"/>
      <c r="BC80" s="92"/>
      <c r="BD80" s="92"/>
      <c r="BE80" s="92"/>
    </row>
    <row r="81" spans="1:64" x14ac:dyDescent="0.25">
      <c r="A81" s="102" t="s">
        <v>32</v>
      </c>
      <c r="B81" s="53"/>
      <c r="C81" s="53"/>
      <c r="D81" s="54"/>
      <c r="E81" s="69" t="s">
        <v>112</v>
      </c>
      <c r="F81" s="53"/>
      <c r="G81" s="53"/>
      <c r="H81" s="54"/>
      <c r="I81" s="54"/>
      <c r="J81" s="2"/>
      <c r="K81" s="2"/>
      <c r="L81" s="2"/>
      <c r="M81" s="2"/>
      <c r="N81" s="2"/>
      <c r="O81" s="2"/>
      <c r="P81" s="2"/>
      <c r="Q81" s="2"/>
      <c r="R81" s="2"/>
      <c r="S81" s="259"/>
      <c r="T81" s="2"/>
      <c r="U81" s="264">
        <v>77</v>
      </c>
      <c r="V81" s="16" t="str">
        <f t="shared" si="61"/>
        <v/>
      </c>
      <c r="W81" s="16" t="str">
        <f t="shared" si="62"/>
        <v/>
      </c>
      <c r="X81" s="16" t="str">
        <f t="shared" si="65"/>
        <v/>
      </c>
      <c r="Y81" s="16" t="str">
        <f t="shared" si="66"/>
        <v/>
      </c>
      <c r="Z81" s="16" t="str">
        <f t="shared" si="67"/>
        <v/>
      </c>
      <c r="AA81" s="16" t="str">
        <f t="shared" si="63"/>
        <v/>
      </c>
      <c r="AB81" s="16" t="str">
        <f t="shared" si="64"/>
        <v/>
      </c>
      <c r="AC81" s="29" t="str">
        <f t="shared" si="68"/>
        <v/>
      </c>
      <c r="AD81" s="29" t="str">
        <f t="shared" si="69"/>
        <v/>
      </c>
      <c r="AE81" s="2"/>
      <c r="AF81" s="2"/>
      <c r="AG81" s="2"/>
      <c r="AH81" s="2"/>
      <c r="AI81" s="2"/>
      <c r="AJ81" s="2"/>
      <c r="AK81" s="2"/>
      <c r="AL81" s="2"/>
      <c r="AM81" s="2"/>
      <c r="AN81" s="2"/>
      <c r="AO81" s="2"/>
      <c r="AP81" s="2"/>
      <c r="AQ81" s="2"/>
      <c r="AT81" s="241" t="s">
        <v>237</v>
      </c>
      <c r="AU81" s="204"/>
      <c r="AV81" s="202"/>
      <c r="AW81" s="202"/>
      <c r="AX81" s="202"/>
      <c r="AY81" s="202"/>
      <c r="AZ81" s="92"/>
      <c r="BA81" s="92"/>
      <c r="BB81" s="92"/>
      <c r="BC81" s="92"/>
      <c r="BD81" s="92"/>
      <c r="BE81" s="92"/>
    </row>
    <row r="82" spans="1:64" x14ac:dyDescent="0.25">
      <c r="A82" s="103" t="s">
        <v>5</v>
      </c>
      <c r="B82" s="149">
        <f t="shared" ref="B82:B88" si="70">$V309</f>
        <v>1.3716000000000006</v>
      </c>
      <c r="C82" s="116" t="s">
        <v>115</v>
      </c>
      <c r="D82" s="54"/>
      <c r="E82" s="68" t="s">
        <v>35</v>
      </c>
      <c r="F82" s="143">
        <f t="shared" ref="F82:F87" si="71">$Z318</f>
        <v>-13344.666000000001</v>
      </c>
      <c r="G82" s="117" t="s">
        <v>114</v>
      </c>
      <c r="H82" s="54"/>
      <c r="I82" s="54"/>
      <c r="J82" s="2"/>
      <c r="K82" s="2"/>
      <c r="L82" s="2"/>
      <c r="M82" s="2"/>
      <c r="N82" s="2"/>
      <c r="O82" s="2"/>
      <c r="P82" s="2"/>
      <c r="Q82" s="2"/>
      <c r="R82" s="2"/>
      <c r="S82" s="259"/>
      <c r="T82" s="2"/>
      <c r="U82" s="264">
        <v>78</v>
      </c>
      <c r="V82" s="16" t="str">
        <f t="shared" si="61"/>
        <v/>
      </c>
      <c r="W82" s="16" t="str">
        <f t="shared" si="62"/>
        <v/>
      </c>
      <c r="X82" s="16" t="str">
        <f t="shared" si="65"/>
        <v/>
      </c>
      <c r="Y82" s="16" t="str">
        <f t="shared" si="66"/>
        <v/>
      </c>
      <c r="Z82" s="16" t="str">
        <f t="shared" si="67"/>
        <v/>
      </c>
      <c r="AA82" s="16" t="str">
        <f t="shared" si="63"/>
        <v/>
      </c>
      <c r="AB82" s="16" t="str">
        <f t="shared" si="64"/>
        <v/>
      </c>
      <c r="AC82" s="29" t="str">
        <f t="shared" si="68"/>
        <v/>
      </c>
      <c r="AD82" s="29" t="str">
        <f t="shared" si="69"/>
        <v/>
      </c>
      <c r="AE82" s="2"/>
      <c r="AF82" s="2"/>
      <c r="AG82" s="2"/>
      <c r="AH82" s="2"/>
      <c r="AI82" s="2"/>
      <c r="AJ82" s="2"/>
      <c r="AK82" s="2"/>
      <c r="AL82" s="2"/>
      <c r="AM82" s="2"/>
      <c r="AN82" s="2"/>
      <c r="AO82" s="2"/>
      <c r="AP82" s="2"/>
      <c r="AQ82" s="2"/>
      <c r="AT82" s="200"/>
      <c r="AU82" s="200"/>
      <c r="AV82" s="200"/>
      <c r="AW82" s="200"/>
      <c r="AX82" s="200"/>
      <c r="AY82" s="200"/>
      <c r="AZ82" s="92"/>
      <c r="BA82" s="92"/>
      <c r="BB82" s="92"/>
      <c r="BC82" s="92"/>
      <c r="BD82" s="92"/>
      <c r="BE82" s="92"/>
    </row>
    <row r="83" spans="1:64" x14ac:dyDescent="0.25">
      <c r="A83" s="103" t="s">
        <v>6</v>
      </c>
      <c r="B83" s="150">
        <f t="shared" si="70"/>
        <v>4.1148000000000016</v>
      </c>
      <c r="C83" s="116" t="s">
        <v>115</v>
      </c>
      <c r="D83" s="54"/>
      <c r="E83" s="68" t="s">
        <v>36</v>
      </c>
      <c r="F83" s="147">
        <f t="shared" si="71"/>
        <v>-177.92888000000002</v>
      </c>
      <c r="G83" s="117" t="s">
        <v>114</v>
      </c>
      <c r="H83" s="54"/>
      <c r="I83" s="54"/>
      <c r="J83" s="2"/>
      <c r="K83" s="2"/>
      <c r="L83" s="2"/>
      <c r="M83" s="2"/>
      <c r="N83" s="2"/>
      <c r="O83" s="2"/>
      <c r="P83" s="2"/>
      <c r="Q83" s="2"/>
      <c r="R83" s="2"/>
      <c r="S83" s="259"/>
      <c r="T83" s="2"/>
      <c r="U83" s="264">
        <v>79</v>
      </c>
      <c r="V83" s="16" t="str">
        <f t="shared" si="61"/>
        <v/>
      </c>
      <c r="W83" s="16" t="str">
        <f t="shared" si="62"/>
        <v/>
      </c>
      <c r="X83" s="16" t="str">
        <f t="shared" si="65"/>
        <v/>
      </c>
      <c r="Y83" s="16" t="str">
        <f t="shared" si="66"/>
        <v/>
      </c>
      <c r="Z83" s="16" t="str">
        <f t="shared" si="67"/>
        <v/>
      </c>
      <c r="AA83" s="16" t="str">
        <f t="shared" si="63"/>
        <v/>
      </c>
      <c r="AB83" s="16" t="str">
        <f t="shared" si="64"/>
        <v/>
      </c>
      <c r="AC83" s="29" t="str">
        <f t="shared" si="68"/>
        <v/>
      </c>
      <c r="AD83" s="29" t="str">
        <f t="shared" si="69"/>
        <v/>
      </c>
      <c r="AE83" s="2"/>
      <c r="AF83" s="2"/>
      <c r="AG83" s="2"/>
      <c r="AH83" s="2"/>
      <c r="AI83" s="2"/>
      <c r="AJ83" s="2"/>
      <c r="AK83" s="2"/>
      <c r="AL83" s="2"/>
      <c r="AM83" s="2"/>
      <c r="AN83" s="2"/>
      <c r="AO83" s="2"/>
      <c r="AP83" s="2"/>
      <c r="AQ83" s="2"/>
      <c r="AT83" s="223" t="s">
        <v>191</v>
      </c>
      <c r="AU83" s="200"/>
      <c r="AV83" s="200"/>
      <c r="AW83" s="200"/>
      <c r="AX83" s="200"/>
      <c r="AY83" s="200"/>
      <c r="AZ83" s="92"/>
      <c r="BA83" s="92"/>
      <c r="BB83" s="92"/>
      <c r="BC83" s="92"/>
      <c r="BD83" s="92"/>
      <c r="BE83" s="92"/>
    </row>
    <row r="84" spans="1:64" x14ac:dyDescent="0.25">
      <c r="A84" s="104" t="s">
        <v>92</v>
      </c>
      <c r="B84" s="151">
        <f t="shared" si="70"/>
        <v>275.92202880003998</v>
      </c>
      <c r="C84" s="117" t="s">
        <v>262</v>
      </c>
      <c r="D84" s="54"/>
      <c r="E84" s="68" t="s">
        <v>37</v>
      </c>
      <c r="F84" s="147">
        <f t="shared" si="71"/>
        <v>-266.89332000000002</v>
      </c>
      <c r="G84" s="117" t="s">
        <v>114</v>
      </c>
      <c r="H84" s="54"/>
      <c r="I84" s="54"/>
      <c r="J84" s="2"/>
      <c r="K84" s="2"/>
      <c r="L84" s="2"/>
      <c r="M84" s="2"/>
      <c r="N84" s="2"/>
      <c r="O84" s="2"/>
      <c r="P84" s="2"/>
      <c r="Q84" s="2"/>
      <c r="R84" s="2"/>
      <c r="S84" s="259"/>
      <c r="T84" s="2"/>
      <c r="U84" s="264">
        <v>80</v>
      </c>
      <c r="V84" s="16" t="str">
        <f t="shared" si="61"/>
        <v/>
      </c>
      <c r="W84" s="16" t="str">
        <f t="shared" si="62"/>
        <v/>
      </c>
      <c r="X84" s="16" t="str">
        <f t="shared" si="65"/>
        <v/>
      </c>
      <c r="Y84" s="16" t="str">
        <f t="shared" si="66"/>
        <v/>
      </c>
      <c r="Z84" s="16" t="str">
        <f t="shared" si="67"/>
        <v/>
      </c>
      <c r="AA84" s="16" t="str">
        <f t="shared" si="63"/>
        <v/>
      </c>
      <c r="AB84" s="16" t="str">
        <f t="shared" si="64"/>
        <v/>
      </c>
      <c r="AC84" s="29" t="str">
        <f t="shared" si="68"/>
        <v/>
      </c>
      <c r="AD84" s="29" t="str">
        <f t="shared" si="69"/>
        <v/>
      </c>
      <c r="AE84" s="2"/>
      <c r="AF84" s="2"/>
      <c r="AG84" s="2"/>
      <c r="AH84" s="2"/>
      <c r="AI84" s="2"/>
      <c r="AJ84" s="2"/>
      <c r="AK84" s="2"/>
      <c r="AL84" s="2"/>
      <c r="AM84" s="2"/>
      <c r="AN84" s="2"/>
      <c r="AO84" s="2"/>
      <c r="AP84" s="2"/>
      <c r="AQ84" s="2"/>
      <c r="AT84" s="202"/>
      <c r="AU84" s="206"/>
      <c r="AV84" s="199" t="s">
        <v>182</v>
      </c>
      <c r="AW84" s="207">
        <v>8</v>
      </c>
      <c r="AX84" s="200"/>
      <c r="AY84" s="268" t="s">
        <v>252</v>
      </c>
      <c r="AZ84" s="224" t="s">
        <v>326</v>
      </c>
      <c r="BA84" s="202"/>
      <c r="BB84" s="202"/>
      <c r="BC84" s="92"/>
      <c r="BD84" s="92"/>
      <c r="BE84" s="92"/>
    </row>
    <row r="85" spans="1:64" x14ac:dyDescent="0.25">
      <c r="A85" s="104" t="s">
        <v>93</v>
      </c>
      <c r="B85" s="151">
        <f t="shared" si="70"/>
        <v>41.806368000040024</v>
      </c>
      <c r="C85" s="117" t="s">
        <v>262</v>
      </c>
      <c r="D85" s="54"/>
      <c r="E85" s="68" t="s">
        <v>38</v>
      </c>
      <c r="F85" s="147">
        <f t="shared" si="71"/>
        <v>677.91</v>
      </c>
      <c r="G85" s="117" t="s">
        <v>116</v>
      </c>
      <c r="H85" s="54"/>
      <c r="I85" s="54"/>
      <c r="J85" s="2"/>
      <c r="K85" s="2"/>
      <c r="L85" s="2"/>
      <c r="M85" s="2"/>
      <c r="N85" s="2"/>
      <c r="O85" s="2"/>
      <c r="P85" s="2"/>
      <c r="Q85" s="2"/>
      <c r="R85" s="2"/>
      <c r="S85" s="259"/>
      <c r="T85" s="2"/>
      <c r="U85" s="264">
        <v>81</v>
      </c>
      <c r="V85" s="16" t="str">
        <f t="shared" si="61"/>
        <v/>
      </c>
      <c r="W85" s="16" t="str">
        <f t="shared" si="62"/>
        <v/>
      </c>
      <c r="X85" s="16" t="str">
        <f t="shared" si="65"/>
        <v/>
      </c>
      <c r="Y85" s="16" t="str">
        <f t="shared" si="66"/>
        <v/>
      </c>
      <c r="Z85" s="16" t="str">
        <f t="shared" si="67"/>
        <v/>
      </c>
      <c r="AA85" s="16" t="str">
        <f t="shared" si="63"/>
        <v/>
      </c>
      <c r="AB85" s="16" t="str">
        <f t="shared" si="64"/>
        <v/>
      </c>
      <c r="AC85" s="29" t="str">
        <f t="shared" si="68"/>
        <v/>
      </c>
      <c r="AD85" s="29" t="str">
        <f t="shared" si="69"/>
        <v/>
      </c>
      <c r="AE85" s="2"/>
      <c r="AF85" s="2"/>
      <c r="AG85" s="2"/>
      <c r="AH85" s="2"/>
      <c r="AI85" s="2"/>
      <c r="AJ85" s="2"/>
      <c r="AK85" s="2"/>
      <c r="AL85" s="2"/>
      <c r="AM85" s="2"/>
      <c r="AN85" s="2"/>
      <c r="AO85" s="2"/>
      <c r="AP85" s="2"/>
      <c r="AQ85" s="2"/>
      <c r="AT85" s="202"/>
      <c r="AU85" s="200"/>
      <c r="AV85" s="208" t="s">
        <v>183</v>
      </c>
      <c r="AW85" s="209">
        <v>7.3151999999999999</v>
      </c>
      <c r="AX85" s="210" t="s">
        <v>115</v>
      </c>
      <c r="AY85" s="269"/>
      <c r="AZ85" s="224" t="s">
        <v>327</v>
      </c>
      <c r="BA85" s="202"/>
      <c r="BB85" s="202"/>
      <c r="BC85" s="92"/>
      <c r="BD85" s="92"/>
      <c r="BE85" s="92"/>
    </row>
    <row r="86" spans="1:64" x14ac:dyDescent="0.25">
      <c r="A86" s="104" t="s">
        <v>22</v>
      </c>
      <c r="B86" s="151">
        <f t="shared" si="70"/>
        <v>317.72839680008002</v>
      </c>
      <c r="C86" s="117" t="s">
        <v>262</v>
      </c>
      <c r="D86" s="54"/>
      <c r="E86" s="68" t="s">
        <v>39</v>
      </c>
      <c r="F86" s="147">
        <f t="shared" si="71"/>
        <v>-677.91</v>
      </c>
      <c r="G86" s="117" t="s">
        <v>116</v>
      </c>
      <c r="H86" s="54"/>
      <c r="I86" s="54"/>
      <c r="J86" s="2"/>
      <c r="K86" s="2"/>
      <c r="L86" s="2"/>
      <c r="M86" s="2"/>
      <c r="N86" s="2"/>
      <c r="O86" s="2"/>
      <c r="P86" s="2"/>
      <c r="Q86" s="2"/>
      <c r="R86" s="2"/>
      <c r="S86" s="259"/>
      <c r="T86" s="2"/>
      <c r="U86" s="264">
        <v>82</v>
      </c>
      <c r="V86" s="16" t="str">
        <f t="shared" si="61"/>
        <v/>
      </c>
      <c r="W86" s="16" t="str">
        <f t="shared" si="62"/>
        <v/>
      </c>
      <c r="X86" s="16" t="str">
        <f t="shared" si="65"/>
        <v/>
      </c>
      <c r="Y86" s="16" t="str">
        <f t="shared" si="66"/>
        <v/>
      </c>
      <c r="Z86" s="16" t="str">
        <f t="shared" si="67"/>
        <v/>
      </c>
      <c r="AA86" s="16" t="str">
        <f t="shared" si="63"/>
        <v/>
      </c>
      <c r="AB86" s="16" t="str">
        <f t="shared" si="64"/>
        <v/>
      </c>
      <c r="AC86" s="29" t="str">
        <f t="shared" si="68"/>
        <v/>
      </c>
      <c r="AD86" s="29" t="str">
        <f t="shared" si="69"/>
        <v/>
      </c>
      <c r="AE86" s="2"/>
      <c r="AF86" s="2"/>
      <c r="AG86" s="2"/>
      <c r="AH86" s="2"/>
      <c r="AI86" s="2"/>
      <c r="AJ86" s="2"/>
      <c r="AK86" s="2"/>
      <c r="AL86" s="2"/>
      <c r="AM86" s="2"/>
      <c r="AN86" s="2"/>
      <c r="AO86" s="2"/>
      <c r="AP86" s="2"/>
      <c r="AQ86" s="2"/>
      <c r="AT86" s="200"/>
      <c r="AU86" s="200"/>
      <c r="AV86" s="208" t="s">
        <v>175</v>
      </c>
      <c r="AW86" s="209">
        <v>3.6576</v>
      </c>
      <c r="AX86" s="210" t="s">
        <v>115</v>
      </c>
      <c r="AY86" s="270" t="s">
        <v>240</v>
      </c>
      <c r="AZ86" s="224" t="s">
        <v>251</v>
      </c>
      <c r="BA86" s="202"/>
      <c r="BB86" s="202"/>
      <c r="BC86" s="92"/>
      <c r="BD86" s="92"/>
      <c r="BE86" s="92"/>
    </row>
    <row r="87" spans="1:64" x14ac:dyDescent="0.25">
      <c r="A87" s="104" t="s">
        <v>94</v>
      </c>
      <c r="B87" s="151">
        <f t="shared" si="70"/>
        <v>0</v>
      </c>
      <c r="C87" s="117" t="s">
        <v>262</v>
      </c>
      <c r="D87" s="54"/>
      <c r="E87" s="68" t="s">
        <v>40</v>
      </c>
      <c r="F87" s="154">
        <f t="shared" si="71"/>
        <v>0</v>
      </c>
      <c r="G87" s="117" t="s">
        <v>116</v>
      </c>
      <c r="H87" s="54"/>
      <c r="I87" s="54"/>
      <c r="J87" s="2"/>
      <c r="K87" s="2"/>
      <c r="L87" s="2"/>
      <c r="M87" s="2"/>
      <c r="N87" s="2"/>
      <c r="O87" s="2"/>
      <c r="P87" s="2"/>
      <c r="Q87" s="2"/>
      <c r="R87" s="2"/>
      <c r="S87" s="259"/>
      <c r="T87" s="2"/>
      <c r="U87" s="264">
        <v>83</v>
      </c>
      <c r="V87" s="16" t="str">
        <f t="shared" ref="V87:V104" si="72">IF($C$9&gt;=$U87,$F45+0.000001-$V$310,"")</f>
        <v/>
      </c>
      <c r="W87" s="16" t="str">
        <f t="shared" ref="W87:W104" si="73">IF($C$9&gt;=$U87,$E45+0.000001-$V$309,"")</f>
        <v/>
      </c>
      <c r="X87" s="16" t="str">
        <f t="shared" si="65"/>
        <v/>
      </c>
      <c r="Y87" s="16" t="str">
        <f t="shared" si="66"/>
        <v/>
      </c>
      <c r="Z87" s="16" t="str">
        <f t="shared" si="67"/>
        <v/>
      </c>
      <c r="AA87" s="16" t="str">
        <f t="shared" ref="AA87:AA104" si="74">IF($C$9&gt;=$U87,$E45-$V$309,"")</f>
        <v/>
      </c>
      <c r="AB87" s="16" t="str">
        <f t="shared" ref="AB87:AB104" si="75">IF($C$9&gt;=$U87,$F45-$V$310,"")</f>
        <v/>
      </c>
      <c r="AC87" s="29" t="str">
        <f t="shared" si="68"/>
        <v/>
      </c>
      <c r="AD87" s="29" t="str">
        <f t="shared" si="69"/>
        <v/>
      </c>
      <c r="AE87" s="2"/>
      <c r="AF87" s="2"/>
      <c r="AG87" s="2"/>
      <c r="AH87" s="2"/>
      <c r="AI87" s="2"/>
      <c r="AJ87" s="2"/>
      <c r="AK87" s="2"/>
      <c r="AL87" s="2"/>
      <c r="AM87" s="2"/>
      <c r="AN87" s="2"/>
      <c r="AO87" s="2"/>
      <c r="AP87" s="2"/>
      <c r="AQ87" s="2"/>
      <c r="AT87" s="200"/>
      <c r="AU87" s="200"/>
      <c r="AV87" s="208" t="s">
        <v>176</v>
      </c>
      <c r="AW87" s="209">
        <v>3.6576</v>
      </c>
      <c r="AX87" s="210" t="s">
        <v>115</v>
      </c>
      <c r="AY87" s="270" t="s">
        <v>241</v>
      </c>
      <c r="AZ87" s="224" t="s">
        <v>242</v>
      </c>
      <c r="BA87" s="200"/>
      <c r="BB87" s="200"/>
      <c r="BC87" s="92"/>
      <c r="BD87" s="92"/>
      <c r="BE87" s="92"/>
    </row>
    <row r="88" spans="1:64" x14ac:dyDescent="0.25">
      <c r="A88" s="105" t="s">
        <v>43</v>
      </c>
      <c r="B88" s="156">
        <f t="shared" si="70"/>
        <v>0</v>
      </c>
      <c r="C88" s="117" t="s">
        <v>44</v>
      </c>
      <c r="D88" s="54"/>
      <c r="E88" s="54"/>
      <c r="F88" s="54"/>
      <c r="G88" s="54"/>
      <c r="H88" s="54"/>
      <c r="I88" s="54"/>
      <c r="J88" s="2"/>
      <c r="K88" s="2"/>
      <c r="L88" s="2"/>
      <c r="M88" s="2"/>
      <c r="N88" s="2"/>
      <c r="O88" s="2"/>
      <c r="P88" s="2"/>
      <c r="Q88" s="2"/>
      <c r="R88" s="2"/>
      <c r="S88" s="259"/>
      <c r="T88" s="2"/>
      <c r="U88" s="264">
        <v>84</v>
      </c>
      <c r="V88" s="16" t="str">
        <f t="shared" si="72"/>
        <v/>
      </c>
      <c r="W88" s="16" t="str">
        <f t="shared" si="73"/>
        <v/>
      </c>
      <c r="X88" s="16" t="str">
        <f t="shared" si="65"/>
        <v/>
      </c>
      <c r="Y88" s="16" t="str">
        <f t="shared" si="66"/>
        <v/>
      </c>
      <c r="Z88" s="16" t="str">
        <f t="shared" si="67"/>
        <v/>
      </c>
      <c r="AA88" s="16" t="str">
        <f t="shared" si="74"/>
        <v/>
      </c>
      <c r="AB88" s="16" t="str">
        <f t="shared" si="75"/>
        <v/>
      </c>
      <c r="AC88" s="29" t="str">
        <f t="shared" si="68"/>
        <v/>
      </c>
      <c r="AD88" s="29" t="str">
        <f t="shared" si="69"/>
        <v/>
      </c>
      <c r="AE88" s="2"/>
      <c r="AF88" s="2"/>
      <c r="AG88" s="2"/>
      <c r="AH88" s="2"/>
      <c r="AI88" s="2"/>
      <c r="AJ88" s="2"/>
      <c r="AK88" s="2"/>
      <c r="AL88" s="2"/>
      <c r="AM88" s="2"/>
      <c r="AN88" s="2"/>
      <c r="AO88" s="2"/>
      <c r="AP88" s="2"/>
      <c r="AQ88" s="2"/>
      <c r="AT88" s="200"/>
      <c r="AU88" s="200"/>
      <c r="AV88" s="211" t="s">
        <v>184</v>
      </c>
      <c r="AW88" s="212">
        <v>0</v>
      </c>
      <c r="AX88" s="210" t="s">
        <v>44</v>
      </c>
      <c r="AY88" s="269"/>
      <c r="AZ88" s="200"/>
      <c r="BA88" s="200"/>
      <c r="BB88" s="200"/>
      <c r="BC88" s="92"/>
      <c r="BD88" s="92"/>
      <c r="BE88" s="92"/>
    </row>
    <row r="89" spans="1:64" x14ac:dyDescent="0.25">
      <c r="A89" s="48"/>
      <c r="B89" s="54"/>
      <c r="C89" s="54"/>
      <c r="D89" s="54"/>
      <c r="E89" s="54"/>
      <c r="F89" s="54"/>
      <c r="G89" s="54"/>
      <c r="H89" s="54"/>
      <c r="I89" s="54"/>
      <c r="J89" s="2"/>
      <c r="K89" s="2"/>
      <c r="L89" s="2"/>
      <c r="M89" s="2"/>
      <c r="N89" s="2"/>
      <c r="O89" s="2"/>
      <c r="P89" s="2"/>
      <c r="Q89" s="2"/>
      <c r="R89" s="2"/>
      <c r="S89" s="259"/>
      <c r="T89" s="2"/>
      <c r="U89" s="264">
        <v>85</v>
      </c>
      <c r="V89" s="16" t="str">
        <f t="shared" si="72"/>
        <v/>
      </c>
      <c r="W89" s="16" t="str">
        <f t="shared" si="73"/>
        <v/>
      </c>
      <c r="X89" s="16" t="str">
        <f t="shared" si="65"/>
        <v/>
      </c>
      <c r="Y89" s="16" t="str">
        <f t="shared" si="66"/>
        <v/>
      </c>
      <c r="Z89" s="16" t="str">
        <f t="shared" si="67"/>
        <v/>
      </c>
      <c r="AA89" s="16" t="str">
        <f t="shared" si="74"/>
        <v/>
      </c>
      <c r="AB89" s="16" t="str">
        <f t="shared" si="75"/>
        <v/>
      </c>
      <c r="AC89" s="29" t="str">
        <f t="shared" si="68"/>
        <v/>
      </c>
      <c r="AD89" s="29" t="str">
        <f t="shared" si="69"/>
        <v/>
      </c>
      <c r="AE89" s="2"/>
      <c r="AF89" s="2"/>
      <c r="AG89" s="2"/>
      <c r="AH89" s="2"/>
      <c r="AI89" s="2"/>
      <c r="AJ89" s="2"/>
      <c r="AK89" s="2"/>
      <c r="AL89" s="2"/>
      <c r="AM89" s="2"/>
      <c r="AN89" s="2"/>
      <c r="AO89" s="2"/>
      <c r="AP89" s="2"/>
      <c r="AQ89" s="2"/>
      <c r="AT89" s="200"/>
      <c r="AU89" s="200"/>
      <c r="AV89" s="200"/>
      <c r="AW89" s="200"/>
      <c r="AX89" s="200"/>
      <c r="AY89" s="200"/>
      <c r="AZ89" s="92"/>
      <c r="BA89" s="92"/>
      <c r="BB89" s="92"/>
      <c r="BC89" s="92"/>
      <c r="BD89" s="92"/>
      <c r="BE89" s="92"/>
    </row>
    <row r="90" spans="1:64" x14ac:dyDescent="0.25">
      <c r="A90" s="271" t="s">
        <v>99</v>
      </c>
      <c r="B90" s="70"/>
      <c r="C90" s="70"/>
      <c r="D90" s="54"/>
      <c r="E90" s="54"/>
      <c r="F90" s="54"/>
      <c r="G90" s="54"/>
      <c r="H90" s="54"/>
      <c r="I90" s="54"/>
      <c r="J90" s="2"/>
      <c r="K90" s="2"/>
      <c r="L90" s="2"/>
      <c r="M90" s="2"/>
      <c r="N90" s="2"/>
      <c r="O90" s="2"/>
      <c r="P90" s="2"/>
      <c r="Q90" s="2"/>
      <c r="R90" s="2"/>
      <c r="S90" s="259"/>
      <c r="T90" s="2"/>
      <c r="U90" s="264">
        <v>86</v>
      </c>
      <c r="V90" s="16" t="str">
        <f t="shared" si="72"/>
        <v/>
      </c>
      <c r="W90" s="16" t="str">
        <f t="shared" si="73"/>
        <v/>
      </c>
      <c r="X90" s="16" t="str">
        <f t="shared" si="65"/>
        <v/>
      </c>
      <c r="Y90" s="16" t="str">
        <f t="shared" si="66"/>
        <v/>
      </c>
      <c r="Z90" s="16" t="str">
        <f t="shared" si="67"/>
        <v/>
      </c>
      <c r="AA90" s="16" t="str">
        <f t="shared" si="74"/>
        <v/>
      </c>
      <c r="AB90" s="16" t="str">
        <f t="shared" si="75"/>
        <v/>
      </c>
      <c r="AC90" s="29" t="str">
        <f t="shared" si="68"/>
        <v/>
      </c>
      <c r="AD90" s="29" t="str">
        <f t="shared" si="69"/>
        <v/>
      </c>
      <c r="AE90" s="2"/>
      <c r="AF90" s="2"/>
      <c r="AG90" s="2"/>
      <c r="AH90" s="2"/>
      <c r="AI90" s="2"/>
      <c r="AJ90" s="2"/>
      <c r="AK90" s="2"/>
      <c r="AL90" s="2"/>
      <c r="AM90" s="2"/>
      <c r="AN90" s="2"/>
      <c r="AO90" s="2"/>
      <c r="AP90" s="2"/>
      <c r="AQ90" s="2"/>
      <c r="AT90" s="196"/>
      <c r="AU90" s="201"/>
      <c r="AV90" s="213" t="s">
        <v>53</v>
      </c>
      <c r="AW90" s="214"/>
      <c r="AX90" s="226"/>
    </row>
    <row r="91" spans="1:64" x14ac:dyDescent="0.25">
      <c r="A91" s="45" t="s">
        <v>100</v>
      </c>
      <c r="B91" s="143">
        <f>MAX($AC$5:$AC$304)</f>
        <v>365.96740161057141</v>
      </c>
      <c r="C91" s="117" t="s">
        <v>114</v>
      </c>
      <c r="D91" s="54"/>
      <c r="E91" s="54"/>
      <c r="F91" s="54"/>
      <c r="G91" s="54"/>
      <c r="H91" s="54"/>
      <c r="I91" s="54"/>
      <c r="J91" s="2"/>
      <c r="K91" s="2"/>
      <c r="L91" s="2"/>
      <c r="M91" s="2"/>
      <c r="N91" s="2"/>
      <c r="O91" s="2"/>
      <c r="P91" s="2"/>
      <c r="Q91" s="2"/>
      <c r="R91" s="2"/>
      <c r="S91" s="259"/>
      <c r="T91" s="2"/>
      <c r="U91" s="264">
        <v>87</v>
      </c>
      <c r="V91" s="16" t="str">
        <f t="shared" si="72"/>
        <v/>
      </c>
      <c r="W91" s="16" t="str">
        <f t="shared" si="73"/>
        <v/>
      </c>
      <c r="X91" s="16" t="str">
        <f t="shared" si="65"/>
        <v/>
      </c>
      <c r="Y91" s="16" t="str">
        <f t="shared" si="66"/>
        <v/>
      </c>
      <c r="Z91" s="16" t="str">
        <f t="shared" si="67"/>
        <v/>
      </c>
      <c r="AA91" s="16" t="str">
        <f t="shared" si="74"/>
        <v/>
      </c>
      <c r="AB91" s="16" t="str">
        <f t="shared" si="75"/>
        <v/>
      </c>
      <c r="AC91" s="29" t="str">
        <f t="shared" si="68"/>
        <v/>
      </c>
      <c r="AD91" s="29" t="str">
        <f t="shared" si="69"/>
        <v/>
      </c>
      <c r="AE91" s="2"/>
      <c r="AF91" s="2"/>
      <c r="AG91" s="2"/>
      <c r="AH91" s="2"/>
      <c r="AI91" s="2"/>
      <c r="AJ91" s="2"/>
      <c r="AK91" s="2"/>
      <c r="AL91" s="2"/>
      <c r="AM91" s="2"/>
      <c r="AN91" s="2"/>
      <c r="AO91" s="2"/>
      <c r="AP91" s="2"/>
      <c r="AQ91" s="2"/>
      <c r="AT91" s="196"/>
      <c r="AU91" s="201"/>
      <c r="AV91" s="195" t="s">
        <v>192</v>
      </c>
      <c r="AW91" s="195" t="s">
        <v>193</v>
      </c>
      <c r="AX91" s="202"/>
      <c r="AY91" s="195" t="s">
        <v>192</v>
      </c>
      <c r="AZ91" s="195" t="s">
        <v>193</v>
      </c>
      <c r="BB91" s="195" t="s">
        <v>192</v>
      </c>
      <c r="BC91" s="195" t="s">
        <v>193</v>
      </c>
      <c r="BE91" s="195" t="s">
        <v>192</v>
      </c>
      <c r="BF91" s="195" t="s">
        <v>193</v>
      </c>
      <c r="BH91" s="195" t="s">
        <v>192</v>
      </c>
      <c r="BI91" s="195" t="s">
        <v>193</v>
      </c>
      <c r="BK91" s="195" t="s">
        <v>192</v>
      </c>
      <c r="BL91" s="195" t="s">
        <v>193</v>
      </c>
    </row>
    <row r="92" spans="1:64" x14ac:dyDescent="0.25">
      <c r="A92" s="45" t="s">
        <v>101</v>
      </c>
      <c r="B92" s="147">
        <f>MIN($AC$5:$AC$304)</f>
        <v>301.26589838942868</v>
      </c>
      <c r="C92" s="117" t="s">
        <v>114</v>
      </c>
      <c r="D92" s="54"/>
      <c r="E92" s="54"/>
      <c r="F92" s="54"/>
      <c r="G92" s="54"/>
      <c r="H92" s="54"/>
      <c r="I92" s="54"/>
      <c r="J92" s="2"/>
      <c r="K92" s="2"/>
      <c r="L92" s="2"/>
      <c r="M92" s="2"/>
      <c r="N92" s="2"/>
      <c r="O92" s="2"/>
      <c r="P92" s="2"/>
      <c r="Q92" s="2"/>
      <c r="R92" s="2"/>
      <c r="S92" s="259"/>
      <c r="T92" s="2"/>
      <c r="U92" s="264">
        <v>88</v>
      </c>
      <c r="V92" s="16" t="str">
        <f t="shared" si="72"/>
        <v/>
      </c>
      <c r="W92" s="16" t="str">
        <f t="shared" si="73"/>
        <v/>
      </c>
      <c r="X92" s="16" t="str">
        <f t="shared" si="65"/>
        <v/>
      </c>
      <c r="Y92" s="16" t="str">
        <f t="shared" si="66"/>
        <v/>
      </c>
      <c r="Z92" s="16" t="str">
        <f t="shared" si="67"/>
        <v/>
      </c>
      <c r="AA92" s="16" t="str">
        <f t="shared" si="74"/>
        <v/>
      </c>
      <c r="AB92" s="16" t="str">
        <f t="shared" si="75"/>
        <v/>
      </c>
      <c r="AC92" s="29" t="str">
        <f t="shared" si="68"/>
        <v/>
      </c>
      <c r="AD92" s="29" t="str">
        <f t="shared" si="69"/>
        <v/>
      </c>
      <c r="AE92" s="2"/>
      <c r="AF92" s="2"/>
      <c r="AG92" s="2"/>
      <c r="AH92" s="2"/>
      <c r="AI92" s="2"/>
      <c r="AJ92" s="2"/>
      <c r="AK92" s="2"/>
      <c r="AL92" s="2"/>
      <c r="AM92" s="2"/>
      <c r="AN92" s="2"/>
      <c r="AO92" s="2"/>
      <c r="AP92" s="2"/>
      <c r="AQ92" s="2"/>
      <c r="AT92" s="208"/>
      <c r="AU92" s="215">
        <f t="shared" ref="AU92:AU123" si="76">IF($AW$84&gt;=$U5,$U5,"")</f>
        <v>1</v>
      </c>
      <c r="AV92" s="216">
        <f t="shared" ref="AV92:AV123" si="77">IF($AU92&lt;&gt;"",$AW$86+($AW$85)*COS( PI()/180*($AW$88+($AU92-1)*360/$AW$84))/2,"")</f>
        <v>7.3151999999999999</v>
      </c>
      <c r="AW92" s="216">
        <f t="shared" ref="AW92:AW123" si="78">IF($AU92&lt;&gt;"",$AW$87+($AW$85)*SIN( PI()/180*($AW$88+($AU92-1)*360/$AW$84))/2,"")</f>
        <v>3.6576</v>
      </c>
      <c r="AX92" s="215" t="str">
        <f t="shared" ref="AX92:AX123" si="79">IF($AW$84&gt;=$U55,$U55,"")</f>
        <v/>
      </c>
      <c r="AY92" s="216" t="str">
        <f t="shared" ref="AY92:AY123" si="80">IF($AX92&lt;&gt;"",$AW$86+($AW$85)*COS( PI()/180*($AW$88+($AX92-1)*360/$AW$84))/2,"")</f>
        <v/>
      </c>
      <c r="AZ92" s="228" t="str">
        <f t="shared" ref="AZ92:AZ123" si="81">IF($AX92&lt;&gt;"",$AW$87+($AW$85)*SIN( PI()/180*($AW$88+($AX92-1)*360/$AW$84))/2,"")</f>
        <v/>
      </c>
      <c r="BA92" s="215" t="str">
        <f t="shared" ref="BA92:BA123" si="82">IF($AW$84&gt;=$U105,$U105,"")</f>
        <v/>
      </c>
      <c r="BB92" s="216" t="str">
        <f t="shared" ref="BB92:BB123" si="83">IF($BA92&lt;&gt;"",$AW$86+($AW$85)*COS( PI()/180*($AW$88+($BA92-1)*360/$AW$84))/2,"")</f>
        <v/>
      </c>
      <c r="BC92" s="228" t="str">
        <f t="shared" ref="BC92:BC123" si="84">IF($BA92&lt;&gt;"",$AW$87+($AW$85)*SIN( PI()/180*($AW$88+($BA92-1)*360/$AW$84))/2,"")</f>
        <v/>
      </c>
      <c r="BD92" s="215" t="str">
        <f t="shared" ref="BD92:BD123" si="85">IF($AW$84&gt;=$U155,$U155,"")</f>
        <v/>
      </c>
      <c r="BE92" s="216" t="str">
        <f t="shared" ref="BE92:BE123" si="86">IF($BD92&lt;&gt;"",$AW$86+($AW$85)*COS( PI()/180*($AW$88+($BD92-1)*360/$AW$84))/2,"")</f>
        <v/>
      </c>
      <c r="BF92" s="228" t="str">
        <f t="shared" ref="BF92:BF123" si="87">IF($BD92&lt;&gt;"",$AW$87+($AW$85)*SIN( PI()/180*($AW$88+($BD92-1)*360/$AW$84))/2,"")</f>
        <v/>
      </c>
      <c r="BG92" s="215" t="str">
        <f t="shared" ref="BG92:BG123" si="88">IF($AW$84&gt;=$U205,$U205,"")</f>
        <v/>
      </c>
      <c r="BH92" s="216" t="str">
        <f t="shared" ref="BH92:BH123" si="89">IF($BG92&lt;&gt;"",$AW$86+($AW$85)*COS( PI()/180*($AW$88+($BG92-1)*360/$AW$84))/2,"")</f>
        <v/>
      </c>
      <c r="BI92" s="228" t="str">
        <f t="shared" ref="BI92:BI123" si="90">IF($BG92&lt;&gt;"",$AW$87+($AW$85)*SIN( PI()/180*($AW$88+($BG92-1)*360/$AW$84))/2,"")</f>
        <v/>
      </c>
      <c r="BJ92" s="215" t="str">
        <f t="shared" ref="BJ92:BJ123" si="91">IF($AW$84&gt;=$U255,$U255,"")</f>
        <v/>
      </c>
      <c r="BK92" s="216" t="str">
        <f t="shared" ref="BK92:BK123" si="92">IF($BJ92&lt;&gt;"",$AW$86+($AW$85)*COS( PI()/180*($AW$88+($BJ92-1)*360/$AW$84))/2,"")</f>
        <v/>
      </c>
      <c r="BL92" s="228" t="str">
        <f t="shared" ref="BL92:BL123" si="93">IF($BJ92&lt;&gt;"",$AW$87+($AW$85)*SIN( PI()/180*($AW$88+($BJ92-1)*360/$AW$84))/2,"")</f>
        <v/>
      </c>
    </row>
    <row r="93" spans="1:64" x14ac:dyDescent="0.25">
      <c r="A93" s="272" t="s">
        <v>102</v>
      </c>
      <c r="B93" s="154">
        <f>MAX($AD$5:$AD$304)</f>
        <v>8.0191462528234894</v>
      </c>
      <c r="C93" s="117" t="s">
        <v>114</v>
      </c>
      <c r="D93" s="54"/>
      <c r="E93" s="54"/>
      <c r="F93" s="54"/>
      <c r="G93" s="54"/>
      <c r="H93" s="54"/>
      <c r="I93" s="54"/>
      <c r="J93" s="2"/>
      <c r="K93" s="2"/>
      <c r="L93" s="2"/>
      <c r="M93" s="2"/>
      <c r="N93" s="2"/>
      <c r="O93" s="2"/>
      <c r="P93" s="2"/>
      <c r="Q93" s="2"/>
      <c r="R93" s="2"/>
      <c r="S93" s="259"/>
      <c r="T93" s="2"/>
      <c r="U93" s="264">
        <v>89</v>
      </c>
      <c r="V93" s="16" t="str">
        <f t="shared" si="72"/>
        <v/>
      </c>
      <c r="W93" s="16" t="str">
        <f t="shared" si="73"/>
        <v/>
      </c>
      <c r="X93" s="16" t="str">
        <f t="shared" si="65"/>
        <v/>
      </c>
      <c r="Y93" s="16" t="str">
        <f t="shared" si="66"/>
        <v/>
      </c>
      <c r="Z93" s="16" t="str">
        <f t="shared" si="67"/>
        <v/>
      </c>
      <c r="AA93" s="16" t="str">
        <f t="shared" si="74"/>
        <v/>
      </c>
      <c r="AB93" s="16" t="str">
        <f t="shared" si="75"/>
        <v/>
      </c>
      <c r="AC93" s="29" t="str">
        <f t="shared" si="68"/>
        <v/>
      </c>
      <c r="AD93" s="29" t="str">
        <f t="shared" si="69"/>
        <v/>
      </c>
      <c r="AE93" s="2"/>
      <c r="AF93" s="2"/>
      <c r="AG93" s="2"/>
      <c r="AH93" s="2"/>
      <c r="AI93" s="2"/>
      <c r="AJ93" s="2"/>
      <c r="AK93" s="2"/>
      <c r="AL93" s="2"/>
      <c r="AM93" s="2"/>
      <c r="AN93" s="2"/>
      <c r="AO93" s="2"/>
      <c r="AP93" s="2"/>
      <c r="AQ93" s="2"/>
      <c r="AT93" s="208"/>
      <c r="AU93" s="215">
        <f t="shared" si="76"/>
        <v>2</v>
      </c>
      <c r="AV93" s="217">
        <f t="shared" si="77"/>
        <v>6.2439137628679164</v>
      </c>
      <c r="AW93" s="217">
        <f t="shared" si="78"/>
        <v>6.2439137628679156</v>
      </c>
      <c r="AX93" s="215" t="str">
        <f t="shared" si="79"/>
        <v/>
      </c>
      <c r="AY93" s="217" t="str">
        <f t="shared" si="80"/>
        <v/>
      </c>
      <c r="AZ93" s="217" t="str">
        <f t="shared" si="81"/>
        <v/>
      </c>
      <c r="BA93" s="215" t="str">
        <f t="shared" si="82"/>
        <v/>
      </c>
      <c r="BB93" s="217" t="str">
        <f t="shared" si="83"/>
        <v/>
      </c>
      <c r="BC93" s="217" t="str">
        <f t="shared" si="84"/>
        <v/>
      </c>
      <c r="BD93" s="215" t="str">
        <f t="shared" si="85"/>
        <v/>
      </c>
      <c r="BE93" s="217" t="str">
        <f t="shared" si="86"/>
        <v/>
      </c>
      <c r="BF93" s="217" t="str">
        <f t="shared" si="87"/>
        <v/>
      </c>
      <c r="BG93" s="215" t="str">
        <f t="shared" si="88"/>
        <v/>
      </c>
      <c r="BH93" s="217" t="str">
        <f t="shared" si="89"/>
        <v/>
      </c>
      <c r="BI93" s="217" t="str">
        <f t="shared" si="90"/>
        <v/>
      </c>
      <c r="BJ93" s="215" t="str">
        <f t="shared" si="91"/>
        <v/>
      </c>
      <c r="BK93" s="217" t="str">
        <f t="shared" si="92"/>
        <v/>
      </c>
      <c r="BL93" s="217" t="str">
        <f t="shared" si="93"/>
        <v/>
      </c>
    </row>
    <row r="94" spans="1:64" x14ac:dyDescent="0.25">
      <c r="A94" s="48"/>
      <c r="B94" s="54"/>
      <c r="C94" s="54"/>
      <c r="D94" s="54"/>
      <c r="E94" s="54"/>
      <c r="F94" s="54"/>
      <c r="G94" s="54"/>
      <c r="H94" s="54"/>
      <c r="I94" s="54"/>
      <c r="J94" s="2"/>
      <c r="K94" s="2"/>
      <c r="L94" s="2"/>
      <c r="M94" s="2"/>
      <c r="N94" s="2"/>
      <c r="O94" s="2"/>
      <c r="P94" s="2"/>
      <c r="Q94" s="2"/>
      <c r="R94" s="2"/>
      <c r="S94" s="259"/>
      <c r="T94" s="2"/>
      <c r="U94" s="264">
        <v>90</v>
      </c>
      <c r="V94" s="16" t="str">
        <f t="shared" si="72"/>
        <v/>
      </c>
      <c r="W94" s="16" t="str">
        <f t="shared" si="73"/>
        <v/>
      </c>
      <c r="X94" s="16" t="str">
        <f t="shared" si="65"/>
        <v/>
      </c>
      <c r="Y94" s="16" t="str">
        <f t="shared" si="66"/>
        <v/>
      </c>
      <c r="Z94" s="16" t="str">
        <f t="shared" si="67"/>
        <v/>
      </c>
      <c r="AA94" s="16" t="str">
        <f t="shared" si="74"/>
        <v/>
      </c>
      <c r="AB94" s="16" t="str">
        <f t="shared" si="75"/>
        <v/>
      </c>
      <c r="AC94" s="29" t="str">
        <f t="shared" si="68"/>
        <v/>
      </c>
      <c r="AD94" s="29" t="str">
        <f t="shared" si="69"/>
        <v/>
      </c>
      <c r="AE94" s="2"/>
      <c r="AF94" s="2"/>
      <c r="AG94" s="2"/>
      <c r="AH94" s="2"/>
      <c r="AI94" s="2"/>
      <c r="AJ94" s="2"/>
      <c r="AK94" s="2"/>
      <c r="AL94" s="2"/>
      <c r="AM94" s="2"/>
      <c r="AN94" s="2"/>
      <c r="AO94" s="2"/>
      <c r="AP94" s="2"/>
      <c r="AQ94" s="2"/>
      <c r="AT94" s="208"/>
      <c r="AU94" s="215">
        <f t="shared" si="76"/>
        <v>3</v>
      </c>
      <c r="AV94" s="217">
        <f t="shared" si="77"/>
        <v>3.6576000000000004</v>
      </c>
      <c r="AW94" s="217">
        <f t="shared" si="78"/>
        <v>7.3151999999999999</v>
      </c>
      <c r="AX94" s="215" t="str">
        <f t="shared" si="79"/>
        <v/>
      </c>
      <c r="AY94" s="217" t="str">
        <f t="shared" si="80"/>
        <v/>
      </c>
      <c r="AZ94" s="217" t="str">
        <f t="shared" si="81"/>
        <v/>
      </c>
      <c r="BA94" s="215" t="str">
        <f t="shared" si="82"/>
        <v/>
      </c>
      <c r="BB94" s="217" t="str">
        <f t="shared" si="83"/>
        <v/>
      </c>
      <c r="BC94" s="217" t="str">
        <f t="shared" si="84"/>
        <v/>
      </c>
      <c r="BD94" s="215" t="str">
        <f t="shared" si="85"/>
        <v/>
      </c>
      <c r="BE94" s="217" t="str">
        <f t="shared" si="86"/>
        <v/>
      </c>
      <c r="BF94" s="217" t="str">
        <f t="shared" si="87"/>
        <v/>
      </c>
      <c r="BG94" s="215" t="str">
        <f t="shared" si="88"/>
        <v/>
      </c>
      <c r="BH94" s="217" t="str">
        <f t="shared" si="89"/>
        <v/>
      </c>
      <c r="BI94" s="217" t="str">
        <f t="shared" si="90"/>
        <v/>
      </c>
      <c r="BJ94" s="215" t="str">
        <f t="shared" si="91"/>
        <v/>
      </c>
      <c r="BK94" s="217" t="str">
        <f t="shared" si="92"/>
        <v/>
      </c>
      <c r="BL94" s="217" t="str">
        <f t="shared" si="93"/>
        <v/>
      </c>
    </row>
    <row r="95" spans="1:64" x14ac:dyDescent="0.25">
      <c r="A95" s="48"/>
      <c r="B95" s="54"/>
      <c r="C95" s="54"/>
      <c r="D95" s="54"/>
      <c r="E95" s="54"/>
      <c r="F95" s="54"/>
      <c r="G95" s="54"/>
      <c r="H95" s="54"/>
      <c r="I95" s="54"/>
      <c r="J95" s="2"/>
      <c r="K95" s="2"/>
      <c r="L95" s="2"/>
      <c r="M95" s="2"/>
      <c r="N95" s="2"/>
      <c r="O95" s="2"/>
      <c r="P95" s="2"/>
      <c r="Q95" s="2"/>
      <c r="R95" s="2"/>
      <c r="S95" s="259"/>
      <c r="T95" s="2"/>
      <c r="U95" s="264">
        <v>91</v>
      </c>
      <c r="V95" s="16" t="str">
        <f t="shared" si="72"/>
        <v/>
      </c>
      <c r="W95" s="16" t="str">
        <f t="shared" si="73"/>
        <v/>
      </c>
      <c r="X95" s="16" t="str">
        <f t="shared" si="65"/>
        <v/>
      </c>
      <c r="Y95" s="16" t="str">
        <f t="shared" si="66"/>
        <v/>
      </c>
      <c r="Z95" s="16" t="str">
        <f t="shared" si="67"/>
        <v/>
      </c>
      <c r="AA95" s="16" t="str">
        <f t="shared" si="74"/>
        <v/>
      </c>
      <c r="AB95" s="16" t="str">
        <f t="shared" si="75"/>
        <v/>
      </c>
      <c r="AC95" s="29" t="str">
        <f t="shared" si="68"/>
        <v/>
      </c>
      <c r="AD95" s="29" t="str">
        <f t="shared" si="69"/>
        <v/>
      </c>
      <c r="AE95" s="2"/>
      <c r="AF95" s="2"/>
      <c r="AG95" s="2"/>
      <c r="AH95" s="2"/>
      <c r="AI95" s="2"/>
      <c r="AJ95" s="2"/>
      <c r="AK95" s="2"/>
      <c r="AL95" s="2"/>
      <c r="AM95" s="2"/>
      <c r="AN95" s="2"/>
      <c r="AO95" s="2"/>
      <c r="AP95" s="2"/>
      <c r="AQ95" s="2"/>
      <c r="AT95" s="208"/>
      <c r="AU95" s="215">
        <f t="shared" si="76"/>
        <v>4</v>
      </c>
      <c r="AV95" s="217">
        <f t="shared" si="77"/>
        <v>1.0712862371320839</v>
      </c>
      <c r="AW95" s="217">
        <f t="shared" si="78"/>
        <v>6.2439137628679164</v>
      </c>
      <c r="AX95" s="215" t="str">
        <f t="shared" si="79"/>
        <v/>
      </c>
      <c r="AY95" s="217" t="str">
        <f t="shared" si="80"/>
        <v/>
      </c>
      <c r="AZ95" s="217" t="str">
        <f t="shared" si="81"/>
        <v/>
      </c>
      <c r="BA95" s="215" t="str">
        <f t="shared" si="82"/>
        <v/>
      </c>
      <c r="BB95" s="217" t="str">
        <f t="shared" si="83"/>
        <v/>
      </c>
      <c r="BC95" s="217" t="str">
        <f t="shared" si="84"/>
        <v/>
      </c>
      <c r="BD95" s="215" t="str">
        <f t="shared" si="85"/>
        <v/>
      </c>
      <c r="BE95" s="217" t="str">
        <f t="shared" si="86"/>
        <v/>
      </c>
      <c r="BF95" s="217" t="str">
        <f t="shared" si="87"/>
        <v/>
      </c>
      <c r="BG95" s="215" t="str">
        <f t="shared" si="88"/>
        <v/>
      </c>
      <c r="BH95" s="217" t="str">
        <f t="shared" si="89"/>
        <v/>
      </c>
      <c r="BI95" s="217" t="str">
        <f t="shared" si="90"/>
        <v/>
      </c>
      <c r="BJ95" s="215" t="str">
        <f t="shared" si="91"/>
        <v/>
      </c>
      <c r="BK95" s="217" t="str">
        <f t="shared" si="92"/>
        <v/>
      </c>
      <c r="BL95" s="217" t="str">
        <f t="shared" si="93"/>
        <v/>
      </c>
    </row>
    <row r="96" spans="1:64" x14ac:dyDescent="0.25">
      <c r="A96" s="48"/>
      <c r="B96" s="54"/>
      <c r="C96" s="54"/>
      <c r="D96" s="54"/>
      <c r="E96" s="54"/>
      <c r="F96" s="54"/>
      <c r="G96" s="54"/>
      <c r="H96" s="54"/>
      <c r="I96" s="54"/>
      <c r="J96" s="2"/>
      <c r="K96" s="2"/>
      <c r="L96" s="2"/>
      <c r="M96" s="2"/>
      <c r="N96" s="2"/>
      <c r="O96" s="2"/>
      <c r="P96" s="2"/>
      <c r="Q96" s="2"/>
      <c r="R96" s="2"/>
      <c r="S96" s="259"/>
      <c r="T96" s="2"/>
      <c r="U96" s="264">
        <v>92</v>
      </c>
      <c r="V96" s="16" t="str">
        <f t="shared" si="72"/>
        <v/>
      </c>
      <c r="W96" s="16" t="str">
        <f t="shared" si="73"/>
        <v/>
      </c>
      <c r="X96" s="16" t="str">
        <f t="shared" si="65"/>
        <v/>
      </c>
      <c r="Y96" s="16" t="str">
        <f t="shared" si="66"/>
        <v/>
      </c>
      <c r="Z96" s="16" t="str">
        <f t="shared" si="67"/>
        <v/>
      </c>
      <c r="AA96" s="16" t="str">
        <f t="shared" si="74"/>
        <v/>
      </c>
      <c r="AB96" s="16" t="str">
        <f t="shared" si="75"/>
        <v/>
      </c>
      <c r="AC96" s="29" t="str">
        <f t="shared" si="68"/>
        <v/>
      </c>
      <c r="AD96" s="29" t="str">
        <f t="shared" si="69"/>
        <v/>
      </c>
      <c r="AE96" s="2"/>
      <c r="AF96" s="2"/>
      <c r="AG96" s="2"/>
      <c r="AH96" s="2"/>
      <c r="AI96" s="2"/>
      <c r="AJ96" s="2"/>
      <c r="AK96" s="2"/>
      <c r="AL96" s="2"/>
      <c r="AM96" s="2"/>
      <c r="AN96" s="2"/>
      <c r="AO96" s="2"/>
      <c r="AP96" s="2"/>
      <c r="AQ96" s="2"/>
      <c r="AT96" s="208"/>
      <c r="AU96" s="215">
        <f t="shared" si="76"/>
        <v>5</v>
      </c>
      <c r="AV96" s="217">
        <f t="shared" si="77"/>
        <v>0</v>
      </c>
      <c r="AW96" s="217">
        <f t="shared" si="78"/>
        <v>3.6576000000000004</v>
      </c>
      <c r="AX96" s="215" t="str">
        <f t="shared" si="79"/>
        <v/>
      </c>
      <c r="AY96" s="217" t="str">
        <f t="shared" si="80"/>
        <v/>
      </c>
      <c r="AZ96" s="217" t="str">
        <f t="shared" si="81"/>
        <v/>
      </c>
      <c r="BA96" s="215" t="str">
        <f t="shared" si="82"/>
        <v/>
      </c>
      <c r="BB96" s="217" t="str">
        <f t="shared" si="83"/>
        <v/>
      </c>
      <c r="BC96" s="217" t="str">
        <f t="shared" si="84"/>
        <v/>
      </c>
      <c r="BD96" s="215" t="str">
        <f t="shared" si="85"/>
        <v/>
      </c>
      <c r="BE96" s="217" t="str">
        <f t="shared" si="86"/>
        <v/>
      </c>
      <c r="BF96" s="217" t="str">
        <f t="shared" si="87"/>
        <v/>
      </c>
      <c r="BG96" s="215" t="str">
        <f t="shared" si="88"/>
        <v/>
      </c>
      <c r="BH96" s="217" t="str">
        <f t="shared" si="89"/>
        <v/>
      </c>
      <c r="BI96" s="217" t="str">
        <f t="shared" si="90"/>
        <v/>
      </c>
      <c r="BJ96" s="215" t="str">
        <f t="shared" si="91"/>
        <v/>
      </c>
      <c r="BK96" s="217" t="str">
        <f t="shared" si="92"/>
        <v/>
      </c>
      <c r="BL96" s="217" t="str">
        <f t="shared" si="93"/>
        <v/>
      </c>
    </row>
    <row r="97" spans="1:64" x14ac:dyDescent="0.25">
      <c r="A97" s="48"/>
      <c r="B97" s="54"/>
      <c r="C97" s="54"/>
      <c r="D97" s="54"/>
      <c r="E97" s="54"/>
      <c r="F97" s="54"/>
      <c r="G97" s="54"/>
      <c r="H97" s="54"/>
      <c r="I97" s="54"/>
      <c r="J97" s="2"/>
      <c r="K97" s="2"/>
      <c r="L97" s="2"/>
      <c r="M97" s="2"/>
      <c r="N97" s="2"/>
      <c r="O97" s="2"/>
      <c r="P97" s="2"/>
      <c r="Q97" s="2"/>
      <c r="R97" s="2"/>
      <c r="S97" s="259"/>
      <c r="T97" s="2"/>
      <c r="U97" s="264">
        <v>93</v>
      </c>
      <c r="V97" s="16" t="str">
        <f t="shared" si="72"/>
        <v/>
      </c>
      <c r="W97" s="16" t="str">
        <f t="shared" si="73"/>
        <v/>
      </c>
      <c r="X97" s="16" t="str">
        <f t="shared" si="65"/>
        <v/>
      </c>
      <c r="Y97" s="16" t="str">
        <f t="shared" si="66"/>
        <v/>
      </c>
      <c r="Z97" s="16" t="str">
        <f t="shared" si="67"/>
        <v/>
      </c>
      <c r="AA97" s="16" t="str">
        <f t="shared" si="74"/>
        <v/>
      </c>
      <c r="AB97" s="16" t="str">
        <f t="shared" si="75"/>
        <v/>
      </c>
      <c r="AC97" s="29" t="str">
        <f t="shared" si="68"/>
        <v/>
      </c>
      <c r="AD97" s="29" t="str">
        <f t="shared" si="69"/>
        <v/>
      </c>
      <c r="AE97" s="2"/>
      <c r="AF97" s="2"/>
      <c r="AG97" s="2"/>
      <c r="AH97" s="2"/>
      <c r="AI97" s="2"/>
      <c r="AJ97" s="2"/>
      <c r="AK97" s="2"/>
      <c r="AL97" s="2"/>
      <c r="AM97" s="2"/>
      <c r="AN97" s="2"/>
      <c r="AO97" s="2"/>
      <c r="AP97" s="2"/>
      <c r="AQ97" s="2"/>
      <c r="AT97" s="208"/>
      <c r="AU97" s="215">
        <f t="shared" si="76"/>
        <v>6</v>
      </c>
      <c r="AV97" s="217">
        <f t="shared" si="77"/>
        <v>1.071286237132083</v>
      </c>
      <c r="AW97" s="217">
        <f t="shared" si="78"/>
        <v>1.0712862371320839</v>
      </c>
      <c r="AX97" s="215" t="str">
        <f t="shared" si="79"/>
        <v/>
      </c>
      <c r="AY97" s="217" t="str">
        <f t="shared" si="80"/>
        <v/>
      </c>
      <c r="AZ97" s="217" t="str">
        <f t="shared" si="81"/>
        <v/>
      </c>
      <c r="BA97" s="215" t="str">
        <f t="shared" si="82"/>
        <v/>
      </c>
      <c r="BB97" s="217" t="str">
        <f t="shared" si="83"/>
        <v/>
      </c>
      <c r="BC97" s="217" t="str">
        <f t="shared" si="84"/>
        <v/>
      </c>
      <c r="BD97" s="215" t="str">
        <f t="shared" si="85"/>
        <v/>
      </c>
      <c r="BE97" s="217" t="str">
        <f t="shared" si="86"/>
        <v/>
      </c>
      <c r="BF97" s="217" t="str">
        <f t="shared" si="87"/>
        <v/>
      </c>
      <c r="BG97" s="215" t="str">
        <f t="shared" si="88"/>
        <v/>
      </c>
      <c r="BH97" s="217" t="str">
        <f t="shared" si="89"/>
        <v/>
      </c>
      <c r="BI97" s="217" t="str">
        <f t="shared" si="90"/>
        <v/>
      </c>
      <c r="BJ97" s="215" t="str">
        <f t="shared" si="91"/>
        <v/>
      </c>
      <c r="BK97" s="217" t="str">
        <f t="shared" si="92"/>
        <v/>
      </c>
      <c r="BL97" s="217" t="str">
        <f t="shared" si="93"/>
        <v/>
      </c>
    </row>
    <row r="98" spans="1:64" x14ac:dyDescent="0.25">
      <c r="A98" s="48"/>
      <c r="B98" s="54"/>
      <c r="C98" s="54"/>
      <c r="D98" s="54"/>
      <c r="E98" s="54"/>
      <c r="F98" s="54"/>
      <c r="G98" s="54"/>
      <c r="H98" s="54"/>
      <c r="I98" s="54"/>
      <c r="J98" s="2"/>
      <c r="K98" s="2"/>
      <c r="L98" s="2"/>
      <c r="M98" s="2"/>
      <c r="N98" s="2"/>
      <c r="O98" s="2"/>
      <c r="P98" s="2"/>
      <c r="Q98" s="2"/>
      <c r="R98" s="2"/>
      <c r="S98" s="259"/>
      <c r="T98" s="2"/>
      <c r="U98" s="264">
        <v>94</v>
      </c>
      <c r="V98" s="16" t="str">
        <f t="shared" si="72"/>
        <v/>
      </c>
      <c r="W98" s="16" t="str">
        <f t="shared" si="73"/>
        <v/>
      </c>
      <c r="X98" s="16" t="str">
        <f t="shared" si="65"/>
        <v/>
      </c>
      <c r="Y98" s="16" t="str">
        <f t="shared" si="66"/>
        <v/>
      </c>
      <c r="Z98" s="16" t="str">
        <f t="shared" si="67"/>
        <v/>
      </c>
      <c r="AA98" s="16" t="str">
        <f t="shared" si="74"/>
        <v/>
      </c>
      <c r="AB98" s="16" t="str">
        <f t="shared" si="75"/>
        <v/>
      </c>
      <c r="AC98" s="29" t="str">
        <f t="shared" si="68"/>
        <v/>
      </c>
      <c r="AD98" s="29" t="str">
        <f t="shared" si="69"/>
        <v/>
      </c>
      <c r="AE98" s="2"/>
      <c r="AF98" s="2"/>
      <c r="AG98" s="2"/>
      <c r="AH98" s="2"/>
      <c r="AI98" s="2"/>
      <c r="AJ98" s="2"/>
      <c r="AK98" s="2"/>
      <c r="AL98" s="2"/>
      <c r="AM98" s="2"/>
      <c r="AN98" s="2"/>
      <c r="AO98" s="2"/>
      <c r="AP98" s="2"/>
      <c r="AQ98" s="2"/>
      <c r="AT98" s="208"/>
      <c r="AU98" s="215">
        <f t="shared" si="76"/>
        <v>7</v>
      </c>
      <c r="AV98" s="217">
        <f t="shared" si="77"/>
        <v>3.6575999999999991</v>
      </c>
      <c r="AW98" s="217">
        <f t="shared" si="78"/>
        <v>0</v>
      </c>
      <c r="AX98" s="215" t="str">
        <f t="shared" si="79"/>
        <v/>
      </c>
      <c r="AY98" s="217" t="str">
        <f t="shared" si="80"/>
        <v/>
      </c>
      <c r="AZ98" s="217" t="str">
        <f t="shared" si="81"/>
        <v/>
      </c>
      <c r="BA98" s="215" t="str">
        <f t="shared" si="82"/>
        <v/>
      </c>
      <c r="BB98" s="217" t="str">
        <f t="shared" si="83"/>
        <v/>
      </c>
      <c r="BC98" s="217" t="str">
        <f t="shared" si="84"/>
        <v/>
      </c>
      <c r="BD98" s="215" t="str">
        <f t="shared" si="85"/>
        <v/>
      </c>
      <c r="BE98" s="217" t="str">
        <f t="shared" si="86"/>
        <v/>
      </c>
      <c r="BF98" s="217" t="str">
        <f t="shared" si="87"/>
        <v/>
      </c>
      <c r="BG98" s="215" t="str">
        <f t="shared" si="88"/>
        <v/>
      </c>
      <c r="BH98" s="217" t="str">
        <f t="shared" si="89"/>
        <v/>
      </c>
      <c r="BI98" s="217" t="str">
        <f t="shared" si="90"/>
        <v/>
      </c>
      <c r="BJ98" s="215" t="str">
        <f t="shared" si="91"/>
        <v/>
      </c>
      <c r="BK98" s="217" t="str">
        <f t="shared" si="92"/>
        <v/>
      </c>
      <c r="BL98" s="217" t="str">
        <f t="shared" si="93"/>
        <v/>
      </c>
    </row>
    <row r="99" spans="1:64" x14ac:dyDescent="0.25">
      <c r="A99" s="48"/>
      <c r="B99" s="54"/>
      <c r="C99" s="54"/>
      <c r="D99" s="54"/>
      <c r="E99" s="54"/>
      <c r="F99" s="54"/>
      <c r="G99" s="54"/>
      <c r="H99" s="54"/>
      <c r="I99" s="54"/>
      <c r="J99" s="2"/>
      <c r="K99" s="2"/>
      <c r="L99" s="2"/>
      <c r="M99" s="2"/>
      <c r="N99" s="2"/>
      <c r="O99" s="2"/>
      <c r="P99" s="2"/>
      <c r="Q99" s="2"/>
      <c r="R99" s="2"/>
      <c r="S99" s="259"/>
      <c r="T99" s="2"/>
      <c r="U99" s="264">
        <v>95</v>
      </c>
      <c r="V99" s="16" t="str">
        <f t="shared" si="72"/>
        <v/>
      </c>
      <c r="W99" s="16" t="str">
        <f t="shared" si="73"/>
        <v/>
      </c>
      <c r="X99" s="16" t="str">
        <f t="shared" si="65"/>
        <v/>
      </c>
      <c r="Y99" s="16" t="str">
        <f t="shared" si="66"/>
        <v/>
      </c>
      <c r="Z99" s="16" t="str">
        <f t="shared" si="67"/>
        <v/>
      </c>
      <c r="AA99" s="16" t="str">
        <f t="shared" si="74"/>
        <v/>
      </c>
      <c r="AB99" s="16" t="str">
        <f t="shared" si="75"/>
        <v/>
      </c>
      <c r="AC99" s="29" t="str">
        <f t="shared" si="68"/>
        <v/>
      </c>
      <c r="AD99" s="29" t="str">
        <f t="shared" si="69"/>
        <v/>
      </c>
      <c r="AE99" s="2"/>
      <c r="AF99" s="2"/>
      <c r="AG99" s="2"/>
      <c r="AH99" s="2"/>
      <c r="AI99" s="2"/>
      <c r="AJ99" s="2"/>
      <c r="AK99" s="2"/>
      <c r="AL99" s="2"/>
      <c r="AM99" s="2"/>
      <c r="AN99" s="2"/>
      <c r="AO99" s="2"/>
      <c r="AP99" s="2"/>
      <c r="AQ99" s="2"/>
      <c r="AT99" s="208"/>
      <c r="AU99" s="215">
        <f t="shared" si="76"/>
        <v>8</v>
      </c>
      <c r="AV99" s="217">
        <f t="shared" si="77"/>
        <v>6.2439137628679156</v>
      </c>
      <c r="AW99" s="217">
        <f t="shared" si="78"/>
        <v>1.071286237132083</v>
      </c>
      <c r="AX99" s="215" t="str">
        <f t="shared" si="79"/>
        <v/>
      </c>
      <c r="AY99" s="217" t="str">
        <f t="shared" si="80"/>
        <v/>
      </c>
      <c r="AZ99" s="217" t="str">
        <f t="shared" si="81"/>
        <v/>
      </c>
      <c r="BA99" s="215" t="str">
        <f t="shared" si="82"/>
        <v/>
      </c>
      <c r="BB99" s="217" t="str">
        <f t="shared" si="83"/>
        <v/>
      </c>
      <c r="BC99" s="217" t="str">
        <f t="shared" si="84"/>
        <v/>
      </c>
      <c r="BD99" s="215" t="str">
        <f t="shared" si="85"/>
        <v/>
      </c>
      <c r="BE99" s="217" t="str">
        <f t="shared" si="86"/>
        <v/>
      </c>
      <c r="BF99" s="217" t="str">
        <f t="shared" si="87"/>
        <v/>
      </c>
      <c r="BG99" s="215" t="str">
        <f t="shared" si="88"/>
        <v/>
      </c>
      <c r="BH99" s="217" t="str">
        <f t="shared" si="89"/>
        <v/>
      </c>
      <c r="BI99" s="217" t="str">
        <f t="shared" si="90"/>
        <v/>
      </c>
      <c r="BJ99" s="215" t="str">
        <f t="shared" si="91"/>
        <v/>
      </c>
      <c r="BK99" s="217" t="str">
        <f t="shared" si="92"/>
        <v/>
      </c>
      <c r="BL99" s="217" t="str">
        <f t="shared" si="93"/>
        <v/>
      </c>
    </row>
    <row r="100" spans="1:64" x14ac:dyDescent="0.25">
      <c r="A100" s="79"/>
      <c r="B100" s="106"/>
      <c r="C100" s="106"/>
      <c r="D100" s="106"/>
      <c r="E100" s="106"/>
      <c r="F100" s="106"/>
      <c r="G100" s="106"/>
      <c r="H100" s="106"/>
      <c r="I100" s="106"/>
      <c r="J100" s="273"/>
      <c r="K100" s="273"/>
      <c r="L100" s="273"/>
      <c r="M100" s="273"/>
      <c r="N100" s="273"/>
      <c r="O100" s="273"/>
      <c r="P100" s="273"/>
      <c r="Q100" s="273"/>
      <c r="R100" s="273"/>
      <c r="S100" s="119" t="s">
        <v>105</v>
      </c>
      <c r="T100" s="2"/>
      <c r="U100" s="264">
        <v>96</v>
      </c>
      <c r="V100" s="16" t="str">
        <f t="shared" si="72"/>
        <v/>
      </c>
      <c r="W100" s="16" t="str">
        <f t="shared" si="73"/>
        <v/>
      </c>
      <c r="X100" s="16" t="str">
        <f t="shared" si="65"/>
        <v/>
      </c>
      <c r="Y100" s="16" t="str">
        <f t="shared" si="66"/>
        <v/>
      </c>
      <c r="Z100" s="16" t="str">
        <f t="shared" si="67"/>
        <v/>
      </c>
      <c r="AA100" s="16" t="str">
        <f t="shared" si="74"/>
        <v/>
      </c>
      <c r="AB100" s="16" t="str">
        <f t="shared" si="75"/>
        <v/>
      </c>
      <c r="AC100" s="29" t="str">
        <f t="shared" si="68"/>
        <v/>
      </c>
      <c r="AD100" s="29" t="str">
        <f t="shared" si="69"/>
        <v/>
      </c>
      <c r="AE100" s="2"/>
      <c r="AF100" s="2"/>
      <c r="AG100" s="2"/>
      <c r="AH100" s="2"/>
      <c r="AI100" s="2"/>
      <c r="AJ100" s="2"/>
      <c r="AK100" s="2"/>
      <c r="AL100" s="2"/>
      <c r="AM100" s="2"/>
      <c r="AN100" s="2"/>
      <c r="AO100" s="2"/>
      <c r="AP100" s="2"/>
      <c r="AQ100" s="2"/>
      <c r="AT100" s="208"/>
      <c r="AU100" s="215" t="str">
        <f t="shared" si="76"/>
        <v/>
      </c>
      <c r="AV100" s="217" t="str">
        <f t="shared" si="77"/>
        <v/>
      </c>
      <c r="AW100" s="217" t="str">
        <f t="shared" si="78"/>
        <v/>
      </c>
      <c r="AX100" s="215" t="str">
        <f t="shared" si="79"/>
        <v/>
      </c>
      <c r="AY100" s="217" t="str">
        <f t="shared" si="80"/>
        <v/>
      </c>
      <c r="AZ100" s="217" t="str">
        <f t="shared" si="81"/>
        <v/>
      </c>
      <c r="BA100" s="215" t="str">
        <f t="shared" si="82"/>
        <v/>
      </c>
      <c r="BB100" s="217" t="str">
        <f t="shared" si="83"/>
        <v/>
      </c>
      <c r="BC100" s="217" t="str">
        <f t="shared" si="84"/>
        <v/>
      </c>
      <c r="BD100" s="215" t="str">
        <f t="shared" si="85"/>
        <v/>
      </c>
      <c r="BE100" s="217" t="str">
        <f t="shared" si="86"/>
        <v/>
      </c>
      <c r="BF100" s="217" t="str">
        <f t="shared" si="87"/>
        <v/>
      </c>
      <c r="BG100" s="215" t="str">
        <f t="shared" si="88"/>
        <v/>
      </c>
      <c r="BH100" s="217" t="str">
        <f t="shared" si="89"/>
        <v/>
      </c>
      <c r="BI100" s="217" t="str">
        <f t="shared" si="90"/>
        <v/>
      </c>
      <c r="BJ100" s="215" t="str">
        <f t="shared" si="91"/>
        <v/>
      </c>
      <c r="BK100" s="217" t="str">
        <f t="shared" si="92"/>
        <v/>
      </c>
      <c r="BL100" s="217" t="str">
        <f t="shared" si="93"/>
        <v/>
      </c>
    </row>
    <row r="101" spans="1:64" x14ac:dyDescent="0.25">
      <c r="A101" s="100"/>
      <c r="B101" s="101"/>
      <c r="C101" s="101"/>
      <c r="D101" s="101"/>
      <c r="E101" s="101"/>
      <c r="F101" s="101"/>
      <c r="G101" s="101"/>
      <c r="H101" s="101"/>
      <c r="I101" s="101"/>
      <c r="J101" s="275"/>
      <c r="K101" s="101"/>
      <c r="L101" s="275"/>
      <c r="M101" s="275"/>
      <c r="N101" s="275"/>
      <c r="O101" s="275"/>
      <c r="P101" s="275"/>
      <c r="Q101" s="275"/>
      <c r="R101" s="275"/>
      <c r="S101" s="276"/>
      <c r="T101" s="2"/>
      <c r="U101" s="264">
        <v>97</v>
      </c>
      <c r="V101" s="16" t="str">
        <f t="shared" si="72"/>
        <v/>
      </c>
      <c r="W101" s="16" t="str">
        <f t="shared" si="73"/>
        <v/>
      </c>
      <c r="X101" s="16" t="str">
        <f t="shared" si="65"/>
        <v/>
      </c>
      <c r="Y101" s="16" t="str">
        <f t="shared" si="66"/>
        <v/>
      </c>
      <c r="Z101" s="16" t="str">
        <f t="shared" si="67"/>
        <v/>
      </c>
      <c r="AA101" s="16" t="str">
        <f t="shared" si="74"/>
        <v/>
      </c>
      <c r="AB101" s="16" t="str">
        <f t="shared" si="75"/>
        <v/>
      </c>
      <c r="AC101" s="29" t="str">
        <f t="shared" si="68"/>
        <v/>
      </c>
      <c r="AD101" s="29" t="str">
        <f t="shared" si="69"/>
        <v/>
      </c>
      <c r="AE101" s="2"/>
      <c r="AF101" s="2"/>
      <c r="AG101" s="2"/>
      <c r="AH101" s="2"/>
      <c r="AI101" s="2"/>
      <c r="AJ101" s="2"/>
      <c r="AK101" s="2"/>
      <c r="AL101" s="2"/>
      <c r="AM101" s="2"/>
      <c r="AN101" s="2"/>
      <c r="AO101" s="2"/>
      <c r="AP101" s="2"/>
      <c r="AQ101" s="2"/>
      <c r="AT101" s="208"/>
      <c r="AU101" s="215" t="str">
        <f t="shared" si="76"/>
        <v/>
      </c>
      <c r="AV101" s="217" t="str">
        <f t="shared" si="77"/>
        <v/>
      </c>
      <c r="AW101" s="217" t="str">
        <f t="shared" si="78"/>
        <v/>
      </c>
      <c r="AX101" s="215" t="str">
        <f t="shared" si="79"/>
        <v/>
      </c>
      <c r="AY101" s="217" t="str">
        <f t="shared" si="80"/>
        <v/>
      </c>
      <c r="AZ101" s="217" t="str">
        <f t="shared" si="81"/>
        <v/>
      </c>
      <c r="BA101" s="215" t="str">
        <f t="shared" si="82"/>
        <v/>
      </c>
      <c r="BB101" s="217" t="str">
        <f t="shared" si="83"/>
        <v/>
      </c>
      <c r="BC101" s="217" t="str">
        <f t="shared" si="84"/>
        <v/>
      </c>
      <c r="BD101" s="215" t="str">
        <f t="shared" si="85"/>
        <v/>
      </c>
      <c r="BE101" s="217" t="str">
        <f t="shared" si="86"/>
        <v/>
      </c>
      <c r="BF101" s="217" t="str">
        <f t="shared" si="87"/>
        <v/>
      </c>
      <c r="BG101" s="215" t="str">
        <f t="shared" si="88"/>
        <v/>
      </c>
      <c r="BH101" s="217" t="str">
        <f t="shared" si="89"/>
        <v/>
      </c>
      <c r="BI101" s="217" t="str">
        <f t="shared" si="90"/>
        <v/>
      </c>
      <c r="BJ101" s="215" t="str">
        <f t="shared" si="91"/>
        <v/>
      </c>
      <c r="BK101" s="217" t="str">
        <f t="shared" si="92"/>
        <v/>
      </c>
      <c r="BL101" s="217" t="str">
        <f t="shared" si="93"/>
        <v/>
      </c>
    </row>
    <row r="102" spans="1:64" x14ac:dyDescent="0.25">
      <c r="A102" s="48"/>
      <c r="B102" s="54"/>
      <c r="C102" s="54"/>
      <c r="D102" s="82"/>
      <c r="E102" s="54"/>
      <c r="F102" s="54"/>
      <c r="G102" s="54"/>
      <c r="H102" s="83"/>
      <c r="I102" s="54"/>
      <c r="J102" s="2"/>
      <c r="K102" s="54"/>
      <c r="L102" s="2"/>
      <c r="M102" s="2"/>
      <c r="N102" s="2"/>
      <c r="O102" s="2"/>
      <c r="P102" s="2"/>
      <c r="Q102" s="2"/>
      <c r="R102" s="2"/>
      <c r="S102" s="259"/>
      <c r="T102" s="2"/>
      <c r="U102" s="264">
        <v>98</v>
      </c>
      <c r="V102" s="16" t="str">
        <f t="shared" si="72"/>
        <v/>
      </c>
      <c r="W102" s="16" t="str">
        <f t="shared" si="73"/>
        <v/>
      </c>
      <c r="X102" s="16" t="str">
        <f t="shared" si="65"/>
        <v/>
      </c>
      <c r="Y102" s="16" t="str">
        <f t="shared" si="66"/>
        <v/>
      </c>
      <c r="Z102" s="16" t="str">
        <f t="shared" si="67"/>
        <v/>
      </c>
      <c r="AA102" s="16" t="str">
        <f t="shared" si="74"/>
        <v/>
      </c>
      <c r="AB102" s="16" t="str">
        <f t="shared" si="75"/>
        <v/>
      </c>
      <c r="AC102" s="29" t="str">
        <f t="shared" si="68"/>
        <v/>
      </c>
      <c r="AD102" s="29" t="str">
        <f t="shared" si="69"/>
        <v/>
      </c>
      <c r="AE102" s="2"/>
      <c r="AF102" s="2"/>
      <c r="AG102" s="2"/>
      <c r="AH102" s="2"/>
      <c r="AI102" s="2"/>
      <c r="AJ102" s="2"/>
      <c r="AK102" s="2"/>
      <c r="AL102" s="2"/>
      <c r="AM102" s="2"/>
      <c r="AN102" s="2"/>
      <c r="AO102" s="2"/>
      <c r="AP102" s="2"/>
      <c r="AQ102" s="2"/>
      <c r="AT102" s="208"/>
      <c r="AU102" s="215" t="str">
        <f t="shared" si="76"/>
        <v/>
      </c>
      <c r="AV102" s="217" t="str">
        <f t="shared" si="77"/>
        <v/>
      </c>
      <c r="AW102" s="217" t="str">
        <f t="shared" si="78"/>
        <v/>
      </c>
      <c r="AX102" s="215" t="str">
        <f t="shared" si="79"/>
        <v/>
      </c>
      <c r="AY102" s="217" t="str">
        <f t="shared" si="80"/>
        <v/>
      </c>
      <c r="AZ102" s="217" t="str">
        <f t="shared" si="81"/>
        <v/>
      </c>
      <c r="BA102" s="215" t="str">
        <f t="shared" si="82"/>
        <v/>
      </c>
      <c r="BB102" s="217" t="str">
        <f t="shared" si="83"/>
        <v/>
      </c>
      <c r="BC102" s="217" t="str">
        <f t="shared" si="84"/>
        <v/>
      </c>
      <c r="BD102" s="215" t="str">
        <f t="shared" si="85"/>
        <v/>
      </c>
      <c r="BE102" s="217" t="str">
        <f t="shared" si="86"/>
        <v/>
      </c>
      <c r="BF102" s="217" t="str">
        <f t="shared" si="87"/>
        <v/>
      </c>
      <c r="BG102" s="215" t="str">
        <f t="shared" si="88"/>
        <v/>
      </c>
      <c r="BH102" s="217" t="str">
        <f t="shared" si="89"/>
        <v/>
      </c>
      <c r="BI102" s="217" t="str">
        <f t="shared" si="90"/>
        <v/>
      </c>
      <c r="BJ102" s="215" t="str">
        <f t="shared" si="91"/>
        <v/>
      </c>
      <c r="BK102" s="217" t="str">
        <f t="shared" si="92"/>
        <v/>
      </c>
      <c r="BL102" s="217" t="str">
        <f t="shared" si="93"/>
        <v/>
      </c>
    </row>
    <row r="103" spans="1:64" x14ac:dyDescent="0.25">
      <c r="A103" s="48"/>
      <c r="B103" s="54"/>
      <c r="C103" s="54"/>
      <c r="D103" s="54"/>
      <c r="E103" s="54"/>
      <c r="F103" s="54"/>
      <c r="G103" s="54"/>
      <c r="H103" s="54"/>
      <c r="I103" s="54"/>
      <c r="J103" s="2"/>
      <c r="K103" s="54"/>
      <c r="L103" s="2"/>
      <c r="M103" s="2"/>
      <c r="N103" s="2"/>
      <c r="O103" s="2"/>
      <c r="P103" s="2"/>
      <c r="Q103" s="2"/>
      <c r="R103" s="2"/>
      <c r="S103" s="259"/>
      <c r="T103" s="2"/>
      <c r="U103" s="264">
        <v>99</v>
      </c>
      <c r="V103" s="16" t="str">
        <f t="shared" si="72"/>
        <v/>
      </c>
      <c r="W103" s="16" t="str">
        <f t="shared" si="73"/>
        <v/>
      </c>
      <c r="X103" s="16" t="str">
        <f t="shared" si="65"/>
        <v/>
      </c>
      <c r="Y103" s="16" t="str">
        <f t="shared" si="66"/>
        <v/>
      </c>
      <c r="Z103" s="16" t="str">
        <f t="shared" si="67"/>
        <v/>
      </c>
      <c r="AA103" s="16" t="str">
        <f t="shared" si="74"/>
        <v/>
      </c>
      <c r="AB103" s="16" t="str">
        <f t="shared" si="75"/>
        <v/>
      </c>
      <c r="AC103" s="29" t="str">
        <f t="shared" si="68"/>
        <v/>
      </c>
      <c r="AD103" s="29" t="str">
        <f t="shared" si="69"/>
        <v/>
      </c>
      <c r="AE103" s="2"/>
      <c r="AF103" s="2"/>
      <c r="AG103" s="2"/>
      <c r="AH103" s="2"/>
      <c r="AI103" s="2"/>
      <c r="AJ103" s="2"/>
      <c r="AK103" s="2"/>
      <c r="AL103" s="2"/>
      <c r="AM103" s="2"/>
      <c r="AN103" s="2"/>
      <c r="AO103" s="2"/>
      <c r="AP103" s="2"/>
      <c r="AQ103" s="2"/>
      <c r="AT103" s="208"/>
      <c r="AU103" s="215" t="str">
        <f t="shared" si="76"/>
        <v/>
      </c>
      <c r="AV103" s="217" t="str">
        <f t="shared" si="77"/>
        <v/>
      </c>
      <c r="AW103" s="217" t="str">
        <f t="shared" si="78"/>
        <v/>
      </c>
      <c r="AX103" s="215" t="str">
        <f t="shared" si="79"/>
        <v/>
      </c>
      <c r="AY103" s="217" t="str">
        <f t="shared" si="80"/>
        <v/>
      </c>
      <c r="AZ103" s="217" t="str">
        <f t="shared" si="81"/>
        <v/>
      </c>
      <c r="BA103" s="215" t="str">
        <f t="shared" si="82"/>
        <v/>
      </c>
      <c r="BB103" s="217" t="str">
        <f t="shared" si="83"/>
        <v/>
      </c>
      <c r="BC103" s="217" t="str">
        <f t="shared" si="84"/>
        <v/>
      </c>
      <c r="BD103" s="215" t="str">
        <f t="shared" si="85"/>
        <v/>
      </c>
      <c r="BE103" s="217" t="str">
        <f t="shared" si="86"/>
        <v/>
      </c>
      <c r="BF103" s="217" t="str">
        <f t="shared" si="87"/>
        <v/>
      </c>
      <c r="BG103" s="215" t="str">
        <f t="shared" si="88"/>
        <v/>
      </c>
      <c r="BH103" s="217" t="str">
        <f t="shared" si="89"/>
        <v/>
      </c>
      <c r="BI103" s="217" t="str">
        <f t="shared" si="90"/>
        <v/>
      </c>
      <c r="BJ103" s="215" t="str">
        <f t="shared" si="91"/>
        <v/>
      </c>
      <c r="BK103" s="217" t="str">
        <f t="shared" si="92"/>
        <v/>
      </c>
      <c r="BL103" s="217" t="str">
        <f t="shared" si="93"/>
        <v/>
      </c>
    </row>
    <row r="104" spans="1:64" x14ac:dyDescent="0.25">
      <c r="A104" s="48"/>
      <c r="B104" s="54"/>
      <c r="C104" s="54"/>
      <c r="D104" s="54"/>
      <c r="E104" s="54"/>
      <c r="F104" s="54"/>
      <c r="G104" s="54"/>
      <c r="H104" s="72"/>
      <c r="I104" s="54"/>
      <c r="J104" s="2"/>
      <c r="K104" s="54"/>
      <c r="L104" s="2"/>
      <c r="M104" s="2"/>
      <c r="N104" s="2"/>
      <c r="O104" s="2"/>
      <c r="P104" s="2"/>
      <c r="Q104" s="2"/>
      <c r="R104" s="2"/>
      <c r="S104" s="259"/>
      <c r="T104" s="2"/>
      <c r="U104" s="264">
        <v>100</v>
      </c>
      <c r="V104" s="16" t="str">
        <f t="shared" si="72"/>
        <v/>
      </c>
      <c r="W104" s="16" t="str">
        <f t="shared" si="73"/>
        <v/>
      </c>
      <c r="X104" s="16" t="str">
        <f t="shared" si="65"/>
        <v/>
      </c>
      <c r="Y104" s="16" t="str">
        <f t="shared" si="66"/>
        <v/>
      </c>
      <c r="Z104" s="16" t="str">
        <f t="shared" si="67"/>
        <v/>
      </c>
      <c r="AA104" s="16" t="str">
        <f t="shared" si="74"/>
        <v/>
      </c>
      <c r="AB104" s="16" t="str">
        <f t="shared" si="75"/>
        <v/>
      </c>
      <c r="AC104" s="29" t="str">
        <f t="shared" si="68"/>
        <v/>
      </c>
      <c r="AD104" s="29" t="str">
        <f t="shared" si="69"/>
        <v/>
      </c>
      <c r="AE104" s="2"/>
      <c r="AF104" s="2"/>
      <c r="AG104" s="2"/>
      <c r="AH104" s="2"/>
      <c r="AI104" s="2"/>
      <c r="AJ104" s="2"/>
      <c r="AK104" s="2"/>
      <c r="AL104" s="2"/>
      <c r="AM104" s="2"/>
      <c r="AN104" s="2"/>
      <c r="AO104" s="2"/>
      <c r="AP104" s="2"/>
      <c r="AQ104" s="2"/>
      <c r="AT104" s="208"/>
      <c r="AU104" s="215" t="str">
        <f t="shared" si="76"/>
        <v/>
      </c>
      <c r="AV104" s="217" t="str">
        <f t="shared" si="77"/>
        <v/>
      </c>
      <c r="AW104" s="217" t="str">
        <f t="shared" si="78"/>
        <v/>
      </c>
      <c r="AX104" s="215" t="str">
        <f t="shared" si="79"/>
        <v/>
      </c>
      <c r="AY104" s="217" t="str">
        <f t="shared" si="80"/>
        <v/>
      </c>
      <c r="AZ104" s="217" t="str">
        <f t="shared" si="81"/>
        <v/>
      </c>
      <c r="BA104" s="215" t="str">
        <f t="shared" si="82"/>
        <v/>
      </c>
      <c r="BB104" s="217" t="str">
        <f t="shared" si="83"/>
        <v/>
      </c>
      <c r="BC104" s="217" t="str">
        <f t="shared" si="84"/>
        <v/>
      </c>
      <c r="BD104" s="215" t="str">
        <f t="shared" si="85"/>
        <v/>
      </c>
      <c r="BE104" s="217" t="str">
        <f t="shared" si="86"/>
        <v/>
      </c>
      <c r="BF104" s="217" t="str">
        <f t="shared" si="87"/>
        <v/>
      </c>
      <c r="BG104" s="215" t="str">
        <f t="shared" si="88"/>
        <v/>
      </c>
      <c r="BH104" s="217" t="str">
        <f t="shared" si="89"/>
        <v/>
      </c>
      <c r="BI104" s="217" t="str">
        <f t="shared" si="90"/>
        <v/>
      </c>
      <c r="BJ104" s="215" t="str">
        <f t="shared" si="91"/>
        <v/>
      </c>
      <c r="BK104" s="217" t="str">
        <f t="shared" si="92"/>
        <v/>
      </c>
      <c r="BL104" s="217" t="str">
        <f t="shared" si="93"/>
        <v/>
      </c>
    </row>
    <row r="105" spans="1:64" x14ac:dyDescent="0.25">
      <c r="A105" s="48"/>
      <c r="B105" s="54"/>
      <c r="C105" s="54"/>
      <c r="D105" s="54"/>
      <c r="E105" s="54"/>
      <c r="F105" s="54"/>
      <c r="G105" s="54"/>
      <c r="H105" s="54"/>
      <c r="I105" s="74"/>
      <c r="J105" s="2"/>
      <c r="K105" s="54"/>
      <c r="L105" s="2"/>
      <c r="M105" s="2"/>
      <c r="N105" s="2"/>
      <c r="O105" s="2"/>
      <c r="P105" s="2"/>
      <c r="Q105" s="2"/>
      <c r="R105" s="2"/>
      <c r="S105" s="259"/>
      <c r="T105" s="2"/>
      <c r="U105" s="264">
        <v>101</v>
      </c>
      <c r="V105" s="16" t="str">
        <f t="shared" ref="V105:V136" si="94">IF($C$9&gt;=$U105,$I13+0.000001-$V$310,"")</f>
        <v/>
      </c>
      <c r="W105" s="16" t="str">
        <f t="shared" ref="W105:W136" si="95">IF($C$9&gt;=$U105,$H13+0.000001-$V$309,"")</f>
        <v/>
      </c>
      <c r="X105" s="16" t="str">
        <f t="shared" si="65"/>
        <v/>
      </c>
      <c r="Y105" s="16" t="str">
        <f t="shared" si="66"/>
        <v/>
      </c>
      <c r="Z105" s="16" t="str">
        <f t="shared" si="67"/>
        <v/>
      </c>
      <c r="AA105" s="16" t="str">
        <f t="shared" ref="AA105:AA136" si="96">IF($C$9&gt;=$U105,$H13-$V$309,"")</f>
        <v/>
      </c>
      <c r="AB105" s="16" t="str">
        <f t="shared" ref="AB105:AB136" si="97">IF($C$9&gt;=$U105,$I13-$V$310,"")</f>
        <v/>
      </c>
      <c r="AC105" s="29" t="str">
        <f t="shared" si="68"/>
        <v/>
      </c>
      <c r="AD105" s="29" t="str">
        <f t="shared" si="69"/>
        <v/>
      </c>
      <c r="AE105" s="2"/>
      <c r="AF105" s="2"/>
      <c r="AG105" s="2"/>
      <c r="AH105" s="2"/>
      <c r="AI105" s="2"/>
      <c r="AJ105" s="2"/>
      <c r="AK105" s="2"/>
      <c r="AL105" s="2"/>
      <c r="AM105" s="2"/>
      <c r="AN105" s="2"/>
      <c r="AO105" s="2"/>
      <c r="AP105" s="2"/>
      <c r="AQ105" s="2"/>
      <c r="AT105" s="208"/>
      <c r="AU105" s="215" t="str">
        <f t="shared" si="76"/>
        <v/>
      </c>
      <c r="AV105" s="217" t="str">
        <f t="shared" si="77"/>
        <v/>
      </c>
      <c r="AW105" s="217" t="str">
        <f t="shared" si="78"/>
        <v/>
      </c>
      <c r="AX105" s="215" t="str">
        <f t="shared" si="79"/>
        <v/>
      </c>
      <c r="AY105" s="217" t="str">
        <f t="shared" si="80"/>
        <v/>
      </c>
      <c r="AZ105" s="217" t="str">
        <f t="shared" si="81"/>
        <v/>
      </c>
      <c r="BA105" s="215" t="str">
        <f t="shared" si="82"/>
        <v/>
      </c>
      <c r="BB105" s="217" t="str">
        <f t="shared" si="83"/>
        <v/>
      </c>
      <c r="BC105" s="217" t="str">
        <f t="shared" si="84"/>
        <v/>
      </c>
      <c r="BD105" s="215" t="str">
        <f t="shared" si="85"/>
        <v/>
      </c>
      <c r="BE105" s="217" t="str">
        <f t="shared" si="86"/>
        <v/>
      </c>
      <c r="BF105" s="217" t="str">
        <f t="shared" si="87"/>
        <v/>
      </c>
      <c r="BG105" s="215" t="str">
        <f t="shared" si="88"/>
        <v/>
      </c>
      <c r="BH105" s="217" t="str">
        <f t="shared" si="89"/>
        <v/>
      </c>
      <c r="BI105" s="217" t="str">
        <f t="shared" si="90"/>
        <v/>
      </c>
      <c r="BJ105" s="215" t="str">
        <f t="shared" si="91"/>
        <v/>
      </c>
      <c r="BK105" s="217" t="str">
        <f t="shared" si="92"/>
        <v/>
      </c>
      <c r="BL105" s="217" t="str">
        <f t="shared" si="93"/>
        <v/>
      </c>
    </row>
    <row r="106" spans="1:64" x14ac:dyDescent="0.25">
      <c r="A106" s="48"/>
      <c r="B106" s="54"/>
      <c r="C106" s="54"/>
      <c r="D106" s="54"/>
      <c r="E106" s="54"/>
      <c r="F106" s="54"/>
      <c r="G106" s="74"/>
      <c r="H106" s="74"/>
      <c r="I106" s="74"/>
      <c r="J106" s="2"/>
      <c r="K106" s="54"/>
      <c r="L106" s="2"/>
      <c r="M106" s="2"/>
      <c r="N106" s="2"/>
      <c r="O106" s="2"/>
      <c r="P106" s="2"/>
      <c r="Q106" s="2"/>
      <c r="R106" s="2"/>
      <c r="S106" s="259"/>
      <c r="T106" s="2"/>
      <c r="U106" s="264">
        <v>102</v>
      </c>
      <c r="V106" s="16" t="str">
        <f t="shared" si="94"/>
        <v/>
      </c>
      <c r="W106" s="16" t="str">
        <f t="shared" si="95"/>
        <v/>
      </c>
      <c r="X106" s="16" t="str">
        <f t="shared" si="65"/>
        <v/>
      </c>
      <c r="Y106" s="16" t="str">
        <f t="shared" si="66"/>
        <v/>
      </c>
      <c r="Z106" s="16" t="str">
        <f t="shared" si="67"/>
        <v/>
      </c>
      <c r="AA106" s="16" t="str">
        <f t="shared" si="96"/>
        <v/>
      </c>
      <c r="AB106" s="16" t="str">
        <f t="shared" si="97"/>
        <v/>
      </c>
      <c r="AC106" s="29" t="str">
        <f t="shared" si="68"/>
        <v/>
      </c>
      <c r="AD106" s="29" t="str">
        <f t="shared" si="69"/>
        <v/>
      </c>
      <c r="AE106" s="2"/>
      <c r="AF106" s="2"/>
      <c r="AG106" s="2"/>
      <c r="AH106" s="2"/>
      <c r="AI106" s="2"/>
      <c r="AJ106" s="2"/>
      <c r="AK106" s="2"/>
      <c r="AL106" s="2"/>
      <c r="AM106" s="2"/>
      <c r="AN106" s="2"/>
      <c r="AO106" s="2"/>
      <c r="AP106" s="2"/>
      <c r="AQ106" s="2"/>
      <c r="AT106" s="208"/>
      <c r="AU106" s="215" t="str">
        <f t="shared" si="76"/>
        <v/>
      </c>
      <c r="AV106" s="217" t="str">
        <f t="shared" si="77"/>
        <v/>
      </c>
      <c r="AW106" s="217" t="str">
        <f t="shared" si="78"/>
        <v/>
      </c>
      <c r="AX106" s="215" t="str">
        <f t="shared" si="79"/>
        <v/>
      </c>
      <c r="AY106" s="217" t="str">
        <f t="shared" si="80"/>
        <v/>
      </c>
      <c r="AZ106" s="217" t="str">
        <f t="shared" si="81"/>
        <v/>
      </c>
      <c r="BA106" s="215" t="str">
        <f t="shared" si="82"/>
        <v/>
      </c>
      <c r="BB106" s="217" t="str">
        <f t="shared" si="83"/>
        <v/>
      </c>
      <c r="BC106" s="217" t="str">
        <f t="shared" si="84"/>
        <v/>
      </c>
      <c r="BD106" s="215" t="str">
        <f t="shared" si="85"/>
        <v/>
      </c>
      <c r="BE106" s="217" t="str">
        <f t="shared" si="86"/>
        <v/>
      </c>
      <c r="BF106" s="217" t="str">
        <f t="shared" si="87"/>
        <v/>
      </c>
      <c r="BG106" s="215" t="str">
        <f t="shared" si="88"/>
        <v/>
      </c>
      <c r="BH106" s="217" t="str">
        <f t="shared" si="89"/>
        <v/>
      </c>
      <c r="BI106" s="217" t="str">
        <f t="shared" si="90"/>
        <v/>
      </c>
      <c r="BJ106" s="215" t="str">
        <f t="shared" si="91"/>
        <v/>
      </c>
      <c r="BK106" s="217" t="str">
        <f t="shared" si="92"/>
        <v/>
      </c>
      <c r="BL106" s="217" t="str">
        <f t="shared" si="93"/>
        <v/>
      </c>
    </row>
    <row r="107" spans="1:64" x14ac:dyDescent="0.25">
      <c r="A107" s="48"/>
      <c r="B107" s="54"/>
      <c r="C107" s="54"/>
      <c r="D107" s="54"/>
      <c r="E107" s="54"/>
      <c r="F107" s="54"/>
      <c r="G107" s="74"/>
      <c r="H107" s="74"/>
      <c r="I107" s="54"/>
      <c r="J107" s="2"/>
      <c r="K107" s="54"/>
      <c r="L107" s="2"/>
      <c r="M107" s="2"/>
      <c r="N107" s="2"/>
      <c r="O107" s="2"/>
      <c r="P107" s="2"/>
      <c r="Q107" s="2"/>
      <c r="R107" s="2"/>
      <c r="S107" s="259"/>
      <c r="T107" s="2"/>
      <c r="U107" s="264">
        <v>103</v>
      </c>
      <c r="V107" s="16" t="str">
        <f t="shared" si="94"/>
        <v/>
      </c>
      <c r="W107" s="16" t="str">
        <f t="shared" si="95"/>
        <v/>
      </c>
      <c r="X107" s="16" t="str">
        <f t="shared" si="65"/>
        <v/>
      </c>
      <c r="Y107" s="16" t="str">
        <f t="shared" si="66"/>
        <v/>
      </c>
      <c r="Z107" s="16" t="str">
        <f t="shared" si="67"/>
        <v/>
      </c>
      <c r="AA107" s="16" t="str">
        <f t="shared" si="96"/>
        <v/>
      </c>
      <c r="AB107" s="16" t="str">
        <f t="shared" si="97"/>
        <v/>
      </c>
      <c r="AC107" s="29" t="str">
        <f t="shared" si="68"/>
        <v/>
      </c>
      <c r="AD107" s="29" t="str">
        <f t="shared" si="69"/>
        <v/>
      </c>
      <c r="AE107" s="2"/>
      <c r="AF107" s="2"/>
      <c r="AG107" s="2"/>
      <c r="AH107" s="2"/>
      <c r="AI107" s="2"/>
      <c r="AJ107" s="2"/>
      <c r="AK107" s="2"/>
      <c r="AL107" s="2"/>
      <c r="AM107" s="2"/>
      <c r="AN107" s="2"/>
      <c r="AO107" s="2"/>
      <c r="AP107" s="2"/>
      <c r="AQ107" s="2"/>
      <c r="AT107" s="208"/>
      <c r="AU107" s="215" t="str">
        <f t="shared" si="76"/>
        <v/>
      </c>
      <c r="AV107" s="217" t="str">
        <f t="shared" si="77"/>
        <v/>
      </c>
      <c r="AW107" s="217" t="str">
        <f t="shared" si="78"/>
        <v/>
      </c>
      <c r="AX107" s="215" t="str">
        <f t="shared" si="79"/>
        <v/>
      </c>
      <c r="AY107" s="217" t="str">
        <f t="shared" si="80"/>
        <v/>
      </c>
      <c r="AZ107" s="217" t="str">
        <f t="shared" si="81"/>
        <v/>
      </c>
      <c r="BA107" s="215" t="str">
        <f t="shared" si="82"/>
        <v/>
      </c>
      <c r="BB107" s="217" t="str">
        <f t="shared" si="83"/>
        <v/>
      </c>
      <c r="BC107" s="217" t="str">
        <f t="shared" si="84"/>
        <v/>
      </c>
      <c r="BD107" s="215" t="str">
        <f t="shared" si="85"/>
        <v/>
      </c>
      <c r="BE107" s="217" t="str">
        <f t="shared" si="86"/>
        <v/>
      </c>
      <c r="BF107" s="217" t="str">
        <f t="shared" si="87"/>
        <v/>
      </c>
      <c r="BG107" s="215" t="str">
        <f t="shared" si="88"/>
        <v/>
      </c>
      <c r="BH107" s="217" t="str">
        <f t="shared" si="89"/>
        <v/>
      </c>
      <c r="BI107" s="217" t="str">
        <f t="shared" si="90"/>
        <v/>
      </c>
      <c r="BJ107" s="215" t="str">
        <f t="shared" si="91"/>
        <v/>
      </c>
      <c r="BK107" s="217" t="str">
        <f t="shared" si="92"/>
        <v/>
      </c>
      <c r="BL107" s="217" t="str">
        <f t="shared" si="93"/>
        <v/>
      </c>
    </row>
    <row r="108" spans="1:64" x14ac:dyDescent="0.25">
      <c r="A108" s="48"/>
      <c r="B108" s="54"/>
      <c r="C108" s="54"/>
      <c r="D108" s="54"/>
      <c r="E108" s="54"/>
      <c r="F108" s="54"/>
      <c r="G108" s="74"/>
      <c r="H108" s="54"/>
      <c r="I108" s="54"/>
      <c r="J108" s="2"/>
      <c r="K108" s="54"/>
      <c r="L108" s="2"/>
      <c r="M108" s="2"/>
      <c r="N108" s="2"/>
      <c r="O108" s="2"/>
      <c r="P108" s="2"/>
      <c r="Q108" s="2"/>
      <c r="R108" s="2"/>
      <c r="S108" s="259"/>
      <c r="T108" s="2"/>
      <c r="U108" s="264">
        <v>104</v>
      </c>
      <c r="V108" s="16" t="str">
        <f t="shared" si="94"/>
        <v/>
      </c>
      <c r="W108" s="16" t="str">
        <f t="shared" si="95"/>
        <v/>
      </c>
      <c r="X108" s="16" t="str">
        <f t="shared" si="65"/>
        <v/>
      </c>
      <c r="Y108" s="16" t="str">
        <f t="shared" si="66"/>
        <v/>
      </c>
      <c r="Z108" s="16" t="str">
        <f t="shared" si="67"/>
        <v/>
      </c>
      <c r="AA108" s="16" t="str">
        <f t="shared" si="96"/>
        <v/>
      </c>
      <c r="AB108" s="16" t="str">
        <f t="shared" si="97"/>
        <v/>
      </c>
      <c r="AC108" s="29" t="str">
        <f t="shared" si="68"/>
        <v/>
      </c>
      <c r="AD108" s="29" t="str">
        <f t="shared" si="69"/>
        <v/>
      </c>
      <c r="AE108" s="2"/>
      <c r="AF108" s="2"/>
      <c r="AG108" s="2"/>
      <c r="AH108" s="2"/>
      <c r="AI108" s="2"/>
      <c r="AJ108" s="2"/>
      <c r="AK108" s="2"/>
      <c r="AL108" s="2"/>
      <c r="AM108" s="2"/>
      <c r="AN108" s="2"/>
      <c r="AO108" s="2"/>
      <c r="AP108" s="2"/>
      <c r="AQ108" s="2"/>
      <c r="AT108" s="208"/>
      <c r="AU108" s="215" t="str">
        <f t="shared" si="76"/>
        <v/>
      </c>
      <c r="AV108" s="217" t="str">
        <f t="shared" si="77"/>
        <v/>
      </c>
      <c r="AW108" s="217" t="str">
        <f t="shared" si="78"/>
        <v/>
      </c>
      <c r="AX108" s="215" t="str">
        <f t="shared" si="79"/>
        <v/>
      </c>
      <c r="AY108" s="217" t="str">
        <f t="shared" si="80"/>
        <v/>
      </c>
      <c r="AZ108" s="217" t="str">
        <f t="shared" si="81"/>
        <v/>
      </c>
      <c r="BA108" s="215" t="str">
        <f t="shared" si="82"/>
        <v/>
      </c>
      <c r="BB108" s="217" t="str">
        <f t="shared" si="83"/>
        <v/>
      </c>
      <c r="BC108" s="217" t="str">
        <f t="shared" si="84"/>
        <v/>
      </c>
      <c r="BD108" s="215" t="str">
        <f t="shared" si="85"/>
        <v/>
      </c>
      <c r="BE108" s="217" t="str">
        <f t="shared" si="86"/>
        <v/>
      </c>
      <c r="BF108" s="217" t="str">
        <f t="shared" si="87"/>
        <v/>
      </c>
      <c r="BG108" s="215" t="str">
        <f t="shared" si="88"/>
        <v/>
      </c>
      <c r="BH108" s="217" t="str">
        <f t="shared" si="89"/>
        <v/>
      </c>
      <c r="BI108" s="217" t="str">
        <f t="shared" si="90"/>
        <v/>
      </c>
      <c r="BJ108" s="215" t="str">
        <f t="shared" si="91"/>
        <v/>
      </c>
      <c r="BK108" s="217" t="str">
        <f t="shared" si="92"/>
        <v/>
      </c>
      <c r="BL108" s="217" t="str">
        <f t="shared" si="93"/>
        <v/>
      </c>
    </row>
    <row r="109" spans="1:64" x14ac:dyDescent="0.25">
      <c r="A109" s="48"/>
      <c r="B109" s="54"/>
      <c r="C109" s="54"/>
      <c r="D109" s="54"/>
      <c r="E109" s="54"/>
      <c r="F109" s="54"/>
      <c r="G109" s="54"/>
      <c r="H109" s="54"/>
      <c r="I109" s="54"/>
      <c r="J109" s="2"/>
      <c r="K109" s="54"/>
      <c r="L109" s="2"/>
      <c r="M109" s="2"/>
      <c r="N109" s="2"/>
      <c r="O109" s="2"/>
      <c r="P109" s="2"/>
      <c r="Q109" s="2"/>
      <c r="R109" s="2"/>
      <c r="S109" s="259"/>
      <c r="T109" s="2"/>
      <c r="U109" s="264">
        <v>105</v>
      </c>
      <c r="V109" s="16" t="str">
        <f t="shared" si="94"/>
        <v/>
      </c>
      <c r="W109" s="16" t="str">
        <f t="shared" si="95"/>
        <v/>
      </c>
      <c r="X109" s="16" t="str">
        <f t="shared" si="65"/>
        <v/>
      </c>
      <c r="Y109" s="16" t="str">
        <f t="shared" si="66"/>
        <v/>
      </c>
      <c r="Z109" s="16" t="str">
        <f t="shared" si="67"/>
        <v/>
      </c>
      <c r="AA109" s="16" t="str">
        <f t="shared" si="96"/>
        <v/>
      </c>
      <c r="AB109" s="16" t="str">
        <f t="shared" si="97"/>
        <v/>
      </c>
      <c r="AC109" s="29" t="str">
        <f t="shared" si="68"/>
        <v/>
      </c>
      <c r="AD109" s="29" t="str">
        <f t="shared" si="69"/>
        <v/>
      </c>
      <c r="AE109" s="2"/>
      <c r="AF109" s="2"/>
      <c r="AG109" s="2"/>
      <c r="AH109" s="2"/>
      <c r="AI109" s="2"/>
      <c r="AJ109" s="2"/>
      <c r="AK109" s="2"/>
      <c r="AL109" s="2"/>
      <c r="AM109" s="2"/>
      <c r="AN109" s="2"/>
      <c r="AO109" s="2"/>
      <c r="AP109" s="2"/>
      <c r="AQ109" s="2"/>
      <c r="AT109" s="208"/>
      <c r="AU109" s="215" t="str">
        <f t="shared" si="76"/>
        <v/>
      </c>
      <c r="AV109" s="217" t="str">
        <f t="shared" si="77"/>
        <v/>
      </c>
      <c r="AW109" s="217" t="str">
        <f t="shared" si="78"/>
        <v/>
      </c>
      <c r="AX109" s="215" t="str">
        <f t="shared" si="79"/>
        <v/>
      </c>
      <c r="AY109" s="217" t="str">
        <f t="shared" si="80"/>
        <v/>
      </c>
      <c r="AZ109" s="217" t="str">
        <f t="shared" si="81"/>
        <v/>
      </c>
      <c r="BA109" s="215" t="str">
        <f t="shared" si="82"/>
        <v/>
      </c>
      <c r="BB109" s="217" t="str">
        <f t="shared" si="83"/>
        <v/>
      </c>
      <c r="BC109" s="217" t="str">
        <f t="shared" si="84"/>
        <v/>
      </c>
      <c r="BD109" s="215" t="str">
        <f t="shared" si="85"/>
        <v/>
      </c>
      <c r="BE109" s="217" t="str">
        <f t="shared" si="86"/>
        <v/>
      </c>
      <c r="BF109" s="217" t="str">
        <f t="shared" si="87"/>
        <v/>
      </c>
      <c r="BG109" s="215" t="str">
        <f t="shared" si="88"/>
        <v/>
      </c>
      <c r="BH109" s="217" t="str">
        <f t="shared" si="89"/>
        <v/>
      </c>
      <c r="BI109" s="217" t="str">
        <f t="shared" si="90"/>
        <v/>
      </c>
      <c r="BJ109" s="215" t="str">
        <f t="shared" si="91"/>
        <v/>
      </c>
      <c r="BK109" s="217" t="str">
        <f t="shared" si="92"/>
        <v/>
      </c>
      <c r="BL109" s="217" t="str">
        <f t="shared" si="93"/>
        <v/>
      </c>
    </row>
    <row r="110" spans="1:64" x14ac:dyDescent="0.25">
      <c r="A110" s="48"/>
      <c r="B110" s="54"/>
      <c r="C110" s="54"/>
      <c r="D110" s="54"/>
      <c r="E110" s="54"/>
      <c r="F110" s="54"/>
      <c r="G110" s="54"/>
      <c r="H110" s="54"/>
      <c r="I110" s="54"/>
      <c r="J110" s="2"/>
      <c r="K110" s="54"/>
      <c r="L110" s="2"/>
      <c r="M110" s="2"/>
      <c r="N110" s="2"/>
      <c r="O110" s="2"/>
      <c r="P110" s="2"/>
      <c r="Q110" s="2"/>
      <c r="R110" s="2"/>
      <c r="S110" s="259"/>
      <c r="T110" s="2"/>
      <c r="U110" s="264">
        <v>106</v>
      </c>
      <c r="V110" s="16" t="str">
        <f t="shared" si="94"/>
        <v/>
      </c>
      <c r="W110" s="16" t="str">
        <f t="shared" si="95"/>
        <v/>
      </c>
      <c r="X110" s="16" t="str">
        <f t="shared" si="65"/>
        <v/>
      </c>
      <c r="Y110" s="16" t="str">
        <f t="shared" si="66"/>
        <v/>
      </c>
      <c r="Z110" s="16" t="str">
        <f t="shared" si="67"/>
        <v/>
      </c>
      <c r="AA110" s="16" t="str">
        <f t="shared" si="96"/>
        <v/>
      </c>
      <c r="AB110" s="16" t="str">
        <f t="shared" si="97"/>
        <v/>
      </c>
      <c r="AC110" s="29" t="str">
        <f t="shared" si="68"/>
        <v/>
      </c>
      <c r="AD110" s="29" t="str">
        <f t="shared" si="69"/>
        <v/>
      </c>
      <c r="AE110" s="2"/>
      <c r="AF110" s="2"/>
      <c r="AG110" s="2"/>
      <c r="AH110" s="2"/>
      <c r="AI110" s="2"/>
      <c r="AJ110" s="2"/>
      <c r="AK110" s="2"/>
      <c r="AL110" s="2"/>
      <c r="AM110" s="2"/>
      <c r="AN110" s="2"/>
      <c r="AO110" s="2"/>
      <c r="AP110" s="2"/>
      <c r="AQ110" s="2"/>
      <c r="AT110" s="208"/>
      <c r="AU110" s="215" t="str">
        <f t="shared" si="76"/>
        <v/>
      </c>
      <c r="AV110" s="217" t="str">
        <f t="shared" si="77"/>
        <v/>
      </c>
      <c r="AW110" s="217" t="str">
        <f t="shared" si="78"/>
        <v/>
      </c>
      <c r="AX110" s="215" t="str">
        <f t="shared" si="79"/>
        <v/>
      </c>
      <c r="AY110" s="217" t="str">
        <f t="shared" si="80"/>
        <v/>
      </c>
      <c r="AZ110" s="217" t="str">
        <f t="shared" si="81"/>
        <v/>
      </c>
      <c r="BA110" s="215" t="str">
        <f t="shared" si="82"/>
        <v/>
      </c>
      <c r="BB110" s="217" t="str">
        <f t="shared" si="83"/>
        <v/>
      </c>
      <c r="BC110" s="217" t="str">
        <f t="shared" si="84"/>
        <v/>
      </c>
      <c r="BD110" s="215" t="str">
        <f t="shared" si="85"/>
        <v/>
      </c>
      <c r="BE110" s="217" t="str">
        <f t="shared" si="86"/>
        <v/>
      </c>
      <c r="BF110" s="217" t="str">
        <f t="shared" si="87"/>
        <v/>
      </c>
      <c r="BG110" s="215" t="str">
        <f t="shared" si="88"/>
        <v/>
      </c>
      <c r="BH110" s="217" t="str">
        <f t="shared" si="89"/>
        <v/>
      </c>
      <c r="BI110" s="217" t="str">
        <f t="shared" si="90"/>
        <v/>
      </c>
      <c r="BJ110" s="215" t="str">
        <f t="shared" si="91"/>
        <v/>
      </c>
      <c r="BK110" s="217" t="str">
        <f t="shared" si="92"/>
        <v/>
      </c>
      <c r="BL110" s="217" t="str">
        <f t="shared" si="93"/>
        <v/>
      </c>
    </row>
    <row r="111" spans="1:64" x14ac:dyDescent="0.25">
      <c r="A111" s="48"/>
      <c r="B111" s="54"/>
      <c r="C111" s="54"/>
      <c r="D111" s="54"/>
      <c r="E111" s="54"/>
      <c r="F111" s="54"/>
      <c r="G111" s="54"/>
      <c r="H111" s="54"/>
      <c r="I111" s="54"/>
      <c r="J111" s="2"/>
      <c r="K111" s="54"/>
      <c r="L111" s="2"/>
      <c r="M111" s="2"/>
      <c r="N111" s="2"/>
      <c r="O111" s="2"/>
      <c r="P111" s="2"/>
      <c r="Q111" s="2"/>
      <c r="R111" s="2"/>
      <c r="S111" s="259"/>
      <c r="T111" s="2"/>
      <c r="U111" s="264">
        <v>107</v>
      </c>
      <c r="V111" s="16" t="str">
        <f t="shared" si="94"/>
        <v/>
      </c>
      <c r="W111" s="16" t="str">
        <f t="shared" si="95"/>
        <v/>
      </c>
      <c r="X111" s="16" t="str">
        <f t="shared" si="65"/>
        <v/>
      </c>
      <c r="Y111" s="16" t="str">
        <f t="shared" si="66"/>
        <v/>
      </c>
      <c r="Z111" s="16" t="str">
        <f t="shared" si="67"/>
        <v/>
      </c>
      <c r="AA111" s="16" t="str">
        <f t="shared" si="96"/>
        <v/>
      </c>
      <c r="AB111" s="16" t="str">
        <f t="shared" si="97"/>
        <v/>
      </c>
      <c r="AC111" s="29" t="str">
        <f t="shared" si="68"/>
        <v/>
      </c>
      <c r="AD111" s="29" t="str">
        <f t="shared" si="69"/>
        <v/>
      </c>
      <c r="AE111" s="2"/>
      <c r="AF111" s="2"/>
      <c r="AG111" s="2"/>
      <c r="AH111" s="2"/>
      <c r="AI111" s="2"/>
      <c r="AJ111" s="2"/>
      <c r="AK111" s="2"/>
      <c r="AL111" s="2"/>
      <c r="AM111" s="2"/>
      <c r="AN111" s="2"/>
      <c r="AO111" s="2"/>
      <c r="AP111" s="2"/>
      <c r="AQ111" s="2"/>
      <c r="AT111" s="208"/>
      <c r="AU111" s="215" t="str">
        <f t="shared" si="76"/>
        <v/>
      </c>
      <c r="AV111" s="217" t="str">
        <f t="shared" si="77"/>
        <v/>
      </c>
      <c r="AW111" s="217" t="str">
        <f t="shared" si="78"/>
        <v/>
      </c>
      <c r="AX111" s="215" t="str">
        <f t="shared" si="79"/>
        <v/>
      </c>
      <c r="AY111" s="217" t="str">
        <f t="shared" si="80"/>
        <v/>
      </c>
      <c r="AZ111" s="217" t="str">
        <f t="shared" si="81"/>
        <v/>
      </c>
      <c r="BA111" s="215" t="str">
        <f t="shared" si="82"/>
        <v/>
      </c>
      <c r="BB111" s="217" t="str">
        <f t="shared" si="83"/>
        <v/>
      </c>
      <c r="BC111" s="217" t="str">
        <f t="shared" si="84"/>
        <v/>
      </c>
      <c r="BD111" s="215" t="str">
        <f t="shared" si="85"/>
        <v/>
      </c>
      <c r="BE111" s="217" t="str">
        <f t="shared" si="86"/>
        <v/>
      </c>
      <c r="BF111" s="217" t="str">
        <f t="shared" si="87"/>
        <v/>
      </c>
      <c r="BG111" s="215" t="str">
        <f t="shared" si="88"/>
        <v/>
      </c>
      <c r="BH111" s="217" t="str">
        <f t="shared" si="89"/>
        <v/>
      </c>
      <c r="BI111" s="217" t="str">
        <f t="shared" si="90"/>
        <v/>
      </c>
      <c r="BJ111" s="215" t="str">
        <f t="shared" si="91"/>
        <v/>
      </c>
      <c r="BK111" s="217" t="str">
        <f t="shared" si="92"/>
        <v/>
      </c>
      <c r="BL111" s="217" t="str">
        <f t="shared" si="93"/>
        <v/>
      </c>
    </row>
    <row r="112" spans="1:64" x14ac:dyDescent="0.25">
      <c r="A112" s="48"/>
      <c r="B112" s="54"/>
      <c r="C112" s="54"/>
      <c r="D112" s="53"/>
      <c r="E112" s="88"/>
      <c r="F112" s="54"/>
      <c r="G112" s="54"/>
      <c r="H112" s="54"/>
      <c r="I112" s="54"/>
      <c r="J112" s="2"/>
      <c r="K112" s="54"/>
      <c r="L112" s="2"/>
      <c r="M112" s="2"/>
      <c r="N112" s="2"/>
      <c r="O112" s="2"/>
      <c r="P112" s="2"/>
      <c r="Q112" s="2"/>
      <c r="R112" s="2"/>
      <c r="S112" s="259"/>
      <c r="T112" s="2"/>
      <c r="U112" s="264">
        <v>108</v>
      </c>
      <c r="V112" s="16" t="str">
        <f t="shared" si="94"/>
        <v/>
      </c>
      <c r="W112" s="16" t="str">
        <f t="shared" si="95"/>
        <v/>
      </c>
      <c r="X112" s="16" t="str">
        <f t="shared" si="65"/>
        <v/>
      </c>
      <c r="Y112" s="16" t="str">
        <f t="shared" si="66"/>
        <v/>
      </c>
      <c r="Z112" s="16" t="str">
        <f t="shared" si="67"/>
        <v/>
      </c>
      <c r="AA112" s="16" t="str">
        <f t="shared" si="96"/>
        <v/>
      </c>
      <c r="AB112" s="16" t="str">
        <f t="shared" si="97"/>
        <v/>
      </c>
      <c r="AC112" s="29" t="str">
        <f t="shared" si="68"/>
        <v/>
      </c>
      <c r="AD112" s="29" t="str">
        <f t="shared" si="69"/>
        <v/>
      </c>
      <c r="AE112" s="2"/>
      <c r="AF112" s="2"/>
      <c r="AG112" s="2"/>
      <c r="AH112" s="2"/>
      <c r="AI112" s="2"/>
      <c r="AJ112" s="2"/>
      <c r="AK112" s="2"/>
      <c r="AL112" s="2"/>
      <c r="AM112" s="2"/>
      <c r="AN112" s="2"/>
      <c r="AO112" s="2"/>
      <c r="AP112" s="2"/>
      <c r="AQ112" s="2"/>
      <c r="AT112" s="208"/>
      <c r="AU112" s="215" t="str">
        <f t="shared" si="76"/>
        <v/>
      </c>
      <c r="AV112" s="217" t="str">
        <f t="shared" si="77"/>
        <v/>
      </c>
      <c r="AW112" s="217" t="str">
        <f t="shared" si="78"/>
        <v/>
      </c>
      <c r="AX112" s="215" t="str">
        <f t="shared" si="79"/>
        <v/>
      </c>
      <c r="AY112" s="217" t="str">
        <f t="shared" si="80"/>
        <v/>
      </c>
      <c r="AZ112" s="217" t="str">
        <f t="shared" si="81"/>
        <v/>
      </c>
      <c r="BA112" s="215" t="str">
        <f t="shared" si="82"/>
        <v/>
      </c>
      <c r="BB112" s="217" t="str">
        <f t="shared" si="83"/>
        <v/>
      </c>
      <c r="BC112" s="217" t="str">
        <f t="shared" si="84"/>
        <v/>
      </c>
      <c r="BD112" s="215" t="str">
        <f t="shared" si="85"/>
        <v/>
      </c>
      <c r="BE112" s="217" t="str">
        <f t="shared" si="86"/>
        <v/>
      </c>
      <c r="BF112" s="217" t="str">
        <f t="shared" si="87"/>
        <v/>
      </c>
      <c r="BG112" s="215" t="str">
        <f t="shared" si="88"/>
        <v/>
      </c>
      <c r="BH112" s="217" t="str">
        <f t="shared" si="89"/>
        <v/>
      </c>
      <c r="BI112" s="217" t="str">
        <f t="shared" si="90"/>
        <v/>
      </c>
      <c r="BJ112" s="215" t="str">
        <f t="shared" si="91"/>
        <v/>
      </c>
      <c r="BK112" s="217" t="str">
        <f t="shared" si="92"/>
        <v/>
      </c>
      <c r="BL112" s="217" t="str">
        <f t="shared" si="93"/>
        <v/>
      </c>
    </row>
    <row r="113" spans="1:64" x14ac:dyDescent="0.25">
      <c r="A113" s="48"/>
      <c r="B113" s="54"/>
      <c r="C113" s="54"/>
      <c r="D113" s="54"/>
      <c r="E113" s="53"/>
      <c r="F113" s="53"/>
      <c r="G113" s="54"/>
      <c r="H113" s="53"/>
      <c r="I113" s="53"/>
      <c r="J113" s="2"/>
      <c r="K113" s="54"/>
      <c r="L113" s="2"/>
      <c r="M113" s="2"/>
      <c r="N113" s="2"/>
      <c r="O113" s="2"/>
      <c r="P113" s="2"/>
      <c r="Q113" s="2"/>
      <c r="R113" s="2"/>
      <c r="S113" s="259"/>
      <c r="T113" s="2"/>
      <c r="U113" s="264">
        <v>109</v>
      </c>
      <c r="V113" s="16" t="str">
        <f t="shared" si="94"/>
        <v/>
      </c>
      <c r="W113" s="16" t="str">
        <f t="shared" si="95"/>
        <v/>
      </c>
      <c r="X113" s="16" t="str">
        <f t="shared" si="65"/>
        <v/>
      </c>
      <c r="Y113" s="16" t="str">
        <f t="shared" si="66"/>
        <v/>
      </c>
      <c r="Z113" s="16" t="str">
        <f t="shared" si="67"/>
        <v/>
      </c>
      <c r="AA113" s="16" t="str">
        <f t="shared" si="96"/>
        <v/>
      </c>
      <c r="AB113" s="16" t="str">
        <f t="shared" si="97"/>
        <v/>
      </c>
      <c r="AC113" s="29" t="str">
        <f t="shared" si="68"/>
        <v/>
      </c>
      <c r="AD113" s="29" t="str">
        <f t="shared" si="69"/>
        <v/>
      </c>
      <c r="AE113" s="2"/>
      <c r="AF113" s="2"/>
      <c r="AG113" s="2"/>
      <c r="AH113" s="2"/>
      <c r="AI113" s="2"/>
      <c r="AJ113" s="2"/>
      <c r="AK113" s="2"/>
      <c r="AL113" s="2"/>
      <c r="AM113" s="2"/>
      <c r="AN113" s="2"/>
      <c r="AO113" s="2"/>
      <c r="AP113" s="2"/>
      <c r="AQ113" s="2"/>
      <c r="AT113" s="208"/>
      <c r="AU113" s="215" t="str">
        <f t="shared" si="76"/>
        <v/>
      </c>
      <c r="AV113" s="217" t="str">
        <f t="shared" si="77"/>
        <v/>
      </c>
      <c r="AW113" s="217" t="str">
        <f t="shared" si="78"/>
        <v/>
      </c>
      <c r="AX113" s="215" t="str">
        <f t="shared" si="79"/>
        <v/>
      </c>
      <c r="AY113" s="217" t="str">
        <f t="shared" si="80"/>
        <v/>
      </c>
      <c r="AZ113" s="217" t="str">
        <f t="shared" si="81"/>
        <v/>
      </c>
      <c r="BA113" s="215" t="str">
        <f t="shared" si="82"/>
        <v/>
      </c>
      <c r="BB113" s="217" t="str">
        <f t="shared" si="83"/>
        <v/>
      </c>
      <c r="BC113" s="217" t="str">
        <f t="shared" si="84"/>
        <v/>
      </c>
      <c r="BD113" s="215" t="str">
        <f t="shared" si="85"/>
        <v/>
      </c>
      <c r="BE113" s="217" t="str">
        <f t="shared" si="86"/>
        <v/>
      </c>
      <c r="BF113" s="217" t="str">
        <f t="shared" si="87"/>
        <v/>
      </c>
      <c r="BG113" s="215" t="str">
        <f t="shared" si="88"/>
        <v/>
      </c>
      <c r="BH113" s="217" t="str">
        <f t="shared" si="89"/>
        <v/>
      </c>
      <c r="BI113" s="217" t="str">
        <f t="shared" si="90"/>
        <v/>
      </c>
      <c r="BJ113" s="215" t="str">
        <f t="shared" si="91"/>
        <v/>
      </c>
      <c r="BK113" s="217" t="str">
        <f t="shared" si="92"/>
        <v/>
      </c>
      <c r="BL113" s="217" t="str">
        <f t="shared" si="93"/>
        <v/>
      </c>
    </row>
    <row r="114" spans="1:64" x14ac:dyDescent="0.25">
      <c r="A114" s="48"/>
      <c r="B114" s="54"/>
      <c r="C114" s="54"/>
      <c r="D114" s="54"/>
      <c r="E114" s="77"/>
      <c r="F114" s="77"/>
      <c r="G114" s="54"/>
      <c r="H114" s="77"/>
      <c r="I114" s="77"/>
      <c r="J114" s="2"/>
      <c r="K114" s="54"/>
      <c r="L114" s="2"/>
      <c r="M114" s="2"/>
      <c r="N114" s="2"/>
      <c r="O114" s="2"/>
      <c r="P114" s="2"/>
      <c r="Q114" s="2"/>
      <c r="R114" s="2"/>
      <c r="S114" s="259"/>
      <c r="T114" s="2"/>
      <c r="U114" s="264">
        <v>110</v>
      </c>
      <c r="V114" s="16" t="str">
        <f t="shared" si="94"/>
        <v/>
      </c>
      <c r="W114" s="16" t="str">
        <f t="shared" si="95"/>
        <v/>
      </c>
      <c r="X114" s="16" t="str">
        <f t="shared" si="65"/>
        <v/>
      </c>
      <c r="Y114" s="16" t="str">
        <f t="shared" si="66"/>
        <v/>
      </c>
      <c r="Z114" s="16" t="str">
        <f t="shared" si="67"/>
        <v/>
      </c>
      <c r="AA114" s="16" t="str">
        <f t="shared" si="96"/>
        <v/>
      </c>
      <c r="AB114" s="16" t="str">
        <f t="shared" si="97"/>
        <v/>
      </c>
      <c r="AC114" s="29" t="str">
        <f t="shared" si="68"/>
        <v/>
      </c>
      <c r="AD114" s="29" t="str">
        <f t="shared" si="69"/>
        <v/>
      </c>
      <c r="AE114" s="2"/>
      <c r="AF114" s="2"/>
      <c r="AG114" s="2"/>
      <c r="AH114" s="2"/>
      <c r="AI114" s="2"/>
      <c r="AJ114" s="2"/>
      <c r="AK114" s="2"/>
      <c r="AL114" s="2"/>
      <c r="AM114" s="2"/>
      <c r="AN114" s="2"/>
      <c r="AO114" s="2"/>
      <c r="AP114" s="2"/>
      <c r="AQ114" s="2"/>
      <c r="AT114" s="208"/>
      <c r="AU114" s="215" t="str">
        <f t="shared" si="76"/>
        <v/>
      </c>
      <c r="AV114" s="217" t="str">
        <f t="shared" si="77"/>
        <v/>
      </c>
      <c r="AW114" s="217" t="str">
        <f t="shared" si="78"/>
        <v/>
      </c>
      <c r="AX114" s="215" t="str">
        <f t="shared" si="79"/>
        <v/>
      </c>
      <c r="AY114" s="217" t="str">
        <f t="shared" si="80"/>
        <v/>
      </c>
      <c r="AZ114" s="217" t="str">
        <f t="shared" si="81"/>
        <v/>
      </c>
      <c r="BA114" s="215" t="str">
        <f t="shared" si="82"/>
        <v/>
      </c>
      <c r="BB114" s="217" t="str">
        <f t="shared" si="83"/>
        <v/>
      </c>
      <c r="BC114" s="217" t="str">
        <f t="shared" si="84"/>
        <v/>
      </c>
      <c r="BD114" s="215" t="str">
        <f t="shared" si="85"/>
        <v/>
      </c>
      <c r="BE114" s="217" t="str">
        <f t="shared" si="86"/>
        <v/>
      </c>
      <c r="BF114" s="217" t="str">
        <f t="shared" si="87"/>
        <v/>
      </c>
      <c r="BG114" s="215" t="str">
        <f t="shared" si="88"/>
        <v/>
      </c>
      <c r="BH114" s="217" t="str">
        <f t="shared" si="89"/>
        <v/>
      </c>
      <c r="BI114" s="217" t="str">
        <f t="shared" si="90"/>
        <v/>
      </c>
      <c r="BJ114" s="215" t="str">
        <f t="shared" si="91"/>
        <v/>
      </c>
      <c r="BK114" s="217" t="str">
        <f t="shared" si="92"/>
        <v/>
      </c>
      <c r="BL114" s="217" t="str">
        <f t="shared" si="93"/>
        <v/>
      </c>
    </row>
    <row r="115" spans="1:64" x14ac:dyDescent="0.25">
      <c r="A115" s="48"/>
      <c r="B115" s="54"/>
      <c r="C115" s="54"/>
      <c r="D115" s="54"/>
      <c r="E115" s="81"/>
      <c r="F115" s="81"/>
      <c r="G115" s="54"/>
      <c r="H115" s="81"/>
      <c r="I115" s="81"/>
      <c r="J115" s="2"/>
      <c r="K115" s="54"/>
      <c r="L115" s="2"/>
      <c r="M115" s="2"/>
      <c r="N115" s="2"/>
      <c r="O115" s="2"/>
      <c r="P115" s="2"/>
      <c r="Q115" s="2"/>
      <c r="R115" s="2"/>
      <c r="S115" s="259"/>
      <c r="T115" s="2"/>
      <c r="U115" s="264">
        <v>111</v>
      </c>
      <c r="V115" s="16" t="str">
        <f t="shared" si="94"/>
        <v/>
      </c>
      <c r="W115" s="16" t="str">
        <f t="shared" si="95"/>
        <v/>
      </c>
      <c r="X115" s="16" t="str">
        <f t="shared" si="65"/>
        <v/>
      </c>
      <c r="Y115" s="16" t="str">
        <f t="shared" si="66"/>
        <v/>
      </c>
      <c r="Z115" s="16" t="str">
        <f t="shared" si="67"/>
        <v/>
      </c>
      <c r="AA115" s="16" t="str">
        <f t="shared" si="96"/>
        <v/>
      </c>
      <c r="AB115" s="16" t="str">
        <f t="shared" si="97"/>
        <v/>
      </c>
      <c r="AC115" s="29" t="str">
        <f t="shared" si="68"/>
        <v/>
      </c>
      <c r="AD115" s="29" t="str">
        <f t="shared" si="69"/>
        <v/>
      </c>
      <c r="AE115" s="2"/>
      <c r="AF115" s="2"/>
      <c r="AG115" s="2"/>
      <c r="AH115" s="2"/>
      <c r="AI115" s="2"/>
      <c r="AJ115" s="2"/>
      <c r="AK115" s="2"/>
      <c r="AL115" s="2"/>
      <c r="AM115" s="2"/>
      <c r="AN115" s="2"/>
      <c r="AO115" s="2"/>
      <c r="AP115" s="2"/>
      <c r="AQ115" s="2"/>
      <c r="AT115" s="208"/>
      <c r="AU115" s="215" t="str">
        <f t="shared" si="76"/>
        <v/>
      </c>
      <c r="AV115" s="221" t="str">
        <f t="shared" si="77"/>
        <v/>
      </c>
      <c r="AW115" s="221" t="str">
        <f t="shared" si="78"/>
        <v/>
      </c>
      <c r="AX115" s="215" t="str">
        <f t="shared" si="79"/>
        <v/>
      </c>
      <c r="AY115" s="221" t="str">
        <f t="shared" si="80"/>
        <v/>
      </c>
      <c r="AZ115" s="221" t="str">
        <f t="shared" si="81"/>
        <v/>
      </c>
      <c r="BA115" s="215" t="str">
        <f t="shared" si="82"/>
        <v/>
      </c>
      <c r="BB115" s="221" t="str">
        <f t="shared" si="83"/>
        <v/>
      </c>
      <c r="BC115" s="221" t="str">
        <f t="shared" si="84"/>
        <v/>
      </c>
      <c r="BD115" s="215" t="str">
        <f t="shared" si="85"/>
        <v/>
      </c>
      <c r="BE115" s="221" t="str">
        <f t="shared" si="86"/>
        <v/>
      </c>
      <c r="BF115" s="221" t="str">
        <f t="shared" si="87"/>
        <v/>
      </c>
      <c r="BG115" s="215" t="str">
        <f t="shared" si="88"/>
        <v/>
      </c>
      <c r="BH115" s="221" t="str">
        <f t="shared" si="89"/>
        <v/>
      </c>
      <c r="BI115" s="221" t="str">
        <f t="shared" si="90"/>
        <v/>
      </c>
      <c r="BJ115" s="215" t="str">
        <f t="shared" si="91"/>
        <v/>
      </c>
      <c r="BK115" s="221" t="str">
        <f t="shared" si="92"/>
        <v/>
      </c>
      <c r="BL115" s="221" t="str">
        <f t="shared" si="93"/>
        <v/>
      </c>
    </row>
    <row r="116" spans="1:64" x14ac:dyDescent="0.25">
      <c r="A116" s="48"/>
      <c r="B116" s="54"/>
      <c r="C116" s="54"/>
      <c r="D116" s="54"/>
      <c r="E116" s="54"/>
      <c r="F116" s="54"/>
      <c r="G116" s="54"/>
      <c r="H116" s="54"/>
      <c r="I116" s="54"/>
      <c r="J116" s="2"/>
      <c r="K116" s="54"/>
      <c r="L116" s="2"/>
      <c r="M116" s="2"/>
      <c r="N116" s="2"/>
      <c r="O116" s="2"/>
      <c r="P116" s="2"/>
      <c r="Q116" s="2"/>
      <c r="R116" s="2"/>
      <c r="S116" s="259"/>
      <c r="T116" s="2"/>
      <c r="U116" s="264">
        <v>112</v>
      </c>
      <c r="V116" s="16" t="str">
        <f t="shared" si="94"/>
        <v/>
      </c>
      <c r="W116" s="16" t="str">
        <f t="shared" si="95"/>
        <v/>
      </c>
      <c r="X116" s="16" t="str">
        <f t="shared" si="65"/>
        <v/>
      </c>
      <c r="Y116" s="16" t="str">
        <f t="shared" si="66"/>
        <v/>
      </c>
      <c r="Z116" s="16" t="str">
        <f t="shared" si="67"/>
        <v/>
      </c>
      <c r="AA116" s="16" t="str">
        <f t="shared" si="96"/>
        <v/>
      </c>
      <c r="AB116" s="16" t="str">
        <f t="shared" si="97"/>
        <v/>
      </c>
      <c r="AC116" s="29" t="str">
        <f t="shared" si="68"/>
        <v/>
      </c>
      <c r="AD116" s="29" t="str">
        <f t="shared" si="69"/>
        <v/>
      </c>
      <c r="AE116" s="2"/>
      <c r="AF116" s="2"/>
      <c r="AG116" s="2"/>
      <c r="AH116" s="2"/>
      <c r="AI116" s="2"/>
      <c r="AJ116" s="2"/>
      <c r="AK116" s="2"/>
      <c r="AL116" s="2"/>
      <c r="AM116" s="2"/>
      <c r="AN116" s="2"/>
      <c r="AO116" s="2"/>
      <c r="AP116" s="2"/>
      <c r="AQ116" s="2"/>
      <c r="AT116" s="208"/>
      <c r="AU116" s="215" t="str">
        <f t="shared" si="76"/>
        <v/>
      </c>
      <c r="AV116" s="217" t="str">
        <f t="shared" si="77"/>
        <v/>
      </c>
      <c r="AW116" s="229" t="str">
        <f t="shared" si="78"/>
        <v/>
      </c>
      <c r="AX116" s="215" t="str">
        <f t="shared" si="79"/>
        <v/>
      </c>
      <c r="AY116" s="217" t="str">
        <f t="shared" si="80"/>
        <v/>
      </c>
      <c r="AZ116" s="229" t="str">
        <f t="shared" si="81"/>
        <v/>
      </c>
      <c r="BA116" s="215" t="str">
        <f t="shared" si="82"/>
        <v/>
      </c>
      <c r="BB116" s="217" t="str">
        <f t="shared" si="83"/>
        <v/>
      </c>
      <c r="BC116" s="229" t="str">
        <f t="shared" si="84"/>
        <v/>
      </c>
      <c r="BD116" s="215" t="str">
        <f t="shared" si="85"/>
        <v/>
      </c>
      <c r="BE116" s="217" t="str">
        <f t="shared" si="86"/>
        <v/>
      </c>
      <c r="BF116" s="229" t="str">
        <f t="shared" si="87"/>
        <v/>
      </c>
      <c r="BG116" s="215" t="str">
        <f t="shared" si="88"/>
        <v/>
      </c>
      <c r="BH116" s="217" t="str">
        <f t="shared" si="89"/>
        <v/>
      </c>
      <c r="BI116" s="229" t="str">
        <f t="shared" si="90"/>
        <v/>
      </c>
      <c r="BJ116" s="215" t="str">
        <f t="shared" si="91"/>
        <v/>
      </c>
      <c r="BK116" s="217" t="str">
        <f t="shared" si="92"/>
        <v/>
      </c>
      <c r="BL116" s="229" t="str">
        <f t="shared" si="93"/>
        <v/>
      </c>
    </row>
    <row r="117" spans="1:64" x14ac:dyDescent="0.25">
      <c r="A117" s="48"/>
      <c r="B117" s="54"/>
      <c r="C117" s="54"/>
      <c r="D117" s="54"/>
      <c r="E117" s="54"/>
      <c r="F117" s="54"/>
      <c r="G117" s="54"/>
      <c r="H117" s="54"/>
      <c r="I117" s="54"/>
      <c r="J117" s="2"/>
      <c r="K117" s="54"/>
      <c r="L117" s="2"/>
      <c r="M117" s="2"/>
      <c r="N117" s="2"/>
      <c r="O117" s="2"/>
      <c r="P117" s="2"/>
      <c r="Q117" s="2"/>
      <c r="R117" s="2"/>
      <c r="S117" s="259"/>
      <c r="T117" s="2"/>
      <c r="U117" s="264">
        <v>113</v>
      </c>
      <c r="V117" s="16" t="str">
        <f t="shared" si="94"/>
        <v/>
      </c>
      <c r="W117" s="16" t="str">
        <f t="shared" si="95"/>
        <v/>
      </c>
      <c r="X117" s="16" t="str">
        <f t="shared" si="65"/>
        <v/>
      </c>
      <c r="Y117" s="16" t="str">
        <f t="shared" si="66"/>
        <v/>
      </c>
      <c r="Z117" s="16" t="str">
        <f t="shared" si="67"/>
        <v/>
      </c>
      <c r="AA117" s="16" t="str">
        <f t="shared" si="96"/>
        <v/>
      </c>
      <c r="AB117" s="16" t="str">
        <f t="shared" si="97"/>
        <v/>
      </c>
      <c r="AC117" s="29" t="str">
        <f t="shared" si="68"/>
        <v/>
      </c>
      <c r="AD117" s="29" t="str">
        <f t="shared" si="69"/>
        <v/>
      </c>
      <c r="AE117" s="2"/>
      <c r="AF117" s="2"/>
      <c r="AG117" s="2"/>
      <c r="AH117" s="2"/>
      <c r="AI117" s="2"/>
      <c r="AJ117" s="2"/>
      <c r="AK117" s="2"/>
      <c r="AL117" s="2"/>
      <c r="AM117" s="2"/>
      <c r="AN117" s="2"/>
      <c r="AO117" s="2"/>
      <c r="AP117" s="2"/>
      <c r="AQ117" s="2"/>
      <c r="AT117" s="193"/>
      <c r="AU117" s="215" t="str">
        <f t="shared" si="76"/>
        <v/>
      </c>
      <c r="AV117" s="217" t="str">
        <f t="shared" si="77"/>
        <v/>
      </c>
      <c r="AW117" s="229" t="str">
        <f t="shared" si="78"/>
        <v/>
      </c>
      <c r="AX117" s="215" t="str">
        <f t="shared" si="79"/>
        <v/>
      </c>
      <c r="AY117" s="217" t="str">
        <f t="shared" si="80"/>
        <v/>
      </c>
      <c r="AZ117" s="229" t="str">
        <f t="shared" si="81"/>
        <v/>
      </c>
      <c r="BA117" s="215" t="str">
        <f t="shared" si="82"/>
        <v/>
      </c>
      <c r="BB117" s="217" t="str">
        <f t="shared" si="83"/>
        <v/>
      </c>
      <c r="BC117" s="229" t="str">
        <f t="shared" si="84"/>
        <v/>
      </c>
      <c r="BD117" s="215" t="str">
        <f t="shared" si="85"/>
        <v/>
      </c>
      <c r="BE117" s="217" t="str">
        <f t="shared" si="86"/>
        <v/>
      </c>
      <c r="BF117" s="229" t="str">
        <f t="shared" si="87"/>
        <v/>
      </c>
      <c r="BG117" s="215" t="str">
        <f t="shared" si="88"/>
        <v/>
      </c>
      <c r="BH117" s="217" t="str">
        <f t="shared" si="89"/>
        <v/>
      </c>
      <c r="BI117" s="229" t="str">
        <f t="shared" si="90"/>
        <v/>
      </c>
      <c r="BJ117" s="215" t="str">
        <f t="shared" si="91"/>
        <v/>
      </c>
      <c r="BK117" s="217" t="str">
        <f t="shared" si="92"/>
        <v/>
      </c>
      <c r="BL117" s="229" t="str">
        <f t="shared" si="93"/>
        <v/>
      </c>
    </row>
    <row r="118" spans="1:64" x14ac:dyDescent="0.25">
      <c r="A118" s="48"/>
      <c r="B118" s="54"/>
      <c r="C118" s="54"/>
      <c r="D118" s="54"/>
      <c r="E118" s="54"/>
      <c r="F118" s="54"/>
      <c r="G118" s="54"/>
      <c r="H118" s="54"/>
      <c r="I118" s="54"/>
      <c r="J118" s="2"/>
      <c r="K118" s="54"/>
      <c r="L118" s="2"/>
      <c r="M118" s="2"/>
      <c r="N118" s="2"/>
      <c r="O118" s="2"/>
      <c r="P118" s="2"/>
      <c r="Q118" s="2"/>
      <c r="R118" s="2"/>
      <c r="S118" s="259"/>
      <c r="T118" s="2"/>
      <c r="U118" s="264">
        <v>114</v>
      </c>
      <c r="V118" s="16" t="str">
        <f t="shared" si="94"/>
        <v/>
      </c>
      <c r="W118" s="16" t="str">
        <f t="shared" si="95"/>
        <v/>
      </c>
      <c r="X118" s="16" t="str">
        <f t="shared" si="65"/>
        <v/>
      </c>
      <c r="Y118" s="16" t="str">
        <f t="shared" si="66"/>
        <v/>
      </c>
      <c r="Z118" s="16" t="str">
        <f t="shared" si="67"/>
        <v/>
      </c>
      <c r="AA118" s="16" t="str">
        <f t="shared" si="96"/>
        <v/>
      </c>
      <c r="AB118" s="16" t="str">
        <f t="shared" si="97"/>
        <v/>
      </c>
      <c r="AC118" s="29" t="str">
        <f t="shared" si="68"/>
        <v/>
      </c>
      <c r="AD118" s="29" t="str">
        <f t="shared" si="69"/>
        <v/>
      </c>
      <c r="AE118" s="2"/>
      <c r="AF118" s="2"/>
      <c r="AG118" s="2"/>
      <c r="AH118" s="2"/>
      <c r="AI118" s="2"/>
      <c r="AJ118" s="2"/>
      <c r="AK118" s="2"/>
      <c r="AL118" s="2"/>
      <c r="AM118" s="2"/>
      <c r="AN118" s="2"/>
      <c r="AO118" s="2"/>
      <c r="AP118" s="2"/>
      <c r="AQ118" s="2"/>
      <c r="AU118" s="215" t="str">
        <f t="shared" si="76"/>
        <v/>
      </c>
      <c r="AV118" s="217" t="str">
        <f t="shared" si="77"/>
        <v/>
      </c>
      <c r="AW118" s="217" t="str">
        <f t="shared" si="78"/>
        <v/>
      </c>
      <c r="AX118" s="215" t="str">
        <f t="shared" si="79"/>
        <v/>
      </c>
      <c r="AY118" s="217" t="str">
        <f t="shared" si="80"/>
        <v/>
      </c>
      <c r="AZ118" s="217" t="str">
        <f t="shared" si="81"/>
        <v/>
      </c>
      <c r="BA118" s="215" t="str">
        <f t="shared" si="82"/>
        <v/>
      </c>
      <c r="BB118" s="217" t="str">
        <f t="shared" si="83"/>
        <v/>
      </c>
      <c r="BC118" s="217" t="str">
        <f t="shared" si="84"/>
        <v/>
      </c>
      <c r="BD118" s="215" t="str">
        <f t="shared" si="85"/>
        <v/>
      </c>
      <c r="BE118" s="217" t="str">
        <f t="shared" si="86"/>
        <v/>
      </c>
      <c r="BF118" s="217" t="str">
        <f t="shared" si="87"/>
        <v/>
      </c>
      <c r="BG118" s="215" t="str">
        <f t="shared" si="88"/>
        <v/>
      </c>
      <c r="BH118" s="217" t="str">
        <f t="shared" si="89"/>
        <v/>
      </c>
      <c r="BI118" s="217" t="str">
        <f t="shared" si="90"/>
        <v/>
      </c>
      <c r="BJ118" s="215" t="str">
        <f t="shared" si="91"/>
        <v/>
      </c>
      <c r="BK118" s="217" t="str">
        <f t="shared" si="92"/>
        <v/>
      </c>
      <c r="BL118" s="217" t="str">
        <f t="shared" si="93"/>
        <v/>
      </c>
    </row>
    <row r="119" spans="1:64" x14ac:dyDescent="0.25">
      <c r="A119" s="48"/>
      <c r="B119" s="54"/>
      <c r="C119" s="54"/>
      <c r="D119" s="54"/>
      <c r="E119" s="54"/>
      <c r="F119" s="54"/>
      <c r="G119" s="54"/>
      <c r="H119" s="54"/>
      <c r="I119" s="54"/>
      <c r="J119" s="2"/>
      <c r="K119" s="54"/>
      <c r="L119" s="2"/>
      <c r="M119" s="2"/>
      <c r="N119" s="2"/>
      <c r="O119" s="2"/>
      <c r="P119" s="2"/>
      <c r="Q119" s="2"/>
      <c r="R119" s="2"/>
      <c r="S119" s="259"/>
      <c r="T119" s="2"/>
      <c r="U119" s="264">
        <v>115</v>
      </c>
      <c r="V119" s="16" t="str">
        <f t="shared" si="94"/>
        <v/>
      </c>
      <c r="W119" s="16" t="str">
        <f t="shared" si="95"/>
        <v/>
      </c>
      <c r="X119" s="16" t="str">
        <f t="shared" si="65"/>
        <v/>
      </c>
      <c r="Y119" s="16" t="str">
        <f t="shared" si="66"/>
        <v/>
      </c>
      <c r="Z119" s="16" t="str">
        <f t="shared" si="67"/>
        <v/>
      </c>
      <c r="AA119" s="16" t="str">
        <f t="shared" si="96"/>
        <v/>
      </c>
      <c r="AB119" s="16" t="str">
        <f t="shared" si="97"/>
        <v/>
      </c>
      <c r="AC119" s="29" t="str">
        <f t="shared" si="68"/>
        <v/>
      </c>
      <c r="AD119" s="29" t="str">
        <f t="shared" si="69"/>
        <v/>
      </c>
      <c r="AE119" s="2"/>
      <c r="AF119" s="2"/>
      <c r="AG119" s="2"/>
      <c r="AH119" s="2"/>
      <c r="AI119" s="2"/>
      <c r="AJ119" s="2"/>
      <c r="AK119" s="2"/>
      <c r="AL119" s="2"/>
      <c r="AM119" s="2"/>
      <c r="AN119" s="2"/>
      <c r="AO119" s="2"/>
      <c r="AP119" s="2"/>
      <c r="AQ119" s="2"/>
      <c r="AU119" s="215" t="str">
        <f t="shared" si="76"/>
        <v/>
      </c>
      <c r="AV119" s="217" t="str">
        <f t="shared" si="77"/>
        <v/>
      </c>
      <c r="AW119" s="217" t="str">
        <f t="shared" si="78"/>
        <v/>
      </c>
      <c r="AX119" s="215" t="str">
        <f t="shared" si="79"/>
        <v/>
      </c>
      <c r="AY119" s="217" t="str">
        <f t="shared" si="80"/>
        <v/>
      </c>
      <c r="AZ119" s="217" t="str">
        <f t="shared" si="81"/>
        <v/>
      </c>
      <c r="BA119" s="215" t="str">
        <f t="shared" si="82"/>
        <v/>
      </c>
      <c r="BB119" s="217" t="str">
        <f t="shared" si="83"/>
        <v/>
      </c>
      <c r="BC119" s="217" t="str">
        <f t="shared" si="84"/>
        <v/>
      </c>
      <c r="BD119" s="215" t="str">
        <f t="shared" si="85"/>
        <v/>
      </c>
      <c r="BE119" s="217" t="str">
        <f t="shared" si="86"/>
        <v/>
      </c>
      <c r="BF119" s="217" t="str">
        <f t="shared" si="87"/>
        <v/>
      </c>
      <c r="BG119" s="215" t="str">
        <f t="shared" si="88"/>
        <v/>
      </c>
      <c r="BH119" s="217" t="str">
        <f t="shared" si="89"/>
        <v/>
      </c>
      <c r="BI119" s="217" t="str">
        <f t="shared" si="90"/>
        <v/>
      </c>
      <c r="BJ119" s="215" t="str">
        <f t="shared" si="91"/>
        <v/>
      </c>
      <c r="BK119" s="217" t="str">
        <f t="shared" si="92"/>
        <v/>
      </c>
      <c r="BL119" s="217" t="str">
        <f t="shared" si="93"/>
        <v/>
      </c>
    </row>
    <row r="120" spans="1:64" x14ac:dyDescent="0.25">
      <c r="A120" s="48"/>
      <c r="B120" s="54"/>
      <c r="C120" s="54"/>
      <c r="D120" s="54"/>
      <c r="E120" s="54"/>
      <c r="F120" s="54"/>
      <c r="G120" s="54"/>
      <c r="H120" s="54"/>
      <c r="I120" s="54"/>
      <c r="J120" s="54"/>
      <c r="K120" s="54"/>
      <c r="L120" s="2"/>
      <c r="M120" s="2"/>
      <c r="N120" s="2"/>
      <c r="O120" s="2"/>
      <c r="P120" s="2"/>
      <c r="Q120" s="2"/>
      <c r="R120" s="2"/>
      <c r="S120" s="259"/>
      <c r="T120" s="2"/>
      <c r="U120" s="264">
        <v>116</v>
      </c>
      <c r="V120" s="16" t="str">
        <f t="shared" si="94"/>
        <v/>
      </c>
      <c r="W120" s="16" t="str">
        <f t="shared" si="95"/>
        <v/>
      </c>
      <c r="X120" s="16" t="str">
        <f t="shared" si="65"/>
        <v/>
      </c>
      <c r="Y120" s="16" t="str">
        <f t="shared" si="66"/>
        <v/>
      </c>
      <c r="Z120" s="16" t="str">
        <f t="shared" si="67"/>
        <v/>
      </c>
      <c r="AA120" s="16" t="str">
        <f t="shared" si="96"/>
        <v/>
      </c>
      <c r="AB120" s="16" t="str">
        <f t="shared" si="97"/>
        <v/>
      </c>
      <c r="AC120" s="29" t="str">
        <f t="shared" si="68"/>
        <v/>
      </c>
      <c r="AD120" s="29" t="str">
        <f t="shared" si="69"/>
        <v/>
      </c>
      <c r="AE120" s="2"/>
      <c r="AF120" s="2"/>
      <c r="AG120" s="2"/>
      <c r="AH120" s="2"/>
      <c r="AI120" s="2"/>
      <c r="AJ120" s="2"/>
      <c r="AK120" s="2"/>
      <c r="AL120" s="2"/>
      <c r="AM120" s="2"/>
      <c r="AN120" s="2"/>
      <c r="AO120" s="2"/>
      <c r="AP120" s="2"/>
      <c r="AQ120" s="2"/>
      <c r="AU120" s="215" t="str">
        <f t="shared" si="76"/>
        <v/>
      </c>
      <c r="AV120" s="217" t="str">
        <f t="shared" si="77"/>
        <v/>
      </c>
      <c r="AW120" s="217" t="str">
        <f t="shared" si="78"/>
        <v/>
      </c>
      <c r="AX120" s="215" t="str">
        <f t="shared" si="79"/>
        <v/>
      </c>
      <c r="AY120" s="217" t="str">
        <f t="shared" si="80"/>
        <v/>
      </c>
      <c r="AZ120" s="217" t="str">
        <f t="shared" si="81"/>
        <v/>
      </c>
      <c r="BA120" s="215" t="str">
        <f t="shared" si="82"/>
        <v/>
      </c>
      <c r="BB120" s="217" t="str">
        <f t="shared" si="83"/>
        <v/>
      </c>
      <c r="BC120" s="217" t="str">
        <f t="shared" si="84"/>
        <v/>
      </c>
      <c r="BD120" s="215" t="str">
        <f t="shared" si="85"/>
        <v/>
      </c>
      <c r="BE120" s="217" t="str">
        <f t="shared" si="86"/>
        <v/>
      </c>
      <c r="BF120" s="217" t="str">
        <f t="shared" si="87"/>
        <v/>
      </c>
      <c r="BG120" s="215" t="str">
        <f t="shared" si="88"/>
        <v/>
      </c>
      <c r="BH120" s="217" t="str">
        <f t="shared" si="89"/>
        <v/>
      </c>
      <c r="BI120" s="217" t="str">
        <f t="shared" si="90"/>
        <v/>
      </c>
      <c r="BJ120" s="215" t="str">
        <f t="shared" si="91"/>
        <v/>
      </c>
      <c r="BK120" s="217" t="str">
        <f t="shared" si="92"/>
        <v/>
      </c>
      <c r="BL120" s="217" t="str">
        <f t="shared" si="93"/>
        <v/>
      </c>
    </row>
    <row r="121" spans="1:64" x14ac:dyDescent="0.25">
      <c r="A121" s="48"/>
      <c r="B121" s="54"/>
      <c r="C121" s="54"/>
      <c r="D121" s="54"/>
      <c r="E121" s="54"/>
      <c r="F121" s="54"/>
      <c r="G121" s="54"/>
      <c r="H121" s="54"/>
      <c r="I121" s="54"/>
      <c r="J121" s="54"/>
      <c r="K121" s="54"/>
      <c r="L121" s="2"/>
      <c r="M121" s="2"/>
      <c r="N121" s="2"/>
      <c r="O121" s="2"/>
      <c r="P121" s="2"/>
      <c r="Q121" s="2"/>
      <c r="R121" s="2"/>
      <c r="S121" s="259"/>
      <c r="T121" s="2"/>
      <c r="U121" s="264">
        <v>117</v>
      </c>
      <c r="V121" s="16" t="str">
        <f t="shared" si="94"/>
        <v/>
      </c>
      <c r="W121" s="16" t="str">
        <f t="shared" si="95"/>
        <v/>
      </c>
      <c r="X121" s="16" t="str">
        <f t="shared" si="65"/>
        <v/>
      </c>
      <c r="Y121" s="16" t="str">
        <f t="shared" si="66"/>
        <v/>
      </c>
      <c r="Z121" s="16" t="str">
        <f t="shared" si="67"/>
        <v/>
      </c>
      <c r="AA121" s="16" t="str">
        <f t="shared" si="96"/>
        <v/>
      </c>
      <c r="AB121" s="16" t="str">
        <f t="shared" si="97"/>
        <v/>
      </c>
      <c r="AC121" s="29" t="str">
        <f t="shared" si="68"/>
        <v/>
      </c>
      <c r="AD121" s="29" t="str">
        <f t="shared" si="69"/>
        <v/>
      </c>
      <c r="AE121" s="2"/>
      <c r="AF121" s="2"/>
      <c r="AG121" s="2"/>
      <c r="AH121" s="2"/>
      <c r="AI121" s="2"/>
      <c r="AJ121" s="2"/>
      <c r="AK121" s="2"/>
      <c r="AL121" s="2"/>
      <c r="AM121" s="2"/>
      <c r="AN121" s="2"/>
      <c r="AO121" s="2"/>
      <c r="AP121" s="2"/>
      <c r="AQ121" s="2"/>
      <c r="AU121" s="215" t="str">
        <f t="shared" si="76"/>
        <v/>
      </c>
      <c r="AV121" s="217" t="str">
        <f t="shared" si="77"/>
        <v/>
      </c>
      <c r="AW121" s="217" t="str">
        <f t="shared" si="78"/>
        <v/>
      </c>
      <c r="AX121" s="215" t="str">
        <f t="shared" si="79"/>
        <v/>
      </c>
      <c r="AY121" s="217" t="str">
        <f t="shared" si="80"/>
        <v/>
      </c>
      <c r="AZ121" s="217" t="str">
        <f t="shared" si="81"/>
        <v/>
      </c>
      <c r="BA121" s="215" t="str">
        <f t="shared" si="82"/>
        <v/>
      </c>
      <c r="BB121" s="217" t="str">
        <f t="shared" si="83"/>
        <v/>
      </c>
      <c r="BC121" s="217" t="str">
        <f t="shared" si="84"/>
        <v/>
      </c>
      <c r="BD121" s="215" t="str">
        <f t="shared" si="85"/>
        <v/>
      </c>
      <c r="BE121" s="217" t="str">
        <f t="shared" si="86"/>
        <v/>
      </c>
      <c r="BF121" s="217" t="str">
        <f t="shared" si="87"/>
        <v/>
      </c>
      <c r="BG121" s="215" t="str">
        <f t="shared" si="88"/>
        <v/>
      </c>
      <c r="BH121" s="217" t="str">
        <f t="shared" si="89"/>
        <v/>
      </c>
      <c r="BI121" s="217" t="str">
        <f t="shared" si="90"/>
        <v/>
      </c>
      <c r="BJ121" s="215" t="str">
        <f t="shared" si="91"/>
        <v/>
      </c>
      <c r="BK121" s="217" t="str">
        <f t="shared" si="92"/>
        <v/>
      </c>
      <c r="BL121" s="217" t="str">
        <f t="shared" si="93"/>
        <v/>
      </c>
    </row>
    <row r="122" spans="1:64" x14ac:dyDescent="0.25">
      <c r="A122" s="48"/>
      <c r="B122" s="54"/>
      <c r="C122" s="54"/>
      <c r="D122" s="54"/>
      <c r="E122" s="54"/>
      <c r="F122" s="54"/>
      <c r="G122" s="54"/>
      <c r="H122" s="54"/>
      <c r="I122" s="54"/>
      <c r="J122" s="54"/>
      <c r="K122" s="54"/>
      <c r="L122" s="2"/>
      <c r="M122" s="2"/>
      <c r="N122" s="2"/>
      <c r="O122" s="2"/>
      <c r="P122" s="2"/>
      <c r="Q122" s="2"/>
      <c r="R122" s="2"/>
      <c r="S122" s="259"/>
      <c r="T122" s="2"/>
      <c r="U122" s="264">
        <v>118</v>
      </c>
      <c r="V122" s="16" t="str">
        <f t="shared" si="94"/>
        <v/>
      </c>
      <c r="W122" s="16" t="str">
        <f t="shared" si="95"/>
        <v/>
      </c>
      <c r="X122" s="16" t="str">
        <f t="shared" si="65"/>
        <v/>
      </c>
      <c r="Y122" s="16" t="str">
        <f t="shared" si="66"/>
        <v/>
      </c>
      <c r="Z122" s="16" t="str">
        <f t="shared" si="67"/>
        <v/>
      </c>
      <c r="AA122" s="16" t="str">
        <f t="shared" si="96"/>
        <v/>
      </c>
      <c r="AB122" s="16" t="str">
        <f t="shared" si="97"/>
        <v/>
      </c>
      <c r="AC122" s="29" t="str">
        <f t="shared" si="68"/>
        <v/>
      </c>
      <c r="AD122" s="29" t="str">
        <f t="shared" si="69"/>
        <v/>
      </c>
      <c r="AE122" s="2"/>
      <c r="AF122" s="2"/>
      <c r="AG122" s="2"/>
      <c r="AH122" s="2"/>
      <c r="AI122" s="2"/>
      <c r="AJ122" s="2"/>
      <c r="AK122" s="2"/>
      <c r="AL122" s="2"/>
      <c r="AM122" s="2"/>
      <c r="AN122" s="2"/>
      <c r="AO122" s="2"/>
      <c r="AP122" s="2"/>
      <c r="AQ122" s="2"/>
      <c r="AU122" s="215" t="str">
        <f t="shared" si="76"/>
        <v/>
      </c>
      <c r="AV122" s="217" t="str">
        <f t="shared" si="77"/>
        <v/>
      </c>
      <c r="AW122" s="217" t="str">
        <f t="shared" si="78"/>
        <v/>
      </c>
      <c r="AX122" s="215" t="str">
        <f t="shared" si="79"/>
        <v/>
      </c>
      <c r="AY122" s="217" t="str">
        <f t="shared" si="80"/>
        <v/>
      </c>
      <c r="AZ122" s="217" t="str">
        <f t="shared" si="81"/>
        <v/>
      </c>
      <c r="BA122" s="215" t="str">
        <f t="shared" si="82"/>
        <v/>
      </c>
      <c r="BB122" s="217" t="str">
        <f t="shared" si="83"/>
        <v/>
      </c>
      <c r="BC122" s="217" t="str">
        <f t="shared" si="84"/>
        <v/>
      </c>
      <c r="BD122" s="215" t="str">
        <f t="shared" si="85"/>
        <v/>
      </c>
      <c r="BE122" s="217" t="str">
        <f t="shared" si="86"/>
        <v/>
      </c>
      <c r="BF122" s="217" t="str">
        <f t="shared" si="87"/>
        <v/>
      </c>
      <c r="BG122" s="215" t="str">
        <f t="shared" si="88"/>
        <v/>
      </c>
      <c r="BH122" s="217" t="str">
        <f t="shared" si="89"/>
        <v/>
      </c>
      <c r="BI122" s="217" t="str">
        <f t="shared" si="90"/>
        <v/>
      </c>
      <c r="BJ122" s="215" t="str">
        <f t="shared" si="91"/>
        <v/>
      </c>
      <c r="BK122" s="217" t="str">
        <f t="shared" si="92"/>
        <v/>
      </c>
      <c r="BL122" s="217" t="str">
        <f t="shared" si="93"/>
        <v/>
      </c>
    </row>
    <row r="123" spans="1:64" x14ac:dyDescent="0.25">
      <c r="A123" s="48"/>
      <c r="B123" s="54"/>
      <c r="C123" s="54"/>
      <c r="D123" s="54"/>
      <c r="E123" s="54"/>
      <c r="F123" s="54"/>
      <c r="G123" s="54"/>
      <c r="H123" s="54"/>
      <c r="I123" s="54"/>
      <c r="J123" s="54"/>
      <c r="K123" s="54"/>
      <c r="L123" s="2"/>
      <c r="M123" s="2"/>
      <c r="N123" s="2"/>
      <c r="O123" s="2"/>
      <c r="P123" s="2"/>
      <c r="Q123" s="2"/>
      <c r="R123" s="2"/>
      <c r="S123" s="259"/>
      <c r="T123" s="2"/>
      <c r="U123" s="264">
        <v>119</v>
      </c>
      <c r="V123" s="16" t="str">
        <f t="shared" si="94"/>
        <v/>
      </c>
      <c r="W123" s="16" t="str">
        <f t="shared" si="95"/>
        <v/>
      </c>
      <c r="X123" s="16" t="str">
        <f t="shared" si="65"/>
        <v/>
      </c>
      <c r="Y123" s="16" t="str">
        <f t="shared" si="66"/>
        <v/>
      </c>
      <c r="Z123" s="16" t="str">
        <f t="shared" si="67"/>
        <v/>
      </c>
      <c r="AA123" s="16" t="str">
        <f t="shared" si="96"/>
        <v/>
      </c>
      <c r="AB123" s="16" t="str">
        <f t="shared" si="97"/>
        <v/>
      </c>
      <c r="AC123" s="29" t="str">
        <f t="shared" si="68"/>
        <v/>
      </c>
      <c r="AD123" s="29" t="str">
        <f t="shared" si="69"/>
        <v/>
      </c>
      <c r="AE123" s="2"/>
      <c r="AF123" s="2"/>
      <c r="AG123" s="2"/>
      <c r="AH123" s="2"/>
      <c r="AI123" s="2"/>
      <c r="AJ123" s="2"/>
      <c r="AK123" s="2"/>
      <c r="AL123" s="2"/>
      <c r="AM123" s="2"/>
      <c r="AN123" s="2"/>
      <c r="AO123" s="2"/>
      <c r="AP123" s="2"/>
      <c r="AQ123" s="2"/>
      <c r="AU123" s="215" t="str">
        <f t="shared" si="76"/>
        <v/>
      </c>
      <c r="AV123" s="217" t="str">
        <f t="shared" si="77"/>
        <v/>
      </c>
      <c r="AW123" s="217" t="str">
        <f t="shared" si="78"/>
        <v/>
      </c>
      <c r="AX123" s="215" t="str">
        <f t="shared" si="79"/>
        <v/>
      </c>
      <c r="AY123" s="217" t="str">
        <f t="shared" si="80"/>
        <v/>
      </c>
      <c r="AZ123" s="217" t="str">
        <f t="shared" si="81"/>
        <v/>
      </c>
      <c r="BA123" s="215" t="str">
        <f t="shared" si="82"/>
        <v/>
      </c>
      <c r="BB123" s="217" t="str">
        <f t="shared" si="83"/>
        <v/>
      </c>
      <c r="BC123" s="217" t="str">
        <f t="shared" si="84"/>
        <v/>
      </c>
      <c r="BD123" s="215" t="str">
        <f t="shared" si="85"/>
        <v/>
      </c>
      <c r="BE123" s="217" t="str">
        <f t="shared" si="86"/>
        <v/>
      </c>
      <c r="BF123" s="217" t="str">
        <f t="shared" si="87"/>
        <v/>
      </c>
      <c r="BG123" s="215" t="str">
        <f t="shared" si="88"/>
        <v/>
      </c>
      <c r="BH123" s="217" t="str">
        <f t="shared" si="89"/>
        <v/>
      </c>
      <c r="BI123" s="217" t="str">
        <f t="shared" si="90"/>
        <v/>
      </c>
      <c r="BJ123" s="215" t="str">
        <f t="shared" si="91"/>
        <v/>
      </c>
      <c r="BK123" s="217" t="str">
        <f t="shared" si="92"/>
        <v/>
      </c>
      <c r="BL123" s="217" t="str">
        <f t="shared" si="93"/>
        <v/>
      </c>
    </row>
    <row r="124" spans="1:64" x14ac:dyDescent="0.25">
      <c r="A124" s="48"/>
      <c r="B124" s="54"/>
      <c r="C124" s="54"/>
      <c r="D124" s="54"/>
      <c r="E124" s="54"/>
      <c r="F124" s="54"/>
      <c r="G124" s="54"/>
      <c r="H124" s="54"/>
      <c r="I124" s="54"/>
      <c r="J124" s="54"/>
      <c r="K124" s="54"/>
      <c r="L124" s="2"/>
      <c r="M124" s="2"/>
      <c r="N124" s="2"/>
      <c r="O124" s="2"/>
      <c r="P124" s="2"/>
      <c r="Q124" s="2"/>
      <c r="R124" s="2"/>
      <c r="S124" s="259"/>
      <c r="T124" s="2"/>
      <c r="U124" s="264">
        <v>120</v>
      </c>
      <c r="V124" s="16" t="str">
        <f t="shared" si="94"/>
        <v/>
      </c>
      <c r="W124" s="16" t="str">
        <f t="shared" si="95"/>
        <v/>
      </c>
      <c r="X124" s="16" t="str">
        <f t="shared" si="65"/>
        <v/>
      </c>
      <c r="Y124" s="16" t="str">
        <f t="shared" si="66"/>
        <v/>
      </c>
      <c r="Z124" s="16" t="str">
        <f t="shared" si="67"/>
        <v/>
      </c>
      <c r="AA124" s="16" t="str">
        <f t="shared" si="96"/>
        <v/>
      </c>
      <c r="AB124" s="16" t="str">
        <f t="shared" si="97"/>
        <v/>
      </c>
      <c r="AC124" s="29" t="str">
        <f t="shared" si="68"/>
        <v/>
      </c>
      <c r="AD124" s="29" t="str">
        <f t="shared" si="69"/>
        <v/>
      </c>
      <c r="AE124" s="2"/>
      <c r="AF124" s="2"/>
      <c r="AG124" s="2"/>
      <c r="AH124" s="2"/>
      <c r="AI124" s="2"/>
      <c r="AJ124" s="2"/>
      <c r="AK124" s="2"/>
      <c r="AL124" s="2"/>
      <c r="AM124" s="2"/>
      <c r="AN124" s="2"/>
      <c r="AO124" s="2"/>
      <c r="AP124" s="2"/>
      <c r="AQ124" s="2"/>
      <c r="AU124" s="215" t="str">
        <f t="shared" ref="AU124:AU141" si="98">IF($AW$84&gt;=$U37,$U37,"")</f>
        <v/>
      </c>
      <c r="AV124" s="217" t="str">
        <f t="shared" ref="AV124:AV141" si="99">IF($AU124&lt;&gt;"",$AW$86+($AW$85)*COS( PI()/180*($AW$88+($AU124-1)*360/$AW$84))/2,"")</f>
        <v/>
      </c>
      <c r="AW124" s="217" t="str">
        <f t="shared" ref="AW124:AW141" si="100">IF($AU124&lt;&gt;"",$AW$87+($AW$85)*SIN( PI()/180*($AW$88+($AU124-1)*360/$AW$84))/2,"")</f>
        <v/>
      </c>
      <c r="AX124" s="215" t="str">
        <f t="shared" ref="AX124:AX141" si="101">IF($AW$84&gt;=$U87,$U87,"")</f>
        <v/>
      </c>
      <c r="AY124" s="217" t="str">
        <f t="shared" ref="AY124:AY141" si="102">IF($AX124&lt;&gt;"",$AW$86+($AW$85)*COS( PI()/180*($AW$88+($AX124-1)*360/$AW$84))/2,"")</f>
        <v/>
      </c>
      <c r="AZ124" s="217" t="str">
        <f t="shared" ref="AZ124:AZ141" si="103">IF($AX124&lt;&gt;"",$AW$87+($AW$85)*SIN( PI()/180*($AW$88+($AX124-1)*360/$AW$84))/2,"")</f>
        <v/>
      </c>
      <c r="BA124" s="215" t="str">
        <f t="shared" ref="BA124:BA141" si="104">IF($AW$84&gt;=$U137,$U137,"")</f>
        <v/>
      </c>
      <c r="BB124" s="217" t="str">
        <f t="shared" ref="BB124:BB141" si="105">IF($BA124&lt;&gt;"",$AW$86+($AW$85)*COS( PI()/180*($AW$88+($BA124-1)*360/$AW$84))/2,"")</f>
        <v/>
      </c>
      <c r="BC124" s="217" t="str">
        <f t="shared" ref="BC124:BC141" si="106">IF($BA124&lt;&gt;"",$AW$87+($AW$85)*SIN( PI()/180*($AW$88+($BA124-1)*360/$AW$84))/2,"")</f>
        <v/>
      </c>
      <c r="BD124" s="215" t="str">
        <f t="shared" ref="BD124:BD141" si="107">IF($AW$84&gt;=$U187,$U187,"")</f>
        <v/>
      </c>
      <c r="BE124" s="217" t="str">
        <f t="shared" ref="BE124:BE141" si="108">IF($BD124&lt;&gt;"",$AW$86+($AW$85)*COS( PI()/180*($AW$88+($BD124-1)*360/$AW$84))/2,"")</f>
        <v/>
      </c>
      <c r="BF124" s="217" t="str">
        <f t="shared" ref="BF124:BF141" si="109">IF($BD124&lt;&gt;"",$AW$87+($AW$85)*SIN( PI()/180*($AW$88+($BD124-1)*360/$AW$84))/2,"")</f>
        <v/>
      </c>
      <c r="BG124" s="215" t="str">
        <f t="shared" ref="BG124:BG141" si="110">IF($AW$84&gt;=$U237,$U237,"")</f>
        <v/>
      </c>
      <c r="BH124" s="217" t="str">
        <f t="shared" ref="BH124:BH141" si="111">IF($BG124&lt;&gt;"",$AW$86+($AW$85)*COS( PI()/180*($AW$88+($BG124-1)*360/$AW$84))/2,"")</f>
        <v/>
      </c>
      <c r="BI124" s="217" t="str">
        <f t="shared" ref="BI124:BI141" si="112">IF($BG124&lt;&gt;"",$AW$87+($AW$85)*SIN( PI()/180*($AW$88+($BG124-1)*360/$AW$84))/2,"")</f>
        <v/>
      </c>
      <c r="BJ124" s="215" t="str">
        <f t="shared" ref="BJ124:BJ141" si="113">IF($AW$84&gt;=$U287,$U287,"")</f>
        <v/>
      </c>
      <c r="BK124" s="217" t="str">
        <f t="shared" ref="BK124:BK141" si="114">IF($BJ124&lt;&gt;"",$AW$86+($AW$85)*COS( PI()/180*($AW$88+($BJ124-1)*360/$AW$84))/2,"")</f>
        <v/>
      </c>
      <c r="BL124" s="217" t="str">
        <f t="shared" ref="BL124:BL141" si="115">IF($BJ124&lt;&gt;"",$AW$87+($AW$85)*SIN( PI()/180*($AW$88+($BJ124-1)*360/$AW$84))/2,"")</f>
        <v/>
      </c>
    </row>
    <row r="125" spans="1:64" x14ac:dyDescent="0.25">
      <c r="A125" s="48"/>
      <c r="B125" s="54"/>
      <c r="C125" s="54"/>
      <c r="D125" s="54"/>
      <c r="E125" s="54"/>
      <c r="F125" s="54"/>
      <c r="G125" s="54"/>
      <c r="H125" s="54"/>
      <c r="I125" s="54"/>
      <c r="J125" s="54"/>
      <c r="K125" s="54"/>
      <c r="L125" s="2"/>
      <c r="M125" s="2"/>
      <c r="N125" s="2"/>
      <c r="O125" s="2"/>
      <c r="P125" s="2"/>
      <c r="Q125" s="2"/>
      <c r="R125" s="2"/>
      <c r="S125" s="259"/>
      <c r="T125" s="2"/>
      <c r="U125" s="264">
        <v>121</v>
      </c>
      <c r="V125" s="16" t="str">
        <f t="shared" si="94"/>
        <v/>
      </c>
      <c r="W125" s="16" t="str">
        <f t="shared" si="95"/>
        <v/>
      </c>
      <c r="X125" s="16" t="str">
        <f t="shared" si="65"/>
        <v/>
      </c>
      <c r="Y125" s="16" t="str">
        <f t="shared" si="66"/>
        <v/>
      </c>
      <c r="Z125" s="16" t="str">
        <f t="shared" si="67"/>
        <v/>
      </c>
      <c r="AA125" s="16" t="str">
        <f t="shared" si="96"/>
        <v/>
      </c>
      <c r="AB125" s="16" t="str">
        <f t="shared" si="97"/>
        <v/>
      </c>
      <c r="AC125" s="29" t="str">
        <f t="shared" si="68"/>
        <v/>
      </c>
      <c r="AD125" s="29" t="str">
        <f t="shared" si="69"/>
        <v/>
      </c>
      <c r="AE125" s="2"/>
      <c r="AF125" s="2"/>
      <c r="AG125" s="2"/>
      <c r="AH125" s="2"/>
      <c r="AI125" s="2"/>
      <c r="AJ125" s="2"/>
      <c r="AK125" s="2"/>
      <c r="AL125" s="2"/>
      <c r="AM125" s="2"/>
      <c r="AN125" s="2"/>
      <c r="AO125" s="2"/>
      <c r="AP125" s="2"/>
      <c r="AQ125" s="2"/>
      <c r="AU125" s="215" t="str">
        <f t="shared" si="98"/>
        <v/>
      </c>
      <c r="AV125" s="217" t="str">
        <f t="shared" si="99"/>
        <v/>
      </c>
      <c r="AW125" s="217" t="str">
        <f t="shared" si="100"/>
        <v/>
      </c>
      <c r="AX125" s="215" t="str">
        <f t="shared" si="101"/>
        <v/>
      </c>
      <c r="AY125" s="217" t="str">
        <f t="shared" si="102"/>
        <v/>
      </c>
      <c r="AZ125" s="217" t="str">
        <f t="shared" si="103"/>
        <v/>
      </c>
      <c r="BA125" s="215" t="str">
        <f t="shared" si="104"/>
        <v/>
      </c>
      <c r="BB125" s="217" t="str">
        <f t="shared" si="105"/>
        <v/>
      </c>
      <c r="BC125" s="217" t="str">
        <f t="shared" si="106"/>
        <v/>
      </c>
      <c r="BD125" s="215" t="str">
        <f t="shared" si="107"/>
        <v/>
      </c>
      <c r="BE125" s="217" t="str">
        <f t="shared" si="108"/>
        <v/>
      </c>
      <c r="BF125" s="217" t="str">
        <f t="shared" si="109"/>
        <v/>
      </c>
      <c r="BG125" s="215" t="str">
        <f t="shared" si="110"/>
        <v/>
      </c>
      <c r="BH125" s="217" t="str">
        <f t="shared" si="111"/>
        <v/>
      </c>
      <c r="BI125" s="217" t="str">
        <f t="shared" si="112"/>
        <v/>
      </c>
      <c r="BJ125" s="215" t="str">
        <f t="shared" si="113"/>
        <v/>
      </c>
      <c r="BK125" s="217" t="str">
        <f t="shared" si="114"/>
        <v/>
      </c>
      <c r="BL125" s="217" t="str">
        <f t="shared" si="115"/>
        <v/>
      </c>
    </row>
    <row r="126" spans="1:64" x14ac:dyDescent="0.25">
      <c r="A126" s="48"/>
      <c r="B126" s="54"/>
      <c r="C126" s="54"/>
      <c r="D126" s="54"/>
      <c r="E126" s="54"/>
      <c r="F126" s="54"/>
      <c r="G126" s="54"/>
      <c r="H126" s="54"/>
      <c r="I126" s="54"/>
      <c r="J126" s="54"/>
      <c r="K126" s="54"/>
      <c r="L126" s="2"/>
      <c r="M126" s="2"/>
      <c r="N126" s="2"/>
      <c r="O126" s="2"/>
      <c r="P126" s="2"/>
      <c r="Q126" s="2"/>
      <c r="R126" s="2"/>
      <c r="S126" s="259"/>
      <c r="T126" s="2"/>
      <c r="U126" s="264">
        <v>122</v>
      </c>
      <c r="V126" s="16" t="str">
        <f t="shared" si="94"/>
        <v/>
      </c>
      <c r="W126" s="16" t="str">
        <f t="shared" si="95"/>
        <v/>
      </c>
      <c r="X126" s="16" t="str">
        <f t="shared" si="65"/>
        <v/>
      </c>
      <c r="Y126" s="16" t="str">
        <f t="shared" si="66"/>
        <v/>
      </c>
      <c r="Z126" s="16" t="str">
        <f t="shared" si="67"/>
        <v/>
      </c>
      <c r="AA126" s="16" t="str">
        <f t="shared" si="96"/>
        <v/>
      </c>
      <c r="AB126" s="16" t="str">
        <f t="shared" si="97"/>
        <v/>
      </c>
      <c r="AC126" s="29" t="str">
        <f t="shared" si="68"/>
        <v/>
      </c>
      <c r="AD126" s="29" t="str">
        <f t="shared" si="69"/>
        <v/>
      </c>
      <c r="AE126" s="2"/>
      <c r="AF126" s="2"/>
      <c r="AG126" s="2"/>
      <c r="AH126" s="2"/>
      <c r="AI126" s="2"/>
      <c r="AJ126" s="2"/>
      <c r="AK126" s="2"/>
      <c r="AL126" s="2"/>
      <c r="AM126" s="2"/>
      <c r="AN126" s="2"/>
      <c r="AO126" s="2"/>
      <c r="AP126" s="2"/>
      <c r="AQ126" s="2"/>
      <c r="AU126" s="215" t="str">
        <f t="shared" si="98"/>
        <v/>
      </c>
      <c r="AV126" s="217" t="str">
        <f t="shared" si="99"/>
        <v/>
      </c>
      <c r="AW126" s="217" t="str">
        <f t="shared" si="100"/>
        <v/>
      </c>
      <c r="AX126" s="215" t="str">
        <f t="shared" si="101"/>
        <v/>
      </c>
      <c r="AY126" s="217" t="str">
        <f t="shared" si="102"/>
        <v/>
      </c>
      <c r="AZ126" s="217" t="str">
        <f t="shared" si="103"/>
        <v/>
      </c>
      <c r="BA126" s="215" t="str">
        <f t="shared" si="104"/>
        <v/>
      </c>
      <c r="BB126" s="217" t="str">
        <f t="shared" si="105"/>
        <v/>
      </c>
      <c r="BC126" s="217" t="str">
        <f t="shared" si="106"/>
        <v/>
      </c>
      <c r="BD126" s="215" t="str">
        <f t="shared" si="107"/>
        <v/>
      </c>
      <c r="BE126" s="217" t="str">
        <f t="shared" si="108"/>
        <v/>
      </c>
      <c r="BF126" s="217" t="str">
        <f t="shared" si="109"/>
        <v/>
      </c>
      <c r="BG126" s="215" t="str">
        <f t="shared" si="110"/>
        <v/>
      </c>
      <c r="BH126" s="217" t="str">
        <f t="shared" si="111"/>
        <v/>
      </c>
      <c r="BI126" s="217" t="str">
        <f t="shared" si="112"/>
        <v/>
      </c>
      <c r="BJ126" s="215" t="str">
        <f t="shared" si="113"/>
        <v/>
      </c>
      <c r="BK126" s="217" t="str">
        <f t="shared" si="114"/>
        <v/>
      </c>
      <c r="BL126" s="217" t="str">
        <f t="shared" si="115"/>
        <v/>
      </c>
    </row>
    <row r="127" spans="1:64" x14ac:dyDescent="0.25">
      <c r="A127" s="48"/>
      <c r="B127" s="54"/>
      <c r="C127" s="54"/>
      <c r="D127" s="54"/>
      <c r="E127" s="54"/>
      <c r="F127" s="54"/>
      <c r="G127" s="54"/>
      <c r="H127" s="54"/>
      <c r="I127" s="54"/>
      <c r="J127" s="54"/>
      <c r="K127" s="54"/>
      <c r="L127" s="2"/>
      <c r="M127" s="2"/>
      <c r="N127" s="2"/>
      <c r="O127" s="2"/>
      <c r="P127" s="2"/>
      <c r="Q127" s="2"/>
      <c r="R127" s="2"/>
      <c r="S127" s="259"/>
      <c r="T127" s="2"/>
      <c r="U127" s="264">
        <v>123</v>
      </c>
      <c r="V127" s="16" t="str">
        <f t="shared" si="94"/>
        <v/>
      </c>
      <c r="W127" s="16" t="str">
        <f t="shared" si="95"/>
        <v/>
      </c>
      <c r="X127" s="16" t="str">
        <f t="shared" si="65"/>
        <v/>
      </c>
      <c r="Y127" s="16" t="str">
        <f t="shared" si="66"/>
        <v/>
      </c>
      <c r="Z127" s="16" t="str">
        <f t="shared" si="67"/>
        <v/>
      </c>
      <c r="AA127" s="16" t="str">
        <f t="shared" si="96"/>
        <v/>
      </c>
      <c r="AB127" s="16" t="str">
        <f t="shared" si="97"/>
        <v/>
      </c>
      <c r="AC127" s="29" t="str">
        <f t="shared" si="68"/>
        <v/>
      </c>
      <c r="AD127" s="29" t="str">
        <f t="shared" si="69"/>
        <v/>
      </c>
      <c r="AE127" s="2"/>
      <c r="AF127" s="2"/>
      <c r="AG127" s="2"/>
      <c r="AH127" s="2"/>
      <c r="AI127" s="2"/>
      <c r="AJ127" s="2"/>
      <c r="AK127" s="2"/>
      <c r="AL127" s="2"/>
      <c r="AM127" s="2"/>
      <c r="AN127" s="2"/>
      <c r="AO127" s="2"/>
      <c r="AP127" s="2"/>
      <c r="AQ127" s="2"/>
      <c r="AU127" s="215" t="str">
        <f t="shared" si="98"/>
        <v/>
      </c>
      <c r="AV127" s="217" t="str">
        <f t="shared" si="99"/>
        <v/>
      </c>
      <c r="AW127" s="217" t="str">
        <f t="shared" si="100"/>
        <v/>
      </c>
      <c r="AX127" s="215" t="str">
        <f t="shared" si="101"/>
        <v/>
      </c>
      <c r="AY127" s="217" t="str">
        <f t="shared" si="102"/>
        <v/>
      </c>
      <c r="AZ127" s="217" t="str">
        <f t="shared" si="103"/>
        <v/>
      </c>
      <c r="BA127" s="215" t="str">
        <f t="shared" si="104"/>
        <v/>
      </c>
      <c r="BB127" s="217" t="str">
        <f t="shared" si="105"/>
        <v/>
      </c>
      <c r="BC127" s="217" t="str">
        <f t="shared" si="106"/>
        <v/>
      </c>
      <c r="BD127" s="215" t="str">
        <f t="shared" si="107"/>
        <v/>
      </c>
      <c r="BE127" s="217" t="str">
        <f t="shared" si="108"/>
        <v/>
      </c>
      <c r="BF127" s="217" t="str">
        <f t="shared" si="109"/>
        <v/>
      </c>
      <c r="BG127" s="215" t="str">
        <f t="shared" si="110"/>
        <v/>
      </c>
      <c r="BH127" s="217" t="str">
        <f t="shared" si="111"/>
        <v/>
      </c>
      <c r="BI127" s="217" t="str">
        <f t="shared" si="112"/>
        <v/>
      </c>
      <c r="BJ127" s="215" t="str">
        <f t="shared" si="113"/>
        <v/>
      </c>
      <c r="BK127" s="217" t="str">
        <f t="shared" si="114"/>
        <v/>
      </c>
      <c r="BL127" s="217" t="str">
        <f t="shared" si="115"/>
        <v/>
      </c>
    </row>
    <row r="128" spans="1:64" x14ac:dyDescent="0.25">
      <c r="A128" s="48"/>
      <c r="B128" s="54"/>
      <c r="C128" s="54"/>
      <c r="D128" s="54"/>
      <c r="E128" s="54"/>
      <c r="F128" s="54"/>
      <c r="G128" s="54"/>
      <c r="H128" s="54"/>
      <c r="I128" s="54"/>
      <c r="J128" s="54"/>
      <c r="K128" s="54"/>
      <c r="L128" s="2"/>
      <c r="M128" s="2"/>
      <c r="N128" s="2"/>
      <c r="O128" s="2"/>
      <c r="P128" s="2"/>
      <c r="Q128" s="2"/>
      <c r="R128" s="2"/>
      <c r="S128" s="259"/>
      <c r="T128" s="2"/>
      <c r="U128" s="264">
        <v>124</v>
      </c>
      <c r="V128" s="16" t="str">
        <f t="shared" si="94"/>
        <v/>
      </c>
      <c r="W128" s="16" t="str">
        <f t="shared" si="95"/>
        <v/>
      </c>
      <c r="X128" s="16" t="str">
        <f t="shared" si="65"/>
        <v/>
      </c>
      <c r="Y128" s="16" t="str">
        <f t="shared" si="66"/>
        <v/>
      </c>
      <c r="Z128" s="16" t="str">
        <f t="shared" si="67"/>
        <v/>
      </c>
      <c r="AA128" s="16" t="str">
        <f t="shared" si="96"/>
        <v/>
      </c>
      <c r="AB128" s="16" t="str">
        <f t="shared" si="97"/>
        <v/>
      </c>
      <c r="AC128" s="29" t="str">
        <f t="shared" si="68"/>
        <v/>
      </c>
      <c r="AD128" s="29" t="str">
        <f t="shared" si="69"/>
        <v/>
      </c>
      <c r="AE128" s="2"/>
      <c r="AF128" s="2"/>
      <c r="AG128" s="2"/>
      <c r="AH128" s="2"/>
      <c r="AI128" s="2"/>
      <c r="AJ128" s="2"/>
      <c r="AK128" s="2"/>
      <c r="AL128" s="2"/>
      <c r="AM128" s="2"/>
      <c r="AN128" s="2"/>
      <c r="AO128" s="2"/>
      <c r="AP128" s="2"/>
      <c r="AQ128" s="2"/>
      <c r="AU128" s="215" t="str">
        <f t="shared" si="98"/>
        <v/>
      </c>
      <c r="AV128" s="217" t="str">
        <f t="shared" si="99"/>
        <v/>
      </c>
      <c r="AW128" s="217" t="str">
        <f t="shared" si="100"/>
        <v/>
      </c>
      <c r="AX128" s="215" t="str">
        <f t="shared" si="101"/>
        <v/>
      </c>
      <c r="AY128" s="217" t="str">
        <f t="shared" si="102"/>
        <v/>
      </c>
      <c r="AZ128" s="217" t="str">
        <f t="shared" si="103"/>
        <v/>
      </c>
      <c r="BA128" s="215" t="str">
        <f t="shared" si="104"/>
        <v/>
      </c>
      <c r="BB128" s="217" t="str">
        <f t="shared" si="105"/>
        <v/>
      </c>
      <c r="BC128" s="217" t="str">
        <f t="shared" si="106"/>
        <v/>
      </c>
      <c r="BD128" s="215" t="str">
        <f t="shared" si="107"/>
        <v/>
      </c>
      <c r="BE128" s="217" t="str">
        <f t="shared" si="108"/>
        <v/>
      </c>
      <c r="BF128" s="217" t="str">
        <f t="shared" si="109"/>
        <v/>
      </c>
      <c r="BG128" s="215" t="str">
        <f t="shared" si="110"/>
        <v/>
      </c>
      <c r="BH128" s="217" t="str">
        <f t="shared" si="111"/>
        <v/>
      </c>
      <c r="BI128" s="217" t="str">
        <f t="shared" si="112"/>
        <v/>
      </c>
      <c r="BJ128" s="215" t="str">
        <f t="shared" si="113"/>
        <v/>
      </c>
      <c r="BK128" s="217" t="str">
        <f t="shared" si="114"/>
        <v/>
      </c>
      <c r="BL128" s="217" t="str">
        <f t="shared" si="115"/>
        <v/>
      </c>
    </row>
    <row r="129" spans="1:64" x14ac:dyDescent="0.25">
      <c r="A129" s="48"/>
      <c r="B129" s="54"/>
      <c r="C129" s="54"/>
      <c r="D129" s="54"/>
      <c r="E129" s="54"/>
      <c r="F129" s="54"/>
      <c r="G129" s="54"/>
      <c r="H129" s="54"/>
      <c r="I129" s="54"/>
      <c r="J129" s="54"/>
      <c r="K129" s="54"/>
      <c r="L129" s="2"/>
      <c r="M129" s="2"/>
      <c r="N129" s="2"/>
      <c r="O129" s="2"/>
      <c r="P129" s="2"/>
      <c r="Q129" s="2"/>
      <c r="R129" s="2"/>
      <c r="S129" s="259"/>
      <c r="T129" s="2"/>
      <c r="U129" s="264">
        <v>125</v>
      </c>
      <c r="V129" s="16" t="str">
        <f t="shared" si="94"/>
        <v/>
      </c>
      <c r="W129" s="16" t="str">
        <f t="shared" si="95"/>
        <v/>
      </c>
      <c r="X129" s="16" t="str">
        <f t="shared" si="65"/>
        <v/>
      </c>
      <c r="Y129" s="16" t="str">
        <f t="shared" si="66"/>
        <v/>
      </c>
      <c r="Z129" s="16" t="str">
        <f t="shared" si="67"/>
        <v/>
      </c>
      <c r="AA129" s="16" t="str">
        <f t="shared" si="96"/>
        <v/>
      </c>
      <c r="AB129" s="16" t="str">
        <f t="shared" si="97"/>
        <v/>
      </c>
      <c r="AC129" s="29" t="str">
        <f t="shared" si="68"/>
        <v/>
      </c>
      <c r="AD129" s="29" t="str">
        <f t="shared" si="69"/>
        <v/>
      </c>
      <c r="AE129" s="2"/>
      <c r="AF129" s="2"/>
      <c r="AG129" s="2"/>
      <c r="AH129" s="2"/>
      <c r="AI129" s="2"/>
      <c r="AJ129" s="2"/>
      <c r="AK129" s="2"/>
      <c r="AL129" s="2"/>
      <c r="AM129" s="2"/>
      <c r="AN129" s="2"/>
      <c r="AO129" s="2"/>
      <c r="AP129" s="2"/>
      <c r="AQ129" s="2"/>
      <c r="AU129" s="215" t="str">
        <f t="shared" si="98"/>
        <v/>
      </c>
      <c r="AV129" s="217" t="str">
        <f t="shared" si="99"/>
        <v/>
      </c>
      <c r="AW129" s="217" t="str">
        <f t="shared" si="100"/>
        <v/>
      </c>
      <c r="AX129" s="215" t="str">
        <f t="shared" si="101"/>
        <v/>
      </c>
      <c r="AY129" s="217" t="str">
        <f t="shared" si="102"/>
        <v/>
      </c>
      <c r="AZ129" s="217" t="str">
        <f t="shared" si="103"/>
        <v/>
      </c>
      <c r="BA129" s="215" t="str">
        <f t="shared" si="104"/>
        <v/>
      </c>
      <c r="BB129" s="217" t="str">
        <f t="shared" si="105"/>
        <v/>
      </c>
      <c r="BC129" s="217" t="str">
        <f t="shared" si="106"/>
        <v/>
      </c>
      <c r="BD129" s="215" t="str">
        <f t="shared" si="107"/>
        <v/>
      </c>
      <c r="BE129" s="217" t="str">
        <f t="shared" si="108"/>
        <v/>
      </c>
      <c r="BF129" s="217" t="str">
        <f t="shared" si="109"/>
        <v/>
      </c>
      <c r="BG129" s="215" t="str">
        <f t="shared" si="110"/>
        <v/>
      </c>
      <c r="BH129" s="217" t="str">
        <f t="shared" si="111"/>
        <v/>
      </c>
      <c r="BI129" s="217" t="str">
        <f t="shared" si="112"/>
        <v/>
      </c>
      <c r="BJ129" s="215" t="str">
        <f t="shared" si="113"/>
        <v/>
      </c>
      <c r="BK129" s="217" t="str">
        <f t="shared" si="114"/>
        <v/>
      </c>
      <c r="BL129" s="217" t="str">
        <f t="shared" si="115"/>
        <v/>
      </c>
    </row>
    <row r="130" spans="1:64" x14ac:dyDescent="0.25">
      <c r="A130" s="48"/>
      <c r="B130" s="54"/>
      <c r="C130" s="54"/>
      <c r="D130" s="54"/>
      <c r="E130" s="54"/>
      <c r="F130" s="54"/>
      <c r="G130" s="54"/>
      <c r="H130" s="54"/>
      <c r="I130" s="54"/>
      <c r="J130" s="54"/>
      <c r="K130" s="54"/>
      <c r="L130" s="2"/>
      <c r="M130" s="2"/>
      <c r="N130" s="2"/>
      <c r="O130" s="2"/>
      <c r="P130" s="2"/>
      <c r="Q130" s="2"/>
      <c r="R130" s="2"/>
      <c r="S130" s="259"/>
      <c r="T130" s="2"/>
      <c r="U130" s="264">
        <v>126</v>
      </c>
      <c r="V130" s="16" t="str">
        <f t="shared" si="94"/>
        <v/>
      </c>
      <c r="W130" s="16" t="str">
        <f t="shared" si="95"/>
        <v/>
      </c>
      <c r="X130" s="16" t="str">
        <f t="shared" si="65"/>
        <v/>
      </c>
      <c r="Y130" s="16" t="str">
        <f t="shared" si="66"/>
        <v/>
      </c>
      <c r="Z130" s="16" t="str">
        <f t="shared" si="67"/>
        <v/>
      </c>
      <c r="AA130" s="16" t="str">
        <f t="shared" si="96"/>
        <v/>
      </c>
      <c r="AB130" s="16" t="str">
        <f t="shared" si="97"/>
        <v/>
      </c>
      <c r="AC130" s="29" t="str">
        <f t="shared" si="68"/>
        <v/>
      </c>
      <c r="AD130" s="29" t="str">
        <f t="shared" si="69"/>
        <v/>
      </c>
      <c r="AE130" s="2"/>
      <c r="AF130" s="2"/>
      <c r="AG130" s="2"/>
      <c r="AH130" s="2"/>
      <c r="AI130" s="2"/>
      <c r="AJ130" s="2"/>
      <c r="AK130" s="2"/>
      <c r="AL130" s="2"/>
      <c r="AM130" s="2"/>
      <c r="AN130" s="2"/>
      <c r="AO130" s="2"/>
      <c r="AP130" s="2"/>
      <c r="AQ130" s="2"/>
      <c r="AU130" s="215" t="str">
        <f t="shared" si="98"/>
        <v/>
      </c>
      <c r="AV130" s="217" t="str">
        <f t="shared" si="99"/>
        <v/>
      </c>
      <c r="AW130" s="217" t="str">
        <f t="shared" si="100"/>
        <v/>
      </c>
      <c r="AX130" s="215" t="str">
        <f t="shared" si="101"/>
        <v/>
      </c>
      <c r="AY130" s="217" t="str">
        <f t="shared" si="102"/>
        <v/>
      </c>
      <c r="AZ130" s="217" t="str">
        <f t="shared" si="103"/>
        <v/>
      </c>
      <c r="BA130" s="215" t="str">
        <f t="shared" si="104"/>
        <v/>
      </c>
      <c r="BB130" s="217" t="str">
        <f t="shared" si="105"/>
        <v/>
      </c>
      <c r="BC130" s="217" t="str">
        <f t="shared" si="106"/>
        <v/>
      </c>
      <c r="BD130" s="215" t="str">
        <f t="shared" si="107"/>
        <v/>
      </c>
      <c r="BE130" s="217" t="str">
        <f t="shared" si="108"/>
        <v/>
      </c>
      <c r="BF130" s="217" t="str">
        <f t="shared" si="109"/>
        <v/>
      </c>
      <c r="BG130" s="215" t="str">
        <f t="shared" si="110"/>
        <v/>
      </c>
      <c r="BH130" s="217" t="str">
        <f t="shared" si="111"/>
        <v/>
      </c>
      <c r="BI130" s="217" t="str">
        <f t="shared" si="112"/>
        <v/>
      </c>
      <c r="BJ130" s="215" t="str">
        <f t="shared" si="113"/>
        <v/>
      </c>
      <c r="BK130" s="217" t="str">
        <f t="shared" si="114"/>
        <v/>
      </c>
      <c r="BL130" s="217" t="str">
        <f t="shared" si="115"/>
        <v/>
      </c>
    </row>
    <row r="131" spans="1:64" x14ac:dyDescent="0.25">
      <c r="A131" s="48"/>
      <c r="B131" s="54"/>
      <c r="C131" s="54"/>
      <c r="D131" s="54"/>
      <c r="E131" s="54"/>
      <c r="F131" s="54"/>
      <c r="G131" s="54"/>
      <c r="H131" s="54"/>
      <c r="I131" s="54"/>
      <c r="J131" s="54"/>
      <c r="K131" s="54"/>
      <c r="L131" s="2"/>
      <c r="M131" s="2"/>
      <c r="N131" s="2"/>
      <c r="O131" s="2"/>
      <c r="P131" s="2"/>
      <c r="Q131" s="2"/>
      <c r="R131" s="2"/>
      <c r="S131" s="259"/>
      <c r="T131" s="2"/>
      <c r="U131" s="264">
        <v>127</v>
      </c>
      <c r="V131" s="16" t="str">
        <f t="shared" si="94"/>
        <v/>
      </c>
      <c r="W131" s="16" t="str">
        <f t="shared" si="95"/>
        <v/>
      </c>
      <c r="X131" s="16" t="str">
        <f t="shared" si="65"/>
        <v/>
      </c>
      <c r="Y131" s="16" t="str">
        <f t="shared" si="66"/>
        <v/>
      </c>
      <c r="Z131" s="16" t="str">
        <f t="shared" si="67"/>
        <v/>
      </c>
      <c r="AA131" s="16" t="str">
        <f t="shared" si="96"/>
        <v/>
      </c>
      <c r="AB131" s="16" t="str">
        <f t="shared" si="97"/>
        <v/>
      </c>
      <c r="AC131" s="29" t="str">
        <f t="shared" si="68"/>
        <v/>
      </c>
      <c r="AD131" s="29" t="str">
        <f t="shared" si="69"/>
        <v/>
      </c>
      <c r="AE131" s="2"/>
      <c r="AF131" s="2"/>
      <c r="AG131" s="2"/>
      <c r="AH131" s="2"/>
      <c r="AI131" s="2"/>
      <c r="AJ131" s="2"/>
      <c r="AK131" s="2"/>
      <c r="AL131" s="2"/>
      <c r="AM131" s="2"/>
      <c r="AN131" s="2"/>
      <c r="AO131" s="2"/>
      <c r="AP131" s="2"/>
      <c r="AQ131" s="2"/>
      <c r="AU131" s="215" t="str">
        <f t="shared" si="98"/>
        <v/>
      </c>
      <c r="AV131" s="217" t="str">
        <f t="shared" si="99"/>
        <v/>
      </c>
      <c r="AW131" s="217" t="str">
        <f t="shared" si="100"/>
        <v/>
      </c>
      <c r="AX131" s="215" t="str">
        <f t="shared" si="101"/>
        <v/>
      </c>
      <c r="AY131" s="217" t="str">
        <f t="shared" si="102"/>
        <v/>
      </c>
      <c r="AZ131" s="217" t="str">
        <f t="shared" si="103"/>
        <v/>
      </c>
      <c r="BA131" s="215" t="str">
        <f t="shared" si="104"/>
        <v/>
      </c>
      <c r="BB131" s="217" t="str">
        <f t="shared" si="105"/>
        <v/>
      </c>
      <c r="BC131" s="217" t="str">
        <f t="shared" si="106"/>
        <v/>
      </c>
      <c r="BD131" s="215" t="str">
        <f t="shared" si="107"/>
        <v/>
      </c>
      <c r="BE131" s="217" t="str">
        <f t="shared" si="108"/>
        <v/>
      </c>
      <c r="BF131" s="217" t="str">
        <f t="shared" si="109"/>
        <v/>
      </c>
      <c r="BG131" s="215" t="str">
        <f t="shared" si="110"/>
        <v/>
      </c>
      <c r="BH131" s="217" t="str">
        <f t="shared" si="111"/>
        <v/>
      </c>
      <c r="BI131" s="217" t="str">
        <f t="shared" si="112"/>
        <v/>
      </c>
      <c r="BJ131" s="215" t="str">
        <f t="shared" si="113"/>
        <v/>
      </c>
      <c r="BK131" s="217" t="str">
        <f t="shared" si="114"/>
        <v/>
      </c>
      <c r="BL131" s="217" t="str">
        <f t="shared" si="115"/>
        <v/>
      </c>
    </row>
    <row r="132" spans="1:64" x14ac:dyDescent="0.25">
      <c r="A132" s="48"/>
      <c r="B132" s="54"/>
      <c r="C132" s="54"/>
      <c r="D132" s="54"/>
      <c r="E132" s="54"/>
      <c r="F132" s="54"/>
      <c r="G132" s="54"/>
      <c r="H132" s="54"/>
      <c r="I132" s="54"/>
      <c r="J132" s="54"/>
      <c r="K132" s="54"/>
      <c r="L132" s="2"/>
      <c r="M132" s="2"/>
      <c r="N132" s="2"/>
      <c r="O132" s="2"/>
      <c r="P132" s="2"/>
      <c r="Q132" s="2"/>
      <c r="R132" s="2"/>
      <c r="S132" s="259"/>
      <c r="T132" s="2"/>
      <c r="U132" s="264">
        <v>128</v>
      </c>
      <c r="V132" s="16" t="str">
        <f t="shared" si="94"/>
        <v/>
      </c>
      <c r="W132" s="16" t="str">
        <f t="shared" si="95"/>
        <v/>
      </c>
      <c r="X132" s="16" t="str">
        <f t="shared" si="65"/>
        <v/>
      </c>
      <c r="Y132" s="16" t="str">
        <f t="shared" si="66"/>
        <v/>
      </c>
      <c r="Z132" s="16" t="str">
        <f t="shared" si="67"/>
        <v/>
      </c>
      <c r="AA132" s="16" t="str">
        <f t="shared" si="96"/>
        <v/>
      </c>
      <c r="AB132" s="16" t="str">
        <f t="shared" si="97"/>
        <v/>
      </c>
      <c r="AC132" s="29" t="str">
        <f t="shared" si="68"/>
        <v/>
      </c>
      <c r="AD132" s="29" t="str">
        <f t="shared" si="69"/>
        <v/>
      </c>
      <c r="AE132" s="2"/>
      <c r="AF132" s="2"/>
      <c r="AG132" s="2"/>
      <c r="AH132" s="2"/>
      <c r="AI132" s="2"/>
      <c r="AJ132" s="2"/>
      <c r="AK132" s="2"/>
      <c r="AL132" s="2"/>
      <c r="AM132" s="2"/>
      <c r="AN132" s="2"/>
      <c r="AO132" s="2"/>
      <c r="AP132" s="2"/>
      <c r="AQ132" s="2"/>
      <c r="AU132" s="215" t="str">
        <f t="shared" si="98"/>
        <v/>
      </c>
      <c r="AV132" s="217" t="str">
        <f t="shared" si="99"/>
        <v/>
      </c>
      <c r="AW132" s="217" t="str">
        <f t="shared" si="100"/>
        <v/>
      </c>
      <c r="AX132" s="215" t="str">
        <f t="shared" si="101"/>
        <v/>
      </c>
      <c r="AY132" s="217" t="str">
        <f t="shared" si="102"/>
        <v/>
      </c>
      <c r="AZ132" s="217" t="str">
        <f t="shared" si="103"/>
        <v/>
      </c>
      <c r="BA132" s="215" t="str">
        <f t="shared" si="104"/>
        <v/>
      </c>
      <c r="BB132" s="217" t="str">
        <f t="shared" si="105"/>
        <v/>
      </c>
      <c r="BC132" s="217" t="str">
        <f t="shared" si="106"/>
        <v/>
      </c>
      <c r="BD132" s="215" t="str">
        <f t="shared" si="107"/>
        <v/>
      </c>
      <c r="BE132" s="217" t="str">
        <f t="shared" si="108"/>
        <v/>
      </c>
      <c r="BF132" s="217" t="str">
        <f t="shared" si="109"/>
        <v/>
      </c>
      <c r="BG132" s="215" t="str">
        <f t="shared" si="110"/>
        <v/>
      </c>
      <c r="BH132" s="217" t="str">
        <f t="shared" si="111"/>
        <v/>
      </c>
      <c r="BI132" s="217" t="str">
        <f t="shared" si="112"/>
        <v/>
      </c>
      <c r="BJ132" s="215" t="str">
        <f t="shared" si="113"/>
        <v/>
      </c>
      <c r="BK132" s="217" t="str">
        <f t="shared" si="114"/>
        <v/>
      </c>
      <c r="BL132" s="217" t="str">
        <f t="shared" si="115"/>
        <v/>
      </c>
    </row>
    <row r="133" spans="1:64" x14ac:dyDescent="0.25">
      <c r="A133" s="48"/>
      <c r="B133" s="54"/>
      <c r="C133" s="54"/>
      <c r="D133" s="54"/>
      <c r="E133" s="54"/>
      <c r="F133" s="54"/>
      <c r="G133" s="54"/>
      <c r="H133" s="54"/>
      <c r="I133" s="54"/>
      <c r="J133" s="54"/>
      <c r="K133" s="54"/>
      <c r="L133" s="2"/>
      <c r="M133" s="2"/>
      <c r="N133" s="2"/>
      <c r="O133" s="2"/>
      <c r="P133" s="2"/>
      <c r="Q133" s="2"/>
      <c r="R133" s="2"/>
      <c r="S133" s="259"/>
      <c r="T133" s="2"/>
      <c r="U133" s="264">
        <v>129</v>
      </c>
      <c r="V133" s="16" t="str">
        <f t="shared" si="94"/>
        <v/>
      </c>
      <c r="W133" s="16" t="str">
        <f t="shared" si="95"/>
        <v/>
      </c>
      <c r="X133" s="16" t="str">
        <f t="shared" ref="X133:X196" si="116">IF($C$9&gt;=$U133,$V133^2,"")</f>
        <v/>
      </c>
      <c r="Y133" s="16" t="str">
        <f t="shared" ref="Y133:Y196" si="117">IF($C$9&gt;=$U133,$W133^2,"")</f>
        <v/>
      </c>
      <c r="Z133" s="16" t="str">
        <f t="shared" ref="Z133:Z196" si="118">IF($C$9&gt;=$U133,$V133*$W133,"")</f>
        <v/>
      </c>
      <c r="AA133" s="16" t="str">
        <f t="shared" si="96"/>
        <v/>
      </c>
      <c r="AB133" s="16" t="str">
        <f t="shared" si="97"/>
        <v/>
      </c>
      <c r="AC133" s="29" t="str">
        <f t="shared" ref="AC133:AC196" si="119">IF($C$9&gt;=$U133,(-$Z$318/$C$9+($Z$322*$V$311--$Z$321*$V$314)/($V$311*$V$312-$V$314^2)*$AA133+(-$Z$321*$V$312-$Z$322*$V$314)/($V$311*$V$312-$V$314^2)*$AB133),"")</f>
        <v/>
      </c>
      <c r="AD133" s="29" t="str">
        <f t="shared" ref="AD133:AD196" si="120">IF($C$9&gt;=$U133,((($Z$319/$C$9+$Z$323*-$AB133/$V$313)^2+($Z$320/$C$9+$Z$323*$AA133/$V$313)^2)^(1/2)),"")</f>
        <v/>
      </c>
      <c r="AE133" s="2"/>
      <c r="AF133" s="2"/>
      <c r="AG133" s="2"/>
      <c r="AH133" s="2"/>
      <c r="AI133" s="2"/>
      <c r="AJ133" s="2"/>
      <c r="AK133" s="2"/>
      <c r="AL133" s="2"/>
      <c r="AM133" s="2"/>
      <c r="AN133" s="2"/>
      <c r="AO133" s="2"/>
      <c r="AP133" s="2"/>
      <c r="AQ133" s="2"/>
      <c r="AU133" s="215" t="str">
        <f t="shared" si="98"/>
        <v/>
      </c>
      <c r="AV133" s="217" t="str">
        <f t="shared" si="99"/>
        <v/>
      </c>
      <c r="AW133" s="217" t="str">
        <f t="shared" si="100"/>
        <v/>
      </c>
      <c r="AX133" s="215" t="str">
        <f t="shared" si="101"/>
        <v/>
      </c>
      <c r="AY133" s="217" t="str">
        <f t="shared" si="102"/>
        <v/>
      </c>
      <c r="AZ133" s="217" t="str">
        <f t="shared" si="103"/>
        <v/>
      </c>
      <c r="BA133" s="215" t="str">
        <f t="shared" si="104"/>
        <v/>
      </c>
      <c r="BB133" s="217" t="str">
        <f t="shared" si="105"/>
        <v/>
      </c>
      <c r="BC133" s="217" t="str">
        <f t="shared" si="106"/>
        <v/>
      </c>
      <c r="BD133" s="215" t="str">
        <f t="shared" si="107"/>
        <v/>
      </c>
      <c r="BE133" s="217" t="str">
        <f t="shared" si="108"/>
        <v/>
      </c>
      <c r="BF133" s="217" t="str">
        <f t="shared" si="109"/>
        <v/>
      </c>
      <c r="BG133" s="215" t="str">
        <f t="shared" si="110"/>
        <v/>
      </c>
      <c r="BH133" s="217" t="str">
        <f t="shared" si="111"/>
        <v/>
      </c>
      <c r="BI133" s="217" t="str">
        <f t="shared" si="112"/>
        <v/>
      </c>
      <c r="BJ133" s="215" t="str">
        <f t="shared" si="113"/>
        <v/>
      </c>
      <c r="BK133" s="217" t="str">
        <f t="shared" si="114"/>
        <v/>
      </c>
      <c r="BL133" s="217" t="str">
        <f t="shared" si="115"/>
        <v/>
      </c>
    </row>
    <row r="134" spans="1:64" x14ac:dyDescent="0.25">
      <c r="A134" s="48"/>
      <c r="B134" s="54"/>
      <c r="C134" s="54"/>
      <c r="D134" s="54"/>
      <c r="E134" s="54"/>
      <c r="F134" s="54"/>
      <c r="G134" s="54"/>
      <c r="H134" s="54"/>
      <c r="I134" s="54"/>
      <c r="J134" s="54"/>
      <c r="K134" s="54"/>
      <c r="L134" s="2"/>
      <c r="M134" s="2"/>
      <c r="N134" s="2"/>
      <c r="O134" s="2"/>
      <c r="P134" s="2"/>
      <c r="Q134" s="2"/>
      <c r="R134" s="2"/>
      <c r="S134" s="259"/>
      <c r="T134" s="2"/>
      <c r="U134" s="264">
        <v>130</v>
      </c>
      <c r="V134" s="16" t="str">
        <f t="shared" si="94"/>
        <v/>
      </c>
      <c r="W134" s="16" t="str">
        <f t="shared" si="95"/>
        <v/>
      </c>
      <c r="X134" s="16" t="str">
        <f t="shared" si="116"/>
        <v/>
      </c>
      <c r="Y134" s="16" t="str">
        <f t="shared" si="117"/>
        <v/>
      </c>
      <c r="Z134" s="16" t="str">
        <f t="shared" si="118"/>
        <v/>
      </c>
      <c r="AA134" s="16" t="str">
        <f t="shared" si="96"/>
        <v/>
      </c>
      <c r="AB134" s="16" t="str">
        <f t="shared" si="97"/>
        <v/>
      </c>
      <c r="AC134" s="29" t="str">
        <f t="shared" si="119"/>
        <v/>
      </c>
      <c r="AD134" s="29" t="str">
        <f t="shared" si="120"/>
        <v/>
      </c>
      <c r="AE134" s="2"/>
      <c r="AF134" s="2"/>
      <c r="AG134" s="2"/>
      <c r="AH134" s="2"/>
      <c r="AI134" s="2"/>
      <c r="AJ134" s="2"/>
      <c r="AK134" s="2"/>
      <c r="AL134" s="2"/>
      <c r="AM134" s="2"/>
      <c r="AN134" s="2"/>
      <c r="AO134" s="2"/>
      <c r="AP134" s="2"/>
      <c r="AQ134" s="2"/>
      <c r="AU134" s="215" t="str">
        <f t="shared" si="98"/>
        <v/>
      </c>
      <c r="AV134" s="217" t="str">
        <f t="shared" si="99"/>
        <v/>
      </c>
      <c r="AW134" s="217" t="str">
        <f t="shared" si="100"/>
        <v/>
      </c>
      <c r="AX134" s="215" t="str">
        <f t="shared" si="101"/>
        <v/>
      </c>
      <c r="AY134" s="217" t="str">
        <f t="shared" si="102"/>
        <v/>
      </c>
      <c r="AZ134" s="217" t="str">
        <f t="shared" si="103"/>
        <v/>
      </c>
      <c r="BA134" s="215" t="str">
        <f t="shared" si="104"/>
        <v/>
      </c>
      <c r="BB134" s="217" t="str">
        <f t="shared" si="105"/>
        <v/>
      </c>
      <c r="BC134" s="217" t="str">
        <f t="shared" si="106"/>
        <v/>
      </c>
      <c r="BD134" s="215" t="str">
        <f t="shared" si="107"/>
        <v/>
      </c>
      <c r="BE134" s="217" t="str">
        <f t="shared" si="108"/>
        <v/>
      </c>
      <c r="BF134" s="217" t="str">
        <f t="shared" si="109"/>
        <v/>
      </c>
      <c r="BG134" s="215" t="str">
        <f t="shared" si="110"/>
        <v/>
      </c>
      <c r="BH134" s="217" t="str">
        <f t="shared" si="111"/>
        <v/>
      </c>
      <c r="BI134" s="217" t="str">
        <f t="shared" si="112"/>
        <v/>
      </c>
      <c r="BJ134" s="215" t="str">
        <f t="shared" si="113"/>
        <v/>
      </c>
      <c r="BK134" s="217" t="str">
        <f t="shared" si="114"/>
        <v/>
      </c>
      <c r="BL134" s="217" t="str">
        <f t="shared" si="115"/>
        <v/>
      </c>
    </row>
    <row r="135" spans="1:64" x14ac:dyDescent="0.25">
      <c r="A135" s="48"/>
      <c r="B135" s="54"/>
      <c r="C135" s="54"/>
      <c r="D135" s="54"/>
      <c r="E135" s="54"/>
      <c r="F135" s="54"/>
      <c r="G135" s="54"/>
      <c r="H135" s="54"/>
      <c r="I135" s="54"/>
      <c r="J135" s="54"/>
      <c r="K135" s="54"/>
      <c r="L135" s="2"/>
      <c r="M135" s="2"/>
      <c r="N135" s="2"/>
      <c r="O135" s="2"/>
      <c r="P135" s="2"/>
      <c r="Q135" s="2"/>
      <c r="R135" s="2"/>
      <c r="S135" s="259"/>
      <c r="T135" s="2"/>
      <c r="U135" s="264">
        <v>131</v>
      </c>
      <c r="V135" s="16" t="str">
        <f t="shared" si="94"/>
        <v/>
      </c>
      <c r="W135" s="16" t="str">
        <f t="shared" si="95"/>
        <v/>
      </c>
      <c r="X135" s="16" t="str">
        <f t="shared" si="116"/>
        <v/>
      </c>
      <c r="Y135" s="16" t="str">
        <f t="shared" si="117"/>
        <v/>
      </c>
      <c r="Z135" s="16" t="str">
        <f t="shared" si="118"/>
        <v/>
      </c>
      <c r="AA135" s="16" t="str">
        <f t="shared" si="96"/>
        <v/>
      </c>
      <c r="AB135" s="16" t="str">
        <f t="shared" si="97"/>
        <v/>
      </c>
      <c r="AC135" s="29" t="str">
        <f t="shared" si="119"/>
        <v/>
      </c>
      <c r="AD135" s="29" t="str">
        <f t="shared" si="120"/>
        <v/>
      </c>
      <c r="AE135" s="2"/>
      <c r="AF135" s="2"/>
      <c r="AG135" s="2"/>
      <c r="AH135" s="2"/>
      <c r="AI135" s="2"/>
      <c r="AJ135" s="2"/>
      <c r="AK135" s="2"/>
      <c r="AL135" s="2"/>
      <c r="AM135" s="2"/>
      <c r="AN135" s="2"/>
      <c r="AO135" s="2"/>
      <c r="AP135" s="2"/>
      <c r="AQ135" s="2"/>
      <c r="AU135" s="215" t="str">
        <f t="shared" si="98"/>
        <v/>
      </c>
      <c r="AV135" s="217" t="str">
        <f t="shared" si="99"/>
        <v/>
      </c>
      <c r="AW135" s="217" t="str">
        <f t="shared" si="100"/>
        <v/>
      </c>
      <c r="AX135" s="215" t="str">
        <f t="shared" si="101"/>
        <v/>
      </c>
      <c r="AY135" s="217" t="str">
        <f t="shared" si="102"/>
        <v/>
      </c>
      <c r="AZ135" s="217" t="str">
        <f t="shared" si="103"/>
        <v/>
      </c>
      <c r="BA135" s="215" t="str">
        <f t="shared" si="104"/>
        <v/>
      </c>
      <c r="BB135" s="217" t="str">
        <f t="shared" si="105"/>
        <v/>
      </c>
      <c r="BC135" s="217" t="str">
        <f t="shared" si="106"/>
        <v/>
      </c>
      <c r="BD135" s="215" t="str">
        <f t="shared" si="107"/>
        <v/>
      </c>
      <c r="BE135" s="217" t="str">
        <f t="shared" si="108"/>
        <v/>
      </c>
      <c r="BF135" s="217" t="str">
        <f t="shared" si="109"/>
        <v/>
      </c>
      <c r="BG135" s="215" t="str">
        <f t="shared" si="110"/>
        <v/>
      </c>
      <c r="BH135" s="217" t="str">
        <f t="shared" si="111"/>
        <v/>
      </c>
      <c r="BI135" s="217" t="str">
        <f t="shared" si="112"/>
        <v/>
      </c>
      <c r="BJ135" s="215" t="str">
        <f t="shared" si="113"/>
        <v/>
      </c>
      <c r="BK135" s="217" t="str">
        <f t="shared" si="114"/>
        <v/>
      </c>
      <c r="BL135" s="217" t="str">
        <f t="shared" si="115"/>
        <v/>
      </c>
    </row>
    <row r="136" spans="1:64" x14ac:dyDescent="0.25">
      <c r="A136" s="48"/>
      <c r="B136" s="54"/>
      <c r="C136" s="54"/>
      <c r="D136" s="54"/>
      <c r="E136" s="54"/>
      <c r="F136" s="54"/>
      <c r="G136" s="54"/>
      <c r="H136" s="54"/>
      <c r="I136" s="54"/>
      <c r="J136" s="54"/>
      <c r="K136" s="54"/>
      <c r="L136" s="2"/>
      <c r="M136" s="2"/>
      <c r="N136" s="2"/>
      <c r="O136" s="2"/>
      <c r="P136" s="2"/>
      <c r="Q136" s="2"/>
      <c r="R136" s="2"/>
      <c r="S136" s="259"/>
      <c r="T136" s="2"/>
      <c r="U136" s="264">
        <v>132</v>
      </c>
      <c r="V136" s="16" t="str">
        <f t="shared" si="94"/>
        <v/>
      </c>
      <c r="W136" s="16" t="str">
        <f t="shared" si="95"/>
        <v/>
      </c>
      <c r="X136" s="16" t="str">
        <f t="shared" si="116"/>
        <v/>
      </c>
      <c r="Y136" s="16" t="str">
        <f t="shared" si="117"/>
        <v/>
      </c>
      <c r="Z136" s="16" t="str">
        <f t="shared" si="118"/>
        <v/>
      </c>
      <c r="AA136" s="16" t="str">
        <f t="shared" si="96"/>
        <v/>
      </c>
      <c r="AB136" s="16" t="str">
        <f t="shared" si="97"/>
        <v/>
      </c>
      <c r="AC136" s="29" t="str">
        <f t="shared" si="119"/>
        <v/>
      </c>
      <c r="AD136" s="29" t="str">
        <f t="shared" si="120"/>
        <v/>
      </c>
      <c r="AE136" s="2"/>
      <c r="AF136" s="2"/>
      <c r="AG136" s="2"/>
      <c r="AH136" s="2"/>
      <c r="AI136" s="2"/>
      <c r="AJ136" s="2"/>
      <c r="AK136" s="2"/>
      <c r="AL136" s="2"/>
      <c r="AM136" s="2"/>
      <c r="AN136" s="2"/>
      <c r="AO136" s="2"/>
      <c r="AP136" s="2"/>
      <c r="AQ136" s="2"/>
      <c r="AU136" s="215" t="str">
        <f t="shared" si="98"/>
        <v/>
      </c>
      <c r="AV136" s="217" t="str">
        <f t="shared" si="99"/>
        <v/>
      </c>
      <c r="AW136" s="217" t="str">
        <f t="shared" si="100"/>
        <v/>
      </c>
      <c r="AX136" s="215" t="str">
        <f t="shared" si="101"/>
        <v/>
      </c>
      <c r="AY136" s="217" t="str">
        <f t="shared" si="102"/>
        <v/>
      </c>
      <c r="AZ136" s="217" t="str">
        <f t="shared" si="103"/>
        <v/>
      </c>
      <c r="BA136" s="215" t="str">
        <f t="shared" si="104"/>
        <v/>
      </c>
      <c r="BB136" s="217" t="str">
        <f t="shared" si="105"/>
        <v/>
      </c>
      <c r="BC136" s="217" t="str">
        <f t="shared" si="106"/>
        <v/>
      </c>
      <c r="BD136" s="215" t="str">
        <f t="shared" si="107"/>
        <v/>
      </c>
      <c r="BE136" s="217" t="str">
        <f t="shared" si="108"/>
        <v/>
      </c>
      <c r="BF136" s="217" t="str">
        <f t="shared" si="109"/>
        <v/>
      </c>
      <c r="BG136" s="215" t="str">
        <f t="shared" si="110"/>
        <v/>
      </c>
      <c r="BH136" s="217" t="str">
        <f t="shared" si="111"/>
        <v/>
      </c>
      <c r="BI136" s="217" t="str">
        <f t="shared" si="112"/>
        <v/>
      </c>
      <c r="BJ136" s="215" t="str">
        <f t="shared" si="113"/>
        <v/>
      </c>
      <c r="BK136" s="217" t="str">
        <f t="shared" si="114"/>
        <v/>
      </c>
      <c r="BL136" s="217" t="str">
        <f t="shared" si="115"/>
        <v/>
      </c>
    </row>
    <row r="137" spans="1:64" x14ac:dyDescent="0.25">
      <c r="A137" s="48"/>
      <c r="B137" s="54"/>
      <c r="C137" s="54"/>
      <c r="D137" s="54"/>
      <c r="E137" s="54"/>
      <c r="F137" s="54"/>
      <c r="G137" s="54"/>
      <c r="H137" s="54"/>
      <c r="I137" s="54"/>
      <c r="J137" s="54"/>
      <c r="K137" s="54"/>
      <c r="L137" s="2"/>
      <c r="M137" s="2"/>
      <c r="N137" s="2"/>
      <c r="O137" s="2"/>
      <c r="P137" s="2"/>
      <c r="Q137" s="2"/>
      <c r="R137" s="2"/>
      <c r="S137" s="259"/>
      <c r="T137" s="2"/>
      <c r="U137" s="264">
        <v>133</v>
      </c>
      <c r="V137" s="16" t="str">
        <f t="shared" ref="V137:V154" si="121">IF($C$9&gt;=$U137,$I45+0.000001-$V$310,"")</f>
        <v/>
      </c>
      <c r="W137" s="16" t="str">
        <f t="shared" ref="W137:W154" si="122">IF($C$9&gt;=$U137,$H45+0.000001-$V$309,"")</f>
        <v/>
      </c>
      <c r="X137" s="16" t="str">
        <f t="shared" si="116"/>
        <v/>
      </c>
      <c r="Y137" s="16" t="str">
        <f t="shared" si="117"/>
        <v/>
      </c>
      <c r="Z137" s="16" t="str">
        <f t="shared" si="118"/>
        <v/>
      </c>
      <c r="AA137" s="16" t="str">
        <f t="shared" ref="AA137:AA154" si="123">IF($C$9&gt;=$U137,$H45-$V$309,"")</f>
        <v/>
      </c>
      <c r="AB137" s="16" t="str">
        <f t="shared" ref="AB137:AB154" si="124">IF($C$9&gt;=$U137,$I45-$V$310,"")</f>
        <v/>
      </c>
      <c r="AC137" s="29" t="str">
        <f t="shared" si="119"/>
        <v/>
      </c>
      <c r="AD137" s="29" t="str">
        <f t="shared" si="120"/>
        <v/>
      </c>
      <c r="AE137" s="2"/>
      <c r="AF137" s="2"/>
      <c r="AG137" s="2"/>
      <c r="AH137" s="2"/>
      <c r="AI137" s="2"/>
      <c r="AJ137" s="2"/>
      <c r="AK137" s="2"/>
      <c r="AL137" s="2"/>
      <c r="AM137" s="2"/>
      <c r="AN137" s="2"/>
      <c r="AO137" s="2"/>
      <c r="AP137" s="2"/>
      <c r="AQ137" s="2"/>
      <c r="AU137" s="215" t="str">
        <f t="shared" si="98"/>
        <v/>
      </c>
      <c r="AV137" s="217" t="str">
        <f t="shared" si="99"/>
        <v/>
      </c>
      <c r="AW137" s="217" t="str">
        <f t="shared" si="100"/>
        <v/>
      </c>
      <c r="AX137" s="215" t="str">
        <f t="shared" si="101"/>
        <v/>
      </c>
      <c r="AY137" s="217" t="str">
        <f t="shared" si="102"/>
        <v/>
      </c>
      <c r="AZ137" s="217" t="str">
        <f t="shared" si="103"/>
        <v/>
      </c>
      <c r="BA137" s="215" t="str">
        <f t="shared" si="104"/>
        <v/>
      </c>
      <c r="BB137" s="217" t="str">
        <f t="shared" si="105"/>
        <v/>
      </c>
      <c r="BC137" s="217" t="str">
        <f t="shared" si="106"/>
        <v/>
      </c>
      <c r="BD137" s="215" t="str">
        <f t="shared" si="107"/>
        <v/>
      </c>
      <c r="BE137" s="217" t="str">
        <f t="shared" si="108"/>
        <v/>
      </c>
      <c r="BF137" s="217" t="str">
        <f t="shared" si="109"/>
        <v/>
      </c>
      <c r="BG137" s="215" t="str">
        <f t="shared" si="110"/>
        <v/>
      </c>
      <c r="BH137" s="217" t="str">
        <f t="shared" si="111"/>
        <v/>
      </c>
      <c r="BI137" s="217" t="str">
        <f t="shared" si="112"/>
        <v/>
      </c>
      <c r="BJ137" s="215" t="str">
        <f t="shared" si="113"/>
        <v/>
      </c>
      <c r="BK137" s="217" t="str">
        <f t="shared" si="114"/>
        <v/>
      </c>
      <c r="BL137" s="217" t="str">
        <f t="shared" si="115"/>
        <v/>
      </c>
    </row>
    <row r="138" spans="1:64" x14ac:dyDescent="0.25">
      <c r="A138" s="48"/>
      <c r="B138" s="54"/>
      <c r="C138" s="54"/>
      <c r="D138" s="54"/>
      <c r="E138" s="54"/>
      <c r="F138" s="54"/>
      <c r="G138" s="54"/>
      <c r="H138" s="54"/>
      <c r="I138" s="54"/>
      <c r="J138" s="54"/>
      <c r="K138" s="54"/>
      <c r="L138" s="2"/>
      <c r="M138" s="2"/>
      <c r="N138" s="2"/>
      <c r="O138" s="2"/>
      <c r="P138" s="2"/>
      <c r="Q138" s="2"/>
      <c r="R138" s="2"/>
      <c r="S138" s="259"/>
      <c r="T138" s="2"/>
      <c r="U138" s="264">
        <v>134</v>
      </c>
      <c r="V138" s="16" t="str">
        <f t="shared" si="121"/>
        <v/>
      </c>
      <c r="W138" s="16" t="str">
        <f t="shared" si="122"/>
        <v/>
      </c>
      <c r="X138" s="16" t="str">
        <f t="shared" si="116"/>
        <v/>
      </c>
      <c r="Y138" s="16" t="str">
        <f t="shared" si="117"/>
        <v/>
      </c>
      <c r="Z138" s="16" t="str">
        <f t="shared" si="118"/>
        <v/>
      </c>
      <c r="AA138" s="16" t="str">
        <f t="shared" si="123"/>
        <v/>
      </c>
      <c r="AB138" s="16" t="str">
        <f t="shared" si="124"/>
        <v/>
      </c>
      <c r="AC138" s="29" t="str">
        <f t="shared" si="119"/>
        <v/>
      </c>
      <c r="AD138" s="29" t="str">
        <f t="shared" si="120"/>
        <v/>
      </c>
      <c r="AE138" s="2"/>
      <c r="AF138" s="2"/>
      <c r="AG138" s="2"/>
      <c r="AH138" s="2"/>
      <c r="AI138" s="2"/>
      <c r="AJ138" s="2"/>
      <c r="AK138" s="2"/>
      <c r="AL138" s="2"/>
      <c r="AM138" s="2"/>
      <c r="AN138" s="2"/>
      <c r="AO138" s="2"/>
      <c r="AP138" s="2"/>
      <c r="AQ138" s="2"/>
      <c r="AU138" s="215" t="str">
        <f t="shared" si="98"/>
        <v/>
      </c>
      <c r="AV138" s="217" t="str">
        <f t="shared" si="99"/>
        <v/>
      </c>
      <c r="AW138" s="217" t="str">
        <f t="shared" si="100"/>
        <v/>
      </c>
      <c r="AX138" s="215" t="str">
        <f t="shared" si="101"/>
        <v/>
      </c>
      <c r="AY138" s="217" t="str">
        <f t="shared" si="102"/>
        <v/>
      </c>
      <c r="AZ138" s="217" t="str">
        <f t="shared" si="103"/>
        <v/>
      </c>
      <c r="BA138" s="215" t="str">
        <f t="shared" si="104"/>
        <v/>
      </c>
      <c r="BB138" s="217" t="str">
        <f t="shared" si="105"/>
        <v/>
      </c>
      <c r="BC138" s="217" t="str">
        <f t="shared" si="106"/>
        <v/>
      </c>
      <c r="BD138" s="215" t="str">
        <f t="shared" si="107"/>
        <v/>
      </c>
      <c r="BE138" s="217" t="str">
        <f t="shared" si="108"/>
        <v/>
      </c>
      <c r="BF138" s="217" t="str">
        <f t="shared" si="109"/>
        <v/>
      </c>
      <c r="BG138" s="215" t="str">
        <f t="shared" si="110"/>
        <v/>
      </c>
      <c r="BH138" s="217" t="str">
        <f t="shared" si="111"/>
        <v/>
      </c>
      <c r="BI138" s="217" t="str">
        <f t="shared" si="112"/>
        <v/>
      </c>
      <c r="BJ138" s="215" t="str">
        <f t="shared" si="113"/>
        <v/>
      </c>
      <c r="BK138" s="217" t="str">
        <f t="shared" si="114"/>
        <v/>
      </c>
      <c r="BL138" s="217" t="str">
        <f t="shared" si="115"/>
        <v/>
      </c>
    </row>
    <row r="139" spans="1:64" x14ac:dyDescent="0.25">
      <c r="A139" s="48"/>
      <c r="B139" s="54"/>
      <c r="C139" s="54"/>
      <c r="D139" s="54"/>
      <c r="E139" s="54"/>
      <c r="F139" s="54"/>
      <c r="G139" s="54"/>
      <c r="H139" s="54"/>
      <c r="I139" s="54"/>
      <c r="J139" s="54"/>
      <c r="K139" s="54"/>
      <c r="L139" s="2"/>
      <c r="M139" s="2"/>
      <c r="N139" s="2"/>
      <c r="O139" s="2"/>
      <c r="P139" s="2"/>
      <c r="Q139" s="2"/>
      <c r="R139" s="2"/>
      <c r="S139" s="259"/>
      <c r="T139" s="2"/>
      <c r="U139" s="264">
        <v>135</v>
      </c>
      <c r="V139" s="16" t="str">
        <f t="shared" si="121"/>
        <v/>
      </c>
      <c r="W139" s="16" t="str">
        <f t="shared" si="122"/>
        <v/>
      </c>
      <c r="X139" s="16" t="str">
        <f t="shared" si="116"/>
        <v/>
      </c>
      <c r="Y139" s="16" t="str">
        <f t="shared" si="117"/>
        <v/>
      </c>
      <c r="Z139" s="16" t="str">
        <f t="shared" si="118"/>
        <v/>
      </c>
      <c r="AA139" s="16" t="str">
        <f t="shared" si="123"/>
        <v/>
      </c>
      <c r="AB139" s="16" t="str">
        <f t="shared" si="124"/>
        <v/>
      </c>
      <c r="AC139" s="29" t="str">
        <f t="shared" si="119"/>
        <v/>
      </c>
      <c r="AD139" s="29" t="str">
        <f t="shared" si="120"/>
        <v/>
      </c>
      <c r="AE139" s="2"/>
      <c r="AF139" s="2"/>
      <c r="AG139" s="2"/>
      <c r="AH139" s="2"/>
      <c r="AI139" s="2"/>
      <c r="AJ139" s="2"/>
      <c r="AK139" s="2"/>
      <c r="AL139" s="2"/>
      <c r="AM139" s="2"/>
      <c r="AN139" s="2"/>
      <c r="AO139" s="2"/>
      <c r="AP139" s="2"/>
      <c r="AQ139" s="2"/>
      <c r="AU139" s="215" t="str">
        <f t="shared" si="98"/>
        <v/>
      </c>
      <c r="AV139" s="217" t="str">
        <f t="shared" si="99"/>
        <v/>
      </c>
      <c r="AW139" s="217" t="str">
        <f t="shared" si="100"/>
        <v/>
      </c>
      <c r="AX139" s="215" t="str">
        <f t="shared" si="101"/>
        <v/>
      </c>
      <c r="AY139" s="217" t="str">
        <f t="shared" si="102"/>
        <v/>
      </c>
      <c r="AZ139" s="217" t="str">
        <f t="shared" si="103"/>
        <v/>
      </c>
      <c r="BA139" s="215" t="str">
        <f t="shared" si="104"/>
        <v/>
      </c>
      <c r="BB139" s="217" t="str">
        <f t="shared" si="105"/>
        <v/>
      </c>
      <c r="BC139" s="217" t="str">
        <f t="shared" si="106"/>
        <v/>
      </c>
      <c r="BD139" s="215" t="str">
        <f t="shared" si="107"/>
        <v/>
      </c>
      <c r="BE139" s="217" t="str">
        <f t="shared" si="108"/>
        <v/>
      </c>
      <c r="BF139" s="217" t="str">
        <f t="shared" si="109"/>
        <v/>
      </c>
      <c r="BG139" s="215" t="str">
        <f t="shared" si="110"/>
        <v/>
      </c>
      <c r="BH139" s="217" t="str">
        <f t="shared" si="111"/>
        <v/>
      </c>
      <c r="BI139" s="217" t="str">
        <f t="shared" si="112"/>
        <v/>
      </c>
      <c r="BJ139" s="215" t="str">
        <f t="shared" si="113"/>
        <v/>
      </c>
      <c r="BK139" s="217" t="str">
        <f t="shared" si="114"/>
        <v/>
      </c>
      <c r="BL139" s="217" t="str">
        <f t="shared" si="115"/>
        <v/>
      </c>
    </row>
    <row r="140" spans="1:64" x14ac:dyDescent="0.25">
      <c r="A140" s="48"/>
      <c r="B140" s="54"/>
      <c r="C140" s="54"/>
      <c r="D140" s="54"/>
      <c r="E140" s="54"/>
      <c r="F140" s="54"/>
      <c r="G140" s="54"/>
      <c r="H140" s="54"/>
      <c r="I140" s="54"/>
      <c r="J140" s="54"/>
      <c r="K140" s="54"/>
      <c r="L140" s="2"/>
      <c r="M140" s="2"/>
      <c r="N140" s="2"/>
      <c r="O140" s="2"/>
      <c r="P140" s="2"/>
      <c r="Q140" s="2"/>
      <c r="R140" s="2"/>
      <c r="S140" s="259"/>
      <c r="T140" s="2"/>
      <c r="U140" s="264">
        <v>136</v>
      </c>
      <c r="V140" s="16" t="str">
        <f t="shared" si="121"/>
        <v/>
      </c>
      <c r="W140" s="16" t="str">
        <f t="shared" si="122"/>
        <v/>
      </c>
      <c r="X140" s="16" t="str">
        <f t="shared" si="116"/>
        <v/>
      </c>
      <c r="Y140" s="16" t="str">
        <f t="shared" si="117"/>
        <v/>
      </c>
      <c r="Z140" s="16" t="str">
        <f t="shared" si="118"/>
        <v/>
      </c>
      <c r="AA140" s="16" t="str">
        <f t="shared" si="123"/>
        <v/>
      </c>
      <c r="AB140" s="16" t="str">
        <f t="shared" si="124"/>
        <v/>
      </c>
      <c r="AC140" s="29" t="str">
        <f t="shared" si="119"/>
        <v/>
      </c>
      <c r="AD140" s="29" t="str">
        <f t="shared" si="120"/>
        <v/>
      </c>
      <c r="AE140" s="2"/>
      <c r="AF140" s="2"/>
      <c r="AG140" s="2"/>
      <c r="AH140" s="2"/>
      <c r="AI140" s="2"/>
      <c r="AJ140" s="2"/>
      <c r="AK140" s="2"/>
      <c r="AL140" s="2"/>
      <c r="AM140" s="2"/>
      <c r="AN140" s="2"/>
      <c r="AO140" s="2"/>
      <c r="AP140" s="2"/>
      <c r="AQ140" s="2"/>
      <c r="AU140" s="215" t="str">
        <f t="shared" si="98"/>
        <v/>
      </c>
      <c r="AV140" s="221" t="str">
        <f t="shared" si="99"/>
        <v/>
      </c>
      <c r="AW140" s="221" t="str">
        <f t="shared" si="100"/>
        <v/>
      </c>
      <c r="AX140" s="215" t="str">
        <f t="shared" si="101"/>
        <v/>
      </c>
      <c r="AY140" s="221" t="str">
        <f t="shared" si="102"/>
        <v/>
      </c>
      <c r="AZ140" s="221" t="str">
        <f t="shared" si="103"/>
        <v/>
      </c>
      <c r="BA140" s="215" t="str">
        <f t="shared" si="104"/>
        <v/>
      </c>
      <c r="BB140" s="221" t="str">
        <f t="shared" si="105"/>
        <v/>
      </c>
      <c r="BC140" s="221" t="str">
        <f t="shared" si="106"/>
        <v/>
      </c>
      <c r="BD140" s="215" t="str">
        <f t="shared" si="107"/>
        <v/>
      </c>
      <c r="BE140" s="221" t="str">
        <f t="shared" si="108"/>
        <v/>
      </c>
      <c r="BF140" s="221" t="str">
        <f t="shared" si="109"/>
        <v/>
      </c>
      <c r="BG140" s="215" t="str">
        <f t="shared" si="110"/>
        <v/>
      </c>
      <c r="BH140" s="221" t="str">
        <f t="shared" si="111"/>
        <v/>
      </c>
      <c r="BI140" s="221" t="str">
        <f t="shared" si="112"/>
        <v/>
      </c>
      <c r="BJ140" s="215" t="str">
        <f t="shared" si="113"/>
        <v/>
      </c>
      <c r="BK140" s="221" t="str">
        <f t="shared" si="114"/>
        <v/>
      </c>
      <c r="BL140" s="221" t="str">
        <f t="shared" si="115"/>
        <v/>
      </c>
    </row>
    <row r="141" spans="1:64" x14ac:dyDescent="0.25">
      <c r="A141" s="48"/>
      <c r="B141" s="58" t="s">
        <v>254</v>
      </c>
      <c r="C141" s="59"/>
      <c r="D141" s="48"/>
      <c r="E141" s="58" t="s">
        <v>254</v>
      </c>
      <c r="F141" s="59"/>
      <c r="G141" s="48"/>
      <c r="H141" s="58" t="s">
        <v>254</v>
      </c>
      <c r="I141" s="59"/>
      <c r="J141" s="48"/>
      <c r="K141" s="58" t="s">
        <v>254</v>
      </c>
      <c r="L141" s="59"/>
      <c r="M141" s="48"/>
      <c r="N141" s="58" t="s">
        <v>254</v>
      </c>
      <c r="O141" s="59"/>
      <c r="P141" s="48"/>
      <c r="Q141" s="58" t="s">
        <v>254</v>
      </c>
      <c r="R141" s="59"/>
      <c r="S141" s="259"/>
      <c r="T141" s="2"/>
      <c r="U141" s="264">
        <v>137</v>
      </c>
      <c r="V141" s="16" t="str">
        <f t="shared" si="121"/>
        <v/>
      </c>
      <c r="W141" s="16" t="str">
        <f t="shared" si="122"/>
        <v/>
      </c>
      <c r="X141" s="16" t="str">
        <f t="shared" si="116"/>
        <v/>
      </c>
      <c r="Y141" s="16" t="str">
        <f t="shared" si="117"/>
        <v/>
      </c>
      <c r="Z141" s="16" t="str">
        <f t="shared" si="118"/>
        <v/>
      </c>
      <c r="AA141" s="16" t="str">
        <f t="shared" si="123"/>
        <v/>
      </c>
      <c r="AB141" s="16" t="str">
        <f t="shared" si="124"/>
        <v/>
      </c>
      <c r="AC141" s="29" t="str">
        <f t="shared" si="119"/>
        <v/>
      </c>
      <c r="AD141" s="29" t="str">
        <f t="shared" si="120"/>
        <v/>
      </c>
      <c r="AE141" s="2"/>
      <c r="AF141" s="2"/>
      <c r="AG141" s="2"/>
      <c r="AH141" s="2"/>
      <c r="AI141" s="2"/>
      <c r="AJ141" s="2"/>
      <c r="AK141" s="2"/>
      <c r="AL141" s="2"/>
      <c r="AM141" s="2"/>
      <c r="AN141" s="2"/>
      <c r="AO141" s="2"/>
      <c r="AP141" s="2"/>
      <c r="AQ141" s="2"/>
      <c r="AU141" s="215" t="str">
        <f t="shared" si="98"/>
        <v/>
      </c>
      <c r="AV141" s="222" t="str">
        <f t="shared" si="99"/>
        <v/>
      </c>
      <c r="AW141" s="230" t="str">
        <f t="shared" si="100"/>
        <v/>
      </c>
      <c r="AX141" s="215" t="str">
        <f t="shared" si="101"/>
        <v/>
      </c>
      <c r="AY141" s="222" t="str">
        <f t="shared" si="102"/>
        <v/>
      </c>
      <c r="AZ141" s="230" t="str">
        <f t="shared" si="103"/>
        <v/>
      </c>
      <c r="BA141" s="215" t="str">
        <f t="shared" si="104"/>
        <v/>
      </c>
      <c r="BB141" s="222" t="str">
        <f t="shared" si="105"/>
        <v/>
      </c>
      <c r="BC141" s="230" t="str">
        <f t="shared" si="106"/>
        <v/>
      </c>
      <c r="BD141" s="215" t="str">
        <f t="shared" si="107"/>
        <v/>
      </c>
      <c r="BE141" s="222" t="str">
        <f t="shared" si="108"/>
        <v/>
      </c>
      <c r="BF141" s="230" t="str">
        <f t="shared" si="109"/>
        <v/>
      </c>
      <c r="BG141" s="215" t="str">
        <f t="shared" si="110"/>
        <v/>
      </c>
      <c r="BH141" s="222" t="str">
        <f t="shared" si="111"/>
        <v/>
      </c>
      <c r="BI141" s="230" t="str">
        <f t="shared" si="112"/>
        <v/>
      </c>
      <c r="BJ141" s="215" t="str">
        <f t="shared" si="113"/>
        <v/>
      </c>
      <c r="BK141" s="222" t="str">
        <f t="shared" si="114"/>
        <v/>
      </c>
      <c r="BL141" s="222" t="str">
        <f t="shared" si="115"/>
        <v/>
      </c>
    </row>
    <row r="142" spans="1:64" x14ac:dyDescent="0.25">
      <c r="A142" s="48"/>
      <c r="B142" s="62" t="s">
        <v>20</v>
      </c>
      <c r="C142" s="63" t="s">
        <v>21</v>
      </c>
      <c r="D142" s="48"/>
      <c r="E142" s="140" t="s">
        <v>20</v>
      </c>
      <c r="F142" s="277" t="s">
        <v>21</v>
      </c>
      <c r="G142" s="48"/>
      <c r="H142" s="140" t="s">
        <v>20</v>
      </c>
      <c r="I142" s="277" t="s">
        <v>21</v>
      </c>
      <c r="J142" s="48"/>
      <c r="K142" s="140" t="s">
        <v>20</v>
      </c>
      <c r="L142" s="277" t="s">
        <v>21</v>
      </c>
      <c r="M142" s="48"/>
      <c r="N142" s="140" t="s">
        <v>20</v>
      </c>
      <c r="O142" s="277" t="s">
        <v>21</v>
      </c>
      <c r="P142" s="48"/>
      <c r="Q142" s="140" t="s">
        <v>20</v>
      </c>
      <c r="R142" s="277" t="s">
        <v>21</v>
      </c>
      <c r="S142" s="259"/>
      <c r="T142" s="2"/>
      <c r="U142" s="264">
        <v>138</v>
      </c>
      <c r="V142" s="16" t="str">
        <f t="shared" si="121"/>
        <v/>
      </c>
      <c r="W142" s="16" t="str">
        <f t="shared" si="122"/>
        <v/>
      </c>
      <c r="X142" s="16" t="str">
        <f t="shared" si="116"/>
        <v/>
      </c>
      <c r="Y142" s="16" t="str">
        <f t="shared" si="117"/>
        <v/>
      </c>
      <c r="Z142" s="16" t="str">
        <f t="shared" si="118"/>
        <v/>
      </c>
      <c r="AA142" s="16" t="str">
        <f t="shared" si="123"/>
        <v/>
      </c>
      <c r="AB142" s="16" t="str">
        <f t="shared" si="124"/>
        <v/>
      </c>
      <c r="AC142" s="29" t="str">
        <f t="shared" si="119"/>
        <v/>
      </c>
      <c r="AD142" s="29" t="str">
        <f t="shared" si="120"/>
        <v/>
      </c>
      <c r="AE142" s="2"/>
      <c r="AF142" s="2"/>
      <c r="AG142" s="2"/>
      <c r="AH142" s="2"/>
      <c r="AI142" s="2"/>
      <c r="AJ142" s="2"/>
      <c r="AK142" s="2"/>
      <c r="AL142" s="2"/>
      <c r="AM142" s="2"/>
      <c r="AN142" s="2"/>
      <c r="AO142" s="2"/>
      <c r="AP142" s="2"/>
      <c r="AQ142" s="2"/>
    </row>
    <row r="143" spans="1:64" x14ac:dyDescent="0.25">
      <c r="A143" s="260" t="str">
        <f t="shared" ref="A143:A174" si="125">IF($C$9&gt;=$U5,"#"&amp;$U5&amp;":","")</f>
        <v>#1:</v>
      </c>
      <c r="B143" s="143">
        <f t="shared" ref="B143:B174" si="126">$AC5</f>
        <v>365.96740161057141</v>
      </c>
      <c r="C143" s="144">
        <f t="shared" ref="C143:C174" si="127">$AD5</f>
        <v>8.0191462528234894</v>
      </c>
      <c r="D143" s="261" t="str">
        <f t="shared" ref="D143:D174" si="128">IF($C$9&gt;=$U55,"#"&amp;$U55&amp;":","")</f>
        <v/>
      </c>
      <c r="E143" s="143" t="str">
        <f t="shared" ref="E143:E174" si="129">$AC55</f>
        <v/>
      </c>
      <c r="F143" s="144" t="str">
        <f t="shared" ref="F143:F174" si="130">$AD55</f>
        <v/>
      </c>
      <c r="G143" s="261" t="str">
        <f t="shared" ref="G143:G174" si="131">IF($C$9&gt;=$U105,"#"&amp;$U105&amp;":","")</f>
        <v/>
      </c>
      <c r="H143" s="143" t="str">
        <f t="shared" ref="H143:H174" si="132">$AC105</f>
        <v/>
      </c>
      <c r="I143" s="144" t="str">
        <f t="shared" ref="I143:I174" si="133">$AD105</f>
        <v/>
      </c>
      <c r="J143" s="261" t="str">
        <f t="shared" ref="J143:J174" si="134">IF($C$9&gt;=$U155,"#"&amp;$U155&amp;":","")</f>
        <v/>
      </c>
      <c r="K143" s="143" t="str">
        <f t="shared" ref="K143:K174" si="135">$AC155</f>
        <v/>
      </c>
      <c r="L143" s="144" t="str">
        <f t="shared" ref="L143:L174" si="136">$AD155</f>
        <v/>
      </c>
      <c r="M143" s="261" t="str">
        <f t="shared" ref="M143:M174" si="137">IF($C$9&gt;=$U205,"#"&amp;$U205&amp;":","")</f>
        <v/>
      </c>
      <c r="N143" s="143" t="str">
        <f t="shared" ref="N143:N174" si="138">$AC205</f>
        <v/>
      </c>
      <c r="O143" s="144" t="str">
        <f t="shared" ref="O143:O174" si="139">$AD205</f>
        <v/>
      </c>
      <c r="P143" s="261" t="str">
        <f t="shared" ref="P143:P174" si="140">IF($C$9&gt;=$U255,"#"&amp;$U255&amp;":","")</f>
        <v/>
      </c>
      <c r="Q143" s="143" t="str">
        <f t="shared" ref="Q143:Q174" si="141">$AC255</f>
        <v/>
      </c>
      <c r="R143" s="144" t="str">
        <f t="shared" ref="R143:R174" si="142">$AD255</f>
        <v/>
      </c>
      <c r="S143" s="259"/>
      <c r="T143" s="2"/>
      <c r="U143" s="264">
        <v>139</v>
      </c>
      <c r="V143" s="16" t="str">
        <f t="shared" si="121"/>
        <v/>
      </c>
      <c r="W143" s="16" t="str">
        <f t="shared" si="122"/>
        <v/>
      </c>
      <c r="X143" s="16" t="str">
        <f t="shared" si="116"/>
        <v/>
      </c>
      <c r="Y143" s="16" t="str">
        <f t="shared" si="117"/>
        <v/>
      </c>
      <c r="Z143" s="16" t="str">
        <f t="shared" si="118"/>
        <v/>
      </c>
      <c r="AA143" s="16" t="str">
        <f t="shared" si="123"/>
        <v/>
      </c>
      <c r="AB143" s="16" t="str">
        <f t="shared" si="124"/>
        <v/>
      </c>
      <c r="AC143" s="29" t="str">
        <f t="shared" si="119"/>
        <v/>
      </c>
      <c r="AD143" s="29" t="str">
        <f t="shared" si="120"/>
        <v/>
      </c>
      <c r="AE143" s="2"/>
      <c r="AF143" s="2"/>
      <c r="AG143" s="2"/>
      <c r="AH143" s="2"/>
      <c r="AI143" s="2"/>
      <c r="AJ143" s="2"/>
      <c r="AK143" s="2"/>
      <c r="AL143" s="2"/>
      <c r="AM143" s="2"/>
      <c r="AN143" s="2"/>
      <c r="AO143" s="2"/>
      <c r="AP143" s="2"/>
      <c r="AQ143" s="2"/>
    </row>
    <row r="144" spans="1:64" x14ac:dyDescent="0.25">
      <c r="A144" s="260" t="str">
        <f t="shared" si="125"/>
        <v>#2:</v>
      </c>
      <c r="B144" s="147">
        <f t="shared" si="126"/>
        <v>363.72082163761382</v>
      </c>
      <c r="C144" s="148">
        <f t="shared" si="127"/>
        <v>8.0191462528234894</v>
      </c>
      <c r="D144" s="261" t="str">
        <f t="shared" si="128"/>
        <v/>
      </c>
      <c r="E144" s="147" t="str">
        <f t="shared" si="129"/>
        <v/>
      </c>
      <c r="F144" s="148" t="str">
        <f t="shared" si="130"/>
        <v/>
      </c>
      <c r="G144" s="261" t="str">
        <f t="shared" si="131"/>
        <v/>
      </c>
      <c r="H144" s="147" t="str">
        <f t="shared" si="132"/>
        <v/>
      </c>
      <c r="I144" s="148" t="str">
        <f t="shared" si="133"/>
        <v/>
      </c>
      <c r="J144" s="261" t="str">
        <f t="shared" si="134"/>
        <v/>
      </c>
      <c r="K144" s="147" t="str">
        <f t="shared" si="135"/>
        <v/>
      </c>
      <c r="L144" s="148" t="str">
        <f t="shared" si="136"/>
        <v/>
      </c>
      <c r="M144" s="261" t="str">
        <f t="shared" si="137"/>
        <v/>
      </c>
      <c r="N144" s="147" t="str">
        <f t="shared" si="138"/>
        <v/>
      </c>
      <c r="O144" s="148" t="str">
        <f t="shared" si="139"/>
        <v/>
      </c>
      <c r="P144" s="261" t="str">
        <f t="shared" si="140"/>
        <v/>
      </c>
      <c r="Q144" s="147" t="str">
        <f t="shared" si="141"/>
        <v/>
      </c>
      <c r="R144" s="148" t="str">
        <f t="shared" si="142"/>
        <v/>
      </c>
      <c r="S144" s="259"/>
      <c r="T144" s="2"/>
      <c r="U144" s="264">
        <v>140</v>
      </c>
      <c r="V144" s="16" t="str">
        <f t="shared" si="121"/>
        <v/>
      </c>
      <c r="W144" s="16" t="str">
        <f t="shared" si="122"/>
        <v/>
      </c>
      <c r="X144" s="16" t="str">
        <f t="shared" si="116"/>
        <v/>
      </c>
      <c r="Y144" s="16" t="str">
        <f t="shared" si="117"/>
        <v/>
      </c>
      <c r="Z144" s="16" t="str">
        <f t="shared" si="118"/>
        <v/>
      </c>
      <c r="AA144" s="16" t="str">
        <f t="shared" si="123"/>
        <v/>
      </c>
      <c r="AB144" s="16" t="str">
        <f t="shared" si="124"/>
        <v/>
      </c>
      <c r="AC144" s="29" t="str">
        <f t="shared" si="119"/>
        <v/>
      </c>
      <c r="AD144" s="29" t="str">
        <f t="shared" si="120"/>
        <v/>
      </c>
      <c r="AE144" s="2"/>
      <c r="AF144" s="2"/>
      <c r="AG144" s="2"/>
      <c r="AH144" s="2"/>
      <c r="AI144" s="2"/>
      <c r="AJ144" s="2"/>
      <c r="AK144" s="2"/>
      <c r="AL144" s="2"/>
      <c r="AM144" s="2"/>
      <c r="AN144" s="2"/>
      <c r="AO144" s="2"/>
      <c r="AP144" s="2"/>
      <c r="AQ144" s="2"/>
    </row>
    <row r="145" spans="1:43" x14ac:dyDescent="0.25">
      <c r="A145" s="260" t="str">
        <f t="shared" si="125"/>
        <v>#3:</v>
      </c>
      <c r="B145" s="147">
        <f t="shared" si="126"/>
        <v>361.47424166465623</v>
      </c>
      <c r="C145" s="148">
        <f t="shared" si="127"/>
        <v>8.0191462528234894</v>
      </c>
      <c r="D145" s="261" t="str">
        <f t="shared" si="128"/>
        <v/>
      </c>
      <c r="E145" s="147" t="str">
        <f t="shared" si="129"/>
        <v/>
      </c>
      <c r="F145" s="148" t="str">
        <f t="shared" si="130"/>
        <v/>
      </c>
      <c r="G145" s="261" t="str">
        <f t="shared" si="131"/>
        <v/>
      </c>
      <c r="H145" s="147" t="str">
        <f t="shared" si="132"/>
        <v/>
      </c>
      <c r="I145" s="148" t="str">
        <f t="shared" si="133"/>
        <v/>
      </c>
      <c r="J145" s="261" t="str">
        <f t="shared" si="134"/>
        <v/>
      </c>
      <c r="K145" s="147" t="str">
        <f t="shared" si="135"/>
        <v/>
      </c>
      <c r="L145" s="148" t="str">
        <f t="shared" si="136"/>
        <v/>
      </c>
      <c r="M145" s="261" t="str">
        <f t="shared" si="137"/>
        <v/>
      </c>
      <c r="N145" s="147" t="str">
        <f t="shared" si="138"/>
        <v/>
      </c>
      <c r="O145" s="148" t="str">
        <f t="shared" si="139"/>
        <v/>
      </c>
      <c r="P145" s="261" t="str">
        <f t="shared" si="140"/>
        <v/>
      </c>
      <c r="Q145" s="147" t="str">
        <f t="shared" si="141"/>
        <v/>
      </c>
      <c r="R145" s="148" t="str">
        <f t="shared" si="142"/>
        <v/>
      </c>
      <c r="S145" s="259"/>
      <c r="T145" s="2"/>
      <c r="U145" s="264">
        <v>141</v>
      </c>
      <c r="V145" s="16" t="str">
        <f t="shared" si="121"/>
        <v/>
      </c>
      <c r="W145" s="16" t="str">
        <f t="shared" si="122"/>
        <v/>
      </c>
      <c r="X145" s="16" t="str">
        <f t="shared" si="116"/>
        <v/>
      </c>
      <c r="Y145" s="16" t="str">
        <f t="shared" si="117"/>
        <v/>
      </c>
      <c r="Z145" s="16" t="str">
        <f t="shared" si="118"/>
        <v/>
      </c>
      <c r="AA145" s="16" t="str">
        <f t="shared" si="123"/>
        <v/>
      </c>
      <c r="AB145" s="16" t="str">
        <f t="shared" si="124"/>
        <v/>
      </c>
      <c r="AC145" s="29" t="str">
        <f t="shared" si="119"/>
        <v/>
      </c>
      <c r="AD145" s="29" t="str">
        <f t="shared" si="120"/>
        <v/>
      </c>
      <c r="AE145" s="2"/>
      <c r="AF145" s="2"/>
      <c r="AG145" s="2"/>
      <c r="AH145" s="2"/>
      <c r="AI145" s="2"/>
      <c r="AJ145" s="2"/>
      <c r="AK145" s="2"/>
      <c r="AL145" s="2"/>
      <c r="AM145" s="2"/>
      <c r="AN145" s="2"/>
      <c r="AO145" s="2"/>
      <c r="AP145" s="2"/>
      <c r="AQ145" s="2"/>
    </row>
    <row r="146" spans="1:43" x14ac:dyDescent="0.25">
      <c r="A146" s="260" t="str">
        <f t="shared" si="125"/>
        <v>#4:</v>
      </c>
      <c r="B146" s="147">
        <f t="shared" si="126"/>
        <v>359.22766169169864</v>
      </c>
      <c r="C146" s="148">
        <f t="shared" si="127"/>
        <v>8.0191462528234894</v>
      </c>
      <c r="D146" s="261" t="str">
        <f t="shared" si="128"/>
        <v/>
      </c>
      <c r="E146" s="147" t="str">
        <f t="shared" si="129"/>
        <v/>
      </c>
      <c r="F146" s="148" t="str">
        <f t="shared" si="130"/>
        <v/>
      </c>
      <c r="G146" s="261" t="str">
        <f t="shared" si="131"/>
        <v/>
      </c>
      <c r="H146" s="147" t="str">
        <f t="shared" si="132"/>
        <v/>
      </c>
      <c r="I146" s="148" t="str">
        <f t="shared" si="133"/>
        <v/>
      </c>
      <c r="J146" s="261" t="str">
        <f t="shared" si="134"/>
        <v/>
      </c>
      <c r="K146" s="147" t="str">
        <f t="shared" si="135"/>
        <v/>
      </c>
      <c r="L146" s="148" t="str">
        <f t="shared" si="136"/>
        <v/>
      </c>
      <c r="M146" s="261" t="str">
        <f t="shared" si="137"/>
        <v/>
      </c>
      <c r="N146" s="147" t="str">
        <f t="shared" si="138"/>
        <v/>
      </c>
      <c r="O146" s="148" t="str">
        <f t="shared" si="139"/>
        <v/>
      </c>
      <c r="P146" s="261" t="str">
        <f t="shared" si="140"/>
        <v/>
      </c>
      <c r="Q146" s="147" t="str">
        <f t="shared" si="141"/>
        <v/>
      </c>
      <c r="R146" s="148" t="str">
        <f t="shared" si="142"/>
        <v/>
      </c>
      <c r="S146" s="259"/>
      <c r="T146" s="2"/>
      <c r="U146" s="264">
        <v>142</v>
      </c>
      <c r="V146" s="16" t="str">
        <f t="shared" si="121"/>
        <v/>
      </c>
      <c r="W146" s="16" t="str">
        <f t="shared" si="122"/>
        <v/>
      </c>
      <c r="X146" s="16" t="str">
        <f t="shared" si="116"/>
        <v/>
      </c>
      <c r="Y146" s="16" t="str">
        <f t="shared" si="117"/>
        <v/>
      </c>
      <c r="Z146" s="16" t="str">
        <f t="shared" si="118"/>
        <v/>
      </c>
      <c r="AA146" s="16" t="str">
        <f t="shared" si="123"/>
        <v/>
      </c>
      <c r="AB146" s="16" t="str">
        <f t="shared" si="124"/>
        <v/>
      </c>
      <c r="AC146" s="29" t="str">
        <f t="shared" si="119"/>
        <v/>
      </c>
      <c r="AD146" s="29" t="str">
        <f t="shared" si="120"/>
        <v/>
      </c>
      <c r="AE146" s="2"/>
      <c r="AF146" s="2"/>
      <c r="AG146" s="2"/>
      <c r="AH146" s="2"/>
      <c r="AI146" s="2"/>
      <c r="AJ146" s="2"/>
      <c r="AK146" s="2"/>
      <c r="AL146" s="2"/>
      <c r="AM146" s="2"/>
      <c r="AN146" s="2"/>
      <c r="AO146" s="2"/>
      <c r="AP146" s="2"/>
      <c r="AQ146" s="2"/>
    </row>
    <row r="147" spans="1:43" x14ac:dyDescent="0.25">
      <c r="A147" s="260" t="str">
        <f t="shared" si="125"/>
        <v>#5:</v>
      </c>
      <c r="B147" s="147">
        <f t="shared" si="126"/>
        <v>356.98108171874105</v>
      </c>
      <c r="C147" s="148">
        <f t="shared" si="127"/>
        <v>8.0191462528234894</v>
      </c>
      <c r="D147" s="261" t="str">
        <f t="shared" si="128"/>
        <v/>
      </c>
      <c r="E147" s="147" t="str">
        <f t="shared" si="129"/>
        <v/>
      </c>
      <c r="F147" s="148" t="str">
        <f t="shared" si="130"/>
        <v/>
      </c>
      <c r="G147" s="261" t="str">
        <f t="shared" si="131"/>
        <v/>
      </c>
      <c r="H147" s="147" t="str">
        <f t="shared" si="132"/>
        <v/>
      </c>
      <c r="I147" s="148" t="str">
        <f t="shared" si="133"/>
        <v/>
      </c>
      <c r="J147" s="261" t="str">
        <f t="shared" si="134"/>
        <v/>
      </c>
      <c r="K147" s="147" t="str">
        <f t="shared" si="135"/>
        <v/>
      </c>
      <c r="L147" s="148" t="str">
        <f t="shared" si="136"/>
        <v/>
      </c>
      <c r="M147" s="261" t="str">
        <f t="shared" si="137"/>
        <v/>
      </c>
      <c r="N147" s="147" t="str">
        <f t="shared" si="138"/>
        <v/>
      </c>
      <c r="O147" s="148" t="str">
        <f t="shared" si="139"/>
        <v/>
      </c>
      <c r="P147" s="261" t="str">
        <f t="shared" si="140"/>
        <v/>
      </c>
      <c r="Q147" s="147" t="str">
        <f t="shared" si="141"/>
        <v/>
      </c>
      <c r="R147" s="148" t="str">
        <f t="shared" si="142"/>
        <v/>
      </c>
      <c r="S147" s="259"/>
      <c r="T147" s="2"/>
      <c r="U147" s="264">
        <v>143</v>
      </c>
      <c r="V147" s="16" t="str">
        <f t="shared" si="121"/>
        <v/>
      </c>
      <c r="W147" s="16" t="str">
        <f t="shared" si="122"/>
        <v/>
      </c>
      <c r="X147" s="16" t="str">
        <f t="shared" si="116"/>
        <v/>
      </c>
      <c r="Y147" s="16" t="str">
        <f t="shared" si="117"/>
        <v/>
      </c>
      <c r="Z147" s="16" t="str">
        <f t="shared" si="118"/>
        <v/>
      </c>
      <c r="AA147" s="16" t="str">
        <f t="shared" si="123"/>
        <v/>
      </c>
      <c r="AB147" s="16" t="str">
        <f t="shared" si="124"/>
        <v/>
      </c>
      <c r="AC147" s="29" t="str">
        <f t="shared" si="119"/>
        <v/>
      </c>
      <c r="AD147" s="29" t="str">
        <f t="shared" si="120"/>
        <v/>
      </c>
      <c r="AE147" s="2"/>
      <c r="AF147" s="2"/>
      <c r="AG147" s="2"/>
      <c r="AH147" s="2"/>
      <c r="AI147" s="2"/>
      <c r="AJ147" s="2"/>
      <c r="AK147" s="2"/>
      <c r="AL147" s="2"/>
      <c r="AM147" s="2"/>
      <c r="AN147" s="2"/>
      <c r="AO147" s="2"/>
      <c r="AP147" s="2"/>
      <c r="AQ147" s="2"/>
    </row>
    <row r="148" spans="1:43" x14ac:dyDescent="0.25">
      <c r="A148" s="260" t="str">
        <f t="shared" si="125"/>
        <v>#6:</v>
      </c>
      <c r="B148" s="147">
        <f t="shared" si="126"/>
        <v>354.7345017457834</v>
      </c>
      <c r="C148" s="148">
        <f t="shared" si="127"/>
        <v>8.0191462528234894</v>
      </c>
      <c r="D148" s="261" t="str">
        <f t="shared" si="128"/>
        <v/>
      </c>
      <c r="E148" s="147" t="str">
        <f t="shared" si="129"/>
        <v/>
      </c>
      <c r="F148" s="148" t="str">
        <f t="shared" si="130"/>
        <v/>
      </c>
      <c r="G148" s="261" t="str">
        <f t="shared" si="131"/>
        <v/>
      </c>
      <c r="H148" s="147" t="str">
        <f t="shared" si="132"/>
        <v/>
      </c>
      <c r="I148" s="148" t="str">
        <f t="shared" si="133"/>
        <v/>
      </c>
      <c r="J148" s="261" t="str">
        <f t="shared" si="134"/>
        <v/>
      </c>
      <c r="K148" s="147" t="str">
        <f t="shared" si="135"/>
        <v/>
      </c>
      <c r="L148" s="148" t="str">
        <f t="shared" si="136"/>
        <v/>
      </c>
      <c r="M148" s="261" t="str">
        <f t="shared" si="137"/>
        <v/>
      </c>
      <c r="N148" s="147" t="str">
        <f t="shared" si="138"/>
        <v/>
      </c>
      <c r="O148" s="148" t="str">
        <f t="shared" si="139"/>
        <v/>
      </c>
      <c r="P148" s="261" t="str">
        <f t="shared" si="140"/>
        <v/>
      </c>
      <c r="Q148" s="147" t="str">
        <f t="shared" si="141"/>
        <v/>
      </c>
      <c r="R148" s="148" t="str">
        <f t="shared" si="142"/>
        <v/>
      </c>
      <c r="S148" s="259"/>
      <c r="T148" s="2"/>
      <c r="U148" s="264">
        <v>144</v>
      </c>
      <c r="V148" s="16" t="str">
        <f t="shared" si="121"/>
        <v/>
      </c>
      <c r="W148" s="16" t="str">
        <f t="shared" si="122"/>
        <v/>
      </c>
      <c r="X148" s="16" t="str">
        <f t="shared" si="116"/>
        <v/>
      </c>
      <c r="Y148" s="16" t="str">
        <f t="shared" si="117"/>
        <v/>
      </c>
      <c r="Z148" s="16" t="str">
        <f t="shared" si="118"/>
        <v/>
      </c>
      <c r="AA148" s="16" t="str">
        <f t="shared" si="123"/>
        <v/>
      </c>
      <c r="AB148" s="16" t="str">
        <f t="shared" si="124"/>
        <v/>
      </c>
      <c r="AC148" s="29" t="str">
        <f t="shared" si="119"/>
        <v/>
      </c>
      <c r="AD148" s="29" t="str">
        <f t="shared" si="120"/>
        <v/>
      </c>
      <c r="AE148" s="2"/>
      <c r="AF148" s="2"/>
      <c r="AG148" s="2"/>
      <c r="AH148" s="2"/>
      <c r="AI148" s="2"/>
      <c r="AJ148" s="2"/>
      <c r="AK148" s="2"/>
      <c r="AL148" s="2"/>
      <c r="AM148" s="2"/>
      <c r="AN148" s="2"/>
      <c r="AO148" s="2"/>
      <c r="AP148" s="2"/>
      <c r="AQ148" s="2"/>
    </row>
    <row r="149" spans="1:43" x14ac:dyDescent="0.25">
      <c r="A149" s="260" t="str">
        <f t="shared" si="125"/>
        <v>#7:</v>
      </c>
      <c r="B149" s="147">
        <f t="shared" si="126"/>
        <v>352.48792177282581</v>
      </c>
      <c r="C149" s="148">
        <f t="shared" si="127"/>
        <v>8.0191462528234894</v>
      </c>
      <c r="D149" s="261" t="str">
        <f t="shared" si="128"/>
        <v/>
      </c>
      <c r="E149" s="147" t="str">
        <f t="shared" si="129"/>
        <v/>
      </c>
      <c r="F149" s="148" t="str">
        <f t="shared" si="130"/>
        <v/>
      </c>
      <c r="G149" s="261" t="str">
        <f t="shared" si="131"/>
        <v/>
      </c>
      <c r="H149" s="147" t="str">
        <f t="shared" si="132"/>
        <v/>
      </c>
      <c r="I149" s="148" t="str">
        <f t="shared" si="133"/>
        <v/>
      </c>
      <c r="J149" s="261" t="str">
        <f t="shared" si="134"/>
        <v/>
      </c>
      <c r="K149" s="147" t="str">
        <f t="shared" si="135"/>
        <v/>
      </c>
      <c r="L149" s="148" t="str">
        <f t="shared" si="136"/>
        <v/>
      </c>
      <c r="M149" s="261" t="str">
        <f t="shared" si="137"/>
        <v/>
      </c>
      <c r="N149" s="147" t="str">
        <f t="shared" si="138"/>
        <v/>
      </c>
      <c r="O149" s="148" t="str">
        <f t="shared" si="139"/>
        <v/>
      </c>
      <c r="P149" s="261" t="str">
        <f t="shared" si="140"/>
        <v/>
      </c>
      <c r="Q149" s="147" t="str">
        <f t="shared" si="141"/>
        <v/>
      </c>
      <c r="R149" s="148" t="str">
        <f t="shared" si="142"/>
        <v/>
      </c>
      <c r="S149" s="259"/>
      <c r="T149" s="2"/>
      <c r="U149" s="264">
        <v>145</v>
      </c>
      <c r="V149" s="16" t="str">
        <f t="shared" si="121"/>
        <v/>
      </c>
      <c r="W149" s="16" t="str">
        <f t="shared" si="122"/>
        <v/>
      </c>
      <c r="X149" s="16" t="str">
        <f t="shared" si="116"/>
        <v/>
      </c>
      <c r="Y149" s="16" t="str">
        <f t="shared" si="117"/>
        <v/>
      </c>
      <c r="Z149" s="16" t="str">
        <f t="shared" si="118"/>
        <v/>
      </c>
      <c r="AA149" s="16" t="str">
        <f t="shared" si="123"/>
        <v/>
      </c>
      <c r="AB149" s="16" t="str">
        <f t="shared" si="124"/>
        <v/>
      </c>
      <c r="AC149" s="29" t="str">
        <f t="shared" si="119"/>
        <v/>
      </c>
      <c r="AD149" s="29" t="str">
        <f t="shared" si="120"/>
        <v/>
      </c>
      <c r="AE149" s="2"/>
      <c r="AF149" s="2"/>
      <c r="AG149" s="2"/>
      <c r="AH149" s="2"/>
      <c r="AI149" s="2"/>
      <c r="AJ149" s="2"/>
      <c r="AK149" s="2"/>
      <c r="AL149" s="2"/>
      <c r="AM149" s="2"/>
      <c r="AN149" s="2"/>
      <c r="AO149" s="2"/>
      <c r="AP149" s="2"/>
      <c r="AQ149" s="2"/>
    </row>
    <row r="150" spans="1:43" x14ac:dyDescent="0.25">
      <c r="A150" s="260" t="str">
        <f t="shared" si="125"/>
        <v>#8:</v>
      </c>
      <c r="B150" s="147">
        <f t="shared" si="126"/>
        <v>350.24134179986822</v>
      </c>
      <c r="C150" s="148">
        <f t="shared" si="127"/>
        <v>8.0191462528234894</v>
      </c>
      <c r="D150" s="261" t="str">
        <f t="shared" si="128"/>
        <v/>
      </c>
      <c r="E150" s="147" t="str">
        <f t="shared" si="129"/>
        <v/>
      </c>
      <c r="F150" s="148" t="str">
        <f t="shared" si="130"/>
        <v/>
      </c>
      <c r="G150" s="261" t="str">
        <f t="shared" si="131"/>
        <v/>
      </c>
      <c r="H150" s="147" t="str">
        <f t="shared" si="132"/>
        <v/>
      </c>
      <c r="I150" s="148" t="str">
        <f t="shared" si="133"/>
        <v/>
      </c>
      <c r="J150" s="261" t="str">
        <f t="shared" si="134"/>
        <v/>
      </c>
      <c r="K150" s="147" t="str">
        <f t="shared" si="135"/>
        <v/>
      </c>
      <c r="L150" s="148" t="str">
        <f t="shared" si="136"/>
        <v/>
      </c>
      <c r="M150" s="261" t="str">
        <f t="shared" si="137"/>
        <v/>
      </c>
      <c r="N150" s="147" t="str">
        <f t="shared" si="138"/>
        <v/>
      </c>
      <c r="O150" s="148" t="str">
        <f t="shared" si="139"/>
        <v/>
      </c>
      <c r="P150" s="261" t="str">
        <f t="shared" si="140"/>
        <v/>
      </c>
      <c r="Q150" s="147" t="str">
        <f t="shared" si="141"/>
        <v/>
      </c>
      <c r="R150" s="148" t="str">
        <f t="shared" si="142"/>
        <v/>
      </c>
      <c r="S150" s="259"/>
      <c r="T150" s="2"/>
      <c r="U150" s="264">
        <v>146</v>
      </c>
      <c r="V150" s="16" t="str">
        <f t="shared" si="121"/>
        <v/>
      </c>
      <c r="W150" s="16" t="str">
        <f t="shared" si="122"/>
        <v/>
      </c>
      <c r="X150" s="16" t="str">
        <f t="shared" si="116"/>
        <v/>
      </c>
      <c r="Y150" s="16" t="str">
        <f t="shared" si="117"/>
        <v/>
      </c>
      <c r="Z150" s="16" t="str">
        <f t="shared" si="118"/>
        <v/>
      </c>
      <c r="AA150" s="16" t="str">
        <f t="shared" si="123"/>
        <v/>
      </c>
      <c r="AB150" s="16" t="str">
        <f t="shared" si="124"/>
        <v/>
      </c>
      <c r="AC150" s="29" t="str">
        <f t="shared" si="119"/>
        <v/>
      </c>
      <c r="AD150" s="29" t="str">
        <f t="shared" si="120"/>
        <v/>
      </c>
      <c r="AE150" s="2"/>
      <c r="AF150" s="2"/>
      <c r="AG150" s="2"/>
      <c r="AH150" s="2"/>
      <c r="AI150" s="2"/>
      <c r="AJ150" s="2"/>
      <c r="AK150" s="2"/>
      <c r="AL150" s="2"/>
      <c r="AM150" s="2"/>
      <c r="AN150" s="2"/>
      <c r="AO150" s="2"/>
      <c r="AP150" s="2"/>
      <c r="AQ150" s="2"/>
    </row>
    <row r="151" spans="1:43" x14ac:dyDescent="0.25">
      <c r="A151" s="260" t="str">
        <f t="shared" si="125"/>
        <v>#9:</v>
      </c>
      <c r="B151" s="147">
        <f t="shared" si="126"/>
        <v>347.99476182691063</v>
      </c>
      <c r="C151" s="148">
        <f t="shared" si="127"/>
        <v>8.0191462528234894</v>
      </c>
      <c r="D151" s="261" t="str">
        <f t="shared" si="128"/>
        <v/>
      </c>
      <c r="E151" s="147" t="str">
        <f t="shared" si="129"/>
        <v/>
      </c>
      <c r="F151" s="148" t="str">
        <f t="shared" si="130"/>
        <v/>
      </c>
      <c r="G151" s="261" t="str">
        <f t="shared" si="131"/>
        <v/>
      </c>
      <c r="H151" s="147" t="str">
        <f t="shared" si="132"/>
        <v/>
      </c>
      <c r="I151" s="148" t="str">
        <f t="shared" si="133"/>
        <v/>
      </c>
      <c r="J151" s="261" t="str">
        <f t="shared" si="134"/>
        <v/>
      </c>
      <c r="K151" s="147" t="str">
        <f t="shared" si="135"/>
        <v/>
      </c>
      <c r="L151" s="148" t="str">
        <f t="shared" si="136"/>
        <v/>
      </c>
      <c r="M151" s="261" t="str">
        <f t="shared" si="137"/>
        <v/>
      </c>
      <c r="N151" s="147" t="str">
        <f t="shared" si="138"/>
        <v/>
      </c>
      <c r="O151" s="148" t="str">
        <f t="shared" si="139"/>
        <v/>
      </c>
      <c r="P151" s="261" t="str">
        <f t="shared" si="140"/>
        <v/>
      </c>
      <c r="Q151" s="147" t="str">
        <f t="shared" si="141"/>
        <v/>
      </c>
      <c r="R151" s="148" t="str">
        <f t="shared" si="142"/>
        <v/>
      </c>
      <c r="S151" s="259"/>
      <c r="T151" s="2"/>
      <c r="U151" s="264">
        <v>147</v>
      </c>
      <c r="V151" s="16" t="str">
        <f t="shared" si="121"/>
        <v/>
      </c>
      <c r="W151" s="16" t="str">
        <f t="shared" si="122"/>
        <v/>
      </c>
      <c r="X151" s="16" t="str">
        <f t="shared" si="116"/>
        <v/>
      </c>
      <c r="Y151" s="16" t="str">
        <f t="shared" si="117"/>
        <v/>
      </c>
      <c r="Z151" s="16" t="str">
        <f t="shared" si="118"/>
        <v/>
      </c>
      <c r="AA151" s="16" t="str">
        <f t="shared" si="123"/>
        <v/>
      </c>
      <c r="AB151" s="16" t="str">
        <f t="shared" si="124"/>
        <v/>
      </c>
      <c r="AC151" s="29" t="str">
        <f t="shared" si="119"/>
        <v/>
      </c>
      <c r="AD151" s="29" t="str">
        <f t="shared" si="120"/>
        <v/>
      </c>
      <c r="AE151" s="2"/>
      <c r="AF151" s="2"/>
      <c r="AG151" s="2"/>
      <c r="AH151" s="2"/>
      <c r="AI151" s="2"/>
      <c r="AJ151" s="2"/>
      <c r="AK151" s="2"/>
      <c r="AL151" s="2"/>
      <c r="AM151" s="2"/>
      <c r="AN151" s="2"/>
      <c r="AO151" s="2"/>
      <c r="AP151" s="2"/>
      <c r="AQ151" s="2"/>
    </row>
    <row r="152" spans="1:43" x14ac:dyDescent="0.25">
      <c r="A152" s="260" t="str">
        <f t="shared" si="125"/>
        <v>#10:</v>
      </c>
      <c r="B152" s="147">
        <f t="shared" si="126"/>
        <v>345.74818185395304</v>
      </c>
      <c r="C152" s="148">
        <f t="shared" si="127"/>
        <v>8.0191462528234894</v>
      </c>
      <c r="D152" s="261" t="str">
        <f t="shared" si="128"/>
        <v/>
      </c>
      <c r="E152" s="147" t="str">
        <f t="shared" si="129"/>
        <v/>
      </c>
      <c r="F152" s="148" t="str">
        <f t="shared" si="130"/>
        <v/>
      </c>
      <c r="G152" s="261" t="str">
        <f t="shared" si="131"/>
        <v/>
      </c>
      <c r="H152" s="147" t="str">
        <f t="shared" si="132"/>
        <v/>
      </c>
      <c r="I152" s="148" t="str">
        <f t="shared" si="133"/>
        <v/>
      </c>
      <c r="J152" s="261" t="str">
        <f t="shared" si="134"/>
        <v/>
      </c>
      <c r="K152" s="147" t="str">
        <f t="shared" si="135"/>
        <v/>
      </c>
      <c r="L152" s="148" t="str">
        <f t="shared" si="136"/>
        <v/>
      </c>
      <c r="M152" s="261" t="str">
        <f t="shared" si="137"/>
        <v/>
      </c>
      <c r="N152" s="147" t="str">
        <f t="shared" si="138"/>
        <v/>
      </c>
      <c r="O152" s="148" t="str">
        <f t="shared" si="139"/>
        <v/>
      </c>
      <c r="P152" s="261" t="str">
        <f t="shared" si="140"/>
        <v/>
      </c>
      <c r="Q152" s="147" t="str">
        <f t="shared" si="141"/>
        <v/>
      </c>
      <c r="R152" s="148" t="str">
        <f t="shared" si="142"/>
        <v/>
      </c>
      <c r="S152" s="259"/>
      <c r="T152" s="2"/>
      <c r="U152" s="264">
        <v>148</v>
      </c>
      <c r="V152" s="16" t="str">
        <f t="shared" si="121"/>
        <v/>
      </c>
      <c r="W152" s="16" t="str">
        <f t="shared" si="122"/>
        <v/>
      </c>
      <c r="X152" s="16" t="str">
        <f t="shared" si="116"/>
        <v/>
      </c>
      <c r="Y152" s="16" t="str">
        <f t="shared" si="117"/>
        <v/>
      </c>
      <c r="Z152" s="16" t="str">
        <f t="shared" si="118"/>
        <v/>
      </c>
      <c r="AA152" s="16" t="str">
        <f t="shared" si="123"/>
        <v/>
      </c>
      <c r="AB152" s="16" t="str">
        <f t="shared" si="124"/>
        <v/>
      </c>
      <c r="AC152" s="29" t="str">
        <f t="shared" si="119"/>
        <v/>
      </c>
      <c r="AD152" s="29" t="str">
        <f t="shared" si="120"/>
        <v/>
      </c>
      <c r="AE152" s="2"/>
      <c r="AF152" s="2"/>
      <c r="AG152" s="2"/>
      <c r="AH152" s="2"/>
      <c r="AI152" s="2"/>
      <c r="AJ152" s="2"/>
      <c r="AK152" s="2"/>
      <c r="AL152" s="2"/>
      <c r="AM152" s="2"/>
      <c r="AN152" s="2"/>
      <c r="AO152" s="2"/>
      <c r="AP152" s="2"/>
      <c r="AQ152" s="2"/>
    </row>
    <row r="153" spans="1:43" x14ac:dyDescent="0.25">
      <c r="A153" s="260" t="str">
        <f t="shared" si="125"/>
        <v>#11:</v>
      </c>
      <c r="B153" s="147">
        <f t="shared" si="126"/>
        <v>351.13997378906328</v>
      </c>
      <c r="C153" s="148">
        <f t="shared" si="127"/>
        <v>8.0191462528234894</v>
      </c>
      <c r="D153" s="261" t="str">
        <f t="shared" si="128"/>
        <v/>
      </c>
      <c r="E153" s="147" t="str">
        <f t="shared" si="129"/>
        <v/>
      </c>
      <c r="F153" s="148" t="str">
        <f t="shared" si="130"/>
        <v/>
      </c>
      <c r="G153" s="261" t="str">
        <f t="shared" si="131"/>
        <v/>
      </c>
      <c r="H153" s="147" t="str">
        <f t="shared" si="132"/>
        <v/>
      </c>
      <c r="I153" s="148" t="str">
        <f t="shared" si="133"/>
        <v/>
      </c>
      <c r="J153" s="261" t="str">
        <f t="shared" si="134"/>
        <v/>
      </c>
      <c r="K153" s="147" t="str">
        <f t="shared" si="135"/>
        <v/>
      </c>
      <c r="L153" s="148" t="str">
        <f t="shared" si="136"/>
        <v/>
      </c>
      <c r="M153" s="261" t="str">
        <f t="shared" si="137"/>
        <v/>
      </c>
      <c r="N153" s="147" t="str">
        <f t="shared" si="138"/>
        <v/>
      </c>
      <c r="O153" s="148" t="str">
        <f t="shared" si="139"/>
        <v/>
      </c>
      <c r="P153" s="261" t="str">
        <f t="shared" si="140"/>
        <v/>
      </c>
      <c r="Q153" s="147" t="str">
        <f t="shared" si="141"/>
        <v/>
      </c>
      <c r="R153" s="148" t="str">
        <f t="shared" si="142"/>
        <v/>
      </c>
      <c r="S153" s="259"/>
      <c r="T153" s="2"/>
      <c r="U153" s="264">
        <v>149</v>
      </c>
      <c r="V153" s="16" t="str">
        <f t="shared" si="121"/>
        <v/>
      </c>
      <c r="W153" s="16" t="str">
        <f t="shared" si="122"/>
        <v/>
      </c>
      <c r="X153" s="16" t="str">
        <f t="shared" si="116"/>
        <v/>
      </c>
      <c r="Y153" s="16" t="str">
        <f t="shared" si="117"/>
        <v/>
      </c>
      <c r="Z153" s="16" t="str">
        <f t="shared" si="118"/>
        <v/>
      </c>
      <c r="AA153" s="16" t="str">
        <f t="shared" si="123"/>
        <v/>
      </c>
      <c r="AB153" s="16" t="str">
        <f t="shared" si="124"/>
        <v/>
      </c>
      <c r="AC153" s="29" t="str">
        <f t="shared" si="119"/>
        <v/>
      </c>
      <c r="AD153" s="29" t="str">
        <f t="shared" si="120"/>
        <v/>
      </c>
      <c r="AE153" s="2"/>
      <c r="AF153" s="2"/>
      <c r="AG153" s="2"/>
      <c r="AH153" s="2"/>
      <c r="AI153" s="2"/>
      <c r="AJ153" s="2"/>
      <c r="AK153" s="2"/>
      <c r="AL153" s="2"/>
      <c r="AM153" s="2"/>
      <c r="AN153" s="2"/>
      <c r="AO153" s="2"/>
      <c r="AP153" s="2"/>
      <c r="AQ153" s="2"/>
    </row>
    <row r="154" spans="1:43" x14ac:dyDescent="0.25">
      <c r="A154" s="260" t="str">
        <f t="shared" si="125"/>
        <v>#12:</v>
      </c>
      <c r="B154" s="147">
        <f t="shared" si="126"/>
        <v>348.89339381610569</v>
      </c>
      <c r="C154" s="148">
        <f t="shared" si="127"/>
        <v>8.0191462528234894</v>
      </c>
      <c r="D154" s="261" t="str">
        <f t="shared" si="128"/>
        <v/>
      </c>
      <c r="E154" s="147" t="str">
        <f t="shared" si="129"/>
        <v/>
      </c>
      <c r="F154" s="148" t="str">
        <f t="shared" si="130"/>
        <v/>
      </c>
      <c r="G154" s="261" t="str">
        <f t="shared" si="131"/>
        <v/>
      </c>
      <c r="H154" s="147" t="str">
        <f t="shared" si="132"/>
        <v/>
      </c>
      <c r="I154" s="148" t="str">
        <f t="shared" si="133"/>
        <v/>
      </c>
      <c r="J154" s="261" t="str">
        <f t="shared" si="134"/>
        <v/>
      </c>
      <c r="K154" s="147" t="str">
        <f t="shared" si="135"/>
        <v/>
      </c>
      <c r="L154" s="148" t="str">
        <f t="shared" si="136"/>
        <v/>
      </c>
      <c r="M154" s="261" t="str">
        <f t="shared" si="137"/>
        <v/>
      </c>
      <c r="N154" s="147" t="str">
        <f t="shared" si="138"/>
        <v/>
      </c>
      <c r="O154" s="148" t="str">
        <f t="shared" si="139"/>
        <v/>
      </c>
      <c r="P154" s="261" t="str">
        <f t="shared" si="140"/>
        <v/>
      </c>
      <c r="Q154" s="147" t="str">
        <f t="shared" si="141"/>
        <v/>
      </c>
      <c r="R154" s="148" t="str">
        <f t="shared" si="142"/>
        <v/>
      </c>
      <c r="S154" s="259"/>
      <c r="T154" s="2"/>
      <c r="U154" s="264">
        <v>150</v>
      </c>
      <c r="V154" s="16" t="str">
        <f t="shared" si="121"/>
        <v/>
      </c>
      <c r="W154" s="16" t="str">
        <f t="shared" si="122"/>
        <v/>
      </c>
      <c r="X154" s="16" t="str">
        <f t="shared" si="116"/>
        <v/>
      </c>
      <c r="Y154" s="16" t="str">
        <f t="shared" si="117"/>
        <v/>
      </c>
      <c r="Z154" s="16" t="str">
        <f t="shared" si="118"/>
        <v/>
      </c>
      <c r="AA154" s="16" t="str">
        <f t="shared" si="123"/>
        <v/>
      </c>
      <c r="AB154" s="16" t="str">
        <f t="shared" si="124"/>
        <v/>
      </c>
      <c r="AC154" s="29" t="str">
        <f t="shared" si="119"/>
        <v/>
      </c>
      <c r="AD154" s="29" t="str">
        <f t="shared" si="120"/>
        <v/>
      </c>
      <c r="AE154" s="2"/>
      <c r="AF154" s="2"/>
      <c r="AG154" s="2"/>
      <c r="AH154" s="2"/>
      <c r="AI154" s="2"/>
      <c r="AJ154" s="2"/>
      <c r="AK154" s="2"/>
      <c r="AL154" s="2"/>
      <c r="AM154" s="2"/>
      <c r="AN154" s="2"/>
      <c r="AO154" s="2"/>
      <c r="AP154" s="2"/>
      <c r="AQ154" s="2"/>
    </row>
    <row r="155" spans="1:43" x14ac:dyDescent="0.25">
      <c r="A155" s="260" t="str">
        <f t="shared" si="125"/>
        <v>#13:</v>
      </c>
      <c r="B155" s="147">
        <f t="shared" si="126"/>
        <v>346.6468138431481</v>
      </c>
      <c r="C155" s="148">
        <f t="shared" si="127"/>
        <v>8.0191462528234894</v>
      </c>
      <c r="D155" s="261" t="str">
        <f t="shared" si="128"/>
        <v/>
      </c>
      <c r="E155" s="147" t="str">
        <f t="shared" si="129"/>
        <v/>
      </c>
      <c r="F155" s="148" t="str">
        <f t="shared" si="130"/>
        <v/>
      </c>
      <c r="G155" s="261" t="str">
        <f t="shared" si="131"/>
        <v/>
      </c>
      <c r="H155" s="147" t="str">
        <f t="shared" si="132"/>
        <v/>
      </c>
      <c r="I155" s="148" t="str">
        <f t="shared" si="133"/>
        <v/>
      </c>
      <c r="J155" s="261" t="str">
        <f t="shared" si="134"/>
        <v/>
      </c>
      <c r="K155" s="147" t="str">
        <f t="shared" si="135"/>
        <v/>
      </c>
      <c r="L155" s="148" t="str">
        <f t="shared" si="136"/>
        <v/>
      </c>
      <c r="M155" s="261" t="str">
        <f t="shared" si="137"/>
        <v/>
      </c>
      <c r="N155" s="147" t="str">
        <f t="shared" si="138"/>
        <v/>
      </c>
      <c r="O155" s="148" t="str">
        <f t="shared" si="139"/>
        <v/>
      </c>
      <c r="P155" s="261" t="str">
        <f t="shared" si="140"/>
        <v/>
      </c>
      <c r="Q155" s="147" t="str">
        <f t="shared" si="141"/>
        <v/>
      </c>
      <c r="R155" s="148" t="str">
        <f t="shared" si="142"/>
        <v/>
      </c>
      <c r="S155" s="259"/>
      <c r="T155" s="2"/>
      <c r="U155" s="264">
        <v>151</v>
      </c>
      <c r="V155" s="16" t="str">
        <f t="shared" ref="V155:V186" si="143">IF($C$9&gt;=$U155,$L13+0.000001-$V$310,"")</f>
        <v/>
      </c>
      <c r="W155" s="16" t="str">
        <f t="shared" ref="W155:W186" si="144">IF($C$9&gt;=$U155,$K13+0.000001-$V$309,"")</f>
        <v/>
      </c>
      <c r="X155" s="16" t="str">
        <f t="shared" si="116"/>
        <v/>
      </c>
      <c r="Y155" s="16" t="str">
        <f t="shared" si="117"/>
        <v/>
      </c>
      <c r="Z155" s="16" t="str">
        <f t="shared" si="118"/>
        <v/>
      </c>
      <c r="AA155" s="16" t="str">
        <f t="shared" ref="AA155:AA186" si="145">IF($C$9&gt;=$U155,$K13-$V$309,"")</f>
        <v/>
      </c>
      <c r="AB155" s="16" t="str">
        <f t="shared" ref="AB155:AB186" si="146">IF($C$9&gt;=$U155,$L13-$V$310,"")</f>
        <v/>
      </c>
      <c r="AC155" s="29" t="str">
        <f t="shared" si="119"/>
        <v/>
      </c>
      <c r="AD155" s="29" t="str">
        <f t="shared" si="120"/>
        <v/>
      </c>
      <c r="AE155" s="2"/>
      <c r="AF155" s="2"/>
      <c r="AG155" s="2"/>
      <c r="AH155" s="2"/>
      <c r="AI155" s="2"/>
      <c r="AJ155" s="2"/>
      <c r="AK155" s="2"/>
      <c r="AL155" s="2"/>
      <c r="AM155" s="2"/>
      <c r="AN155" s="2"/>
      <c r="AO155" s="2"/>
      <c r="AP155" s="2"/>
      <c r="AQ155" s="2"/>
    </row>
    <row r="156" spans="1:43" x14ac:dyDescent="0.25">
      <c r="A156" s="260" t="str">
        <f t="shared" si="125"/>
        <v>#14:</v>
      </c>
      <c r="B156" s="147">
        <f t="shared" si="126"/>
        <v>344.4002338701905</v>
      </c>
      <c r="C156" s="148">
        <f t="shared" si="127"/>
        <v>8.0191462528234894</v>
      </c>
      <c r="D156" s="261" t="str">
        <f t="shared" si="128"/>
        <v/>
      </c>
      <c r="E156" s="147" t="str">
        <f t="shared" si="129"/>
        <v/>
      </c>
      <c r="F156" s="148" t="str">
        <f t="shared" si="130"/>
        <v/>
      </c>
      <c r="G156" s="261" t="str">
        <f t="shared" si="131"/>
        <v/>
      </c>
      <c r="H156" s="147" t="str">
        <f t="shared" si="132"/>
        <v/>
      </c>
      <c r="I156" s="148" t="str">
        <f t="shared" si="133"/>
        <v/>
      </c>
      <c r="J156" s="261" t="str">
        <f t="shared" si="134"/>
        <v/>
      </c>
      <c r="K156" s="147" t="str">
        <f t="shared" si="135"/>
        <v/>
      </c>
      <c r="L156" s="148" t="str">
        <f t="shared" si="136"/>
        <v/>
      </c>
      <c r="M156" s="261" t="str">
        <f t="shared" si="137"/>
        <v/>
      </c>
      <c r="N156" s="147" t="str">
        <f t="shared" si="138"/>
        <v/>
      </c>
      <c r="O156" s="148" t="str">
        <f t="shared" si="139"/>
        <v/>
      </c>
      <c r="P156" s="261" t="str">
        <f t="shared" si="140"/>
        <v/>
      </c>
      <c r="Q156" s="147" t="str">
        <f t="shared" si="141"/>
        <v/>
      </c>
      <c r="R156" s="148" t="str">
        <f t="shared" si="142"/>
        <v/>
      </c>
      <c r="S156" s="259"/>
      <c r="T156" s="2"/>
      <c r="U156" s="264">
        <v>152</v>
      </c>
      <c r="V156" s="16" t="str">
        <f t="shared" si="143"/>
        <v/>
      </c>
      <c r="W156" s="16" t="str">
        <f t="shared" si="144"/>
        <v/>
      </c>
      <c r="X156" s="16" t="str">
        <f t="shared" si="116"/>
        <v/>
      </c>
      <c r="Y156" s="16" t="str">
        <f t="shared" si="117"/>
        <v/>
      </c>
      <c r="Z156" s="16" t="str">
        <f t="shared" si="118"/>
        <v/>
      </c>
      <c r="AA156" s="16" t="str">
        <f t="shared" si="145"/>
        <v/>
      </c>
      <c r="AB156" s="16" t="str">
        <f t="shared" si="146"/>
        <v/>
      </c>
      <c r="AC156" s="29" t="str">
        <f t="shared" si="119"/>
        <v/>
      </c>
      <c r="AD156" s="29" t="str">
        <f t="shared" si="120"/>
        <v/>
      </c>
      <c r="AE156" s="2"/>
      <c r="AF156" s="2"/>
      <c r="AG156" s="2"/>
      <c r="AH156" s="2"/>
      <c r="AI156" s="2"/>
      <c r="AJ156" s="2"/>
      <c r="AK156" s="2"/>
      <c r="AL156" s="2"/>
      <c r="AM156" s="2"/>
      <c r="AN156" s="2"/>
      <c r="AO156" s="2"/>
      <c r="AP156" s="2"/>
      <c r="AQ156" s="2"/>
    </row>
    <row r="157" spans="1:43" x14ac:dyDescent="0.25">
      <c r="A157" s="260" t="str">
        <f t="shared" si="125"/>
        <v>#15:</v>
      </c>
      <c r="B157" s="147">
        <f t="shared" si="126"/>
        <v>342.15365389723291</v>
      </c>
      <c r="C157" s="148">
        <f t="shared" si="127"/>
        <v>8.0191462528234894</v>
      </c>
      <c r="D157" s="261" t="str">
        <f t="shared" si="128"/>
        <v/>
      </c>
      <c r="E157" s="147" t="str">
        <f t="shared" si="129"/>
        <v/>
      </c>
      <c r="F157" s="148" t="str">
        <f t="shared" si="130"/>
        <v/>
      </c>
      <c r="G157" s="261" t="str">
        <f t="shared" si="131"/>
        <v/>
      </c>
      <c r="H157" s="147" t="str">
        <f t="shared" si="132"/>
        <v/>
      </c>
      <c r="I157" s="148" t="str">
        <f t="shared" si="133"/>
        <v/>
      </c>
      <c r="J157" s="261" t="str">
        <f t="shared" si="134"/>
        <v/>
      </c>
      <c r="K157" s="147" t="str">
        <f t="shared" si="135"/>
        <v/>
      </c>
      <c r="L157" s="148" t="str">
        <f t="shared" si="136"/>
        <v/>
      </c>
      <c r="M157" s="261" t="str">
        <f t="shared" si="137"/>
        <v/>
      </c>
      <c r="N157" s="147" t="str">
        <f t="shared" si="138"/>
        <v/>
      </c>
      <c r="O157" s="148" t="str">
        <f t="shared" si="139"/>
        <v/>
      </c>
      <c r="P157" s="261" t="str">
        <f t="shared" si="140"/>
        <v/>
      </c>
      <c r="Q157" s="147" t="str">
        <f t="shared" si="141"/>
        <v/>
      </c>
      <c r="R157" s="148" t="str">
        <f t="shared" si="142"/>
        <v/>
      </c>
      <c r="S157" s="259"/>
      <c r="T157" s="2"/>
      <c r="U157" s="264">
        <v>153</v>
      </c>
      <c r="V157" s="16" t="str">
        <f t="shared" si="143"/>
        <v/>
      </c>
      <c r="W157" s="16" t="str">
        <f t="shared" si="144"/>
        <v/>
      </c>
      <c r="X157" s="16" t="str">
        <f t="shared" si="116"/>
        <v/>
      </c>
      <c r="Y157" s="16" t="str">
        <f t="shared" si="117"/>
        <v/>
      </c>
      <c r="Z157" s="16" t="str">
        <f t="shared" si="118"/>
        <v/>
      </c>
      <c r="AA157" s="16" t="str">
        <f t="shared" si="145"/>
        <v/>
      </c>
      <c r="AB157" s="16" t="str">
        <f t="shared" si="146"/>
        <v/>
      </c>
      <c r="AC157" s="29" t="str">
        <f t="shared" si="119"/>
        <v/>
      </c>
      <c r="AD157" s="29" t="str">
        <f t="shared" si="120"/>
        <v/>
      </c>
      <c r="AE157" s="2"/>
      <c r="AF157" s="2"/>
      <c r="AG157" s="2"/>
      <c r="AH157" s="2"/>
      <c r="AI157" s="2"/>
      <c r="AJ157" s="2"/>
      <c r="AK157" s="2"/>
      <c r="AL157" s="2"/>
      <c r="AM157" s="2"/>
      <c r="AN157" s="2"/>
      <c r="AO157" s="2"/>
      <c r="AP157" s="2"/>
      <c r="AQ157" s="2"/>
    </row>
    <row r="158" spans="1:43" x14ac:dyDescent="0.25">
      <c r="A158" s="260" t="str">
        <f t="shared" si="125"/>
        <v>#16:</v>
      </c>
      <c r="B158" s="147">
        <f t="shared" si="126"/>
        <v>339.90707392427527</v>
      </c>
      <c r="C158" s="148">
        <f t="shared" si="127"/>
        <v>8.0191462528234894</v>
      </c>
      <c r="D158" s="261" t="str">
        <f t="shared" si="128"/>
        <v/>
      </c>
      <c r="E158" s="147" t="str">
        <f t="shared" si="129"/>
        <v/>
      </c>
      <c r="F158" s="148" t="str">
        <f t="shared" si="130"/>
        <v/>
      </c>
      <c r="G158" s="261" t="str">
        <f t="shared" si="131"/>
        <v/>
      </c>
      <c r="H158" s="147" t="str">
        <f t="shared" si="132"/>
        <v/>
      </c>
      <c r="I158" s="148" t="str">
        <f t="shared" si="133"/>
        <v/>
      </c>
      <c r="J158" s="261" t="str">
        <f t="shared" si="134"/>
        <v/>
      </c>
      <c r="K158" s="147" t="str">
        <f t="shared" si="135"/>
        <v/>
      </c>
      <c r="L158" s="148" t="str">
        <f t="shared" si="136"/>
        <v/>
      </c>
      <c r="M158" s="261" t="str">
        <f t="shared" si="137"/>
        <v/>
      </c>
      <c r="N158" s="147" t="str">
        <f t="shared" si="138"/>
        <v/>
      </c>
      <c r="O158" s="148" t="str">
        <f t="shared" si="139"/>
        <v/>
      </c>
      <c r="P158" s="261" t="str">
        <f t="shared" si="140"/>
        <v/>
      </c>
      <c r="Q158" s="147" t="str">
        <f t="shared" si="141"/>
        <v/>
      </c>
      <c r="R158" s="148" t="str">
        <f t="shared" si="142"/>
        <v/>
      </c>
      <c r="S158" s="259"/>
      <c r="T158" s="2"/>
      <c r="U158" s="264">
        <v>154</v>
      </c>
      <c r="V158" s="16" t="str">
        <f t="shared" si="143"/>
        <v/>
      </c>
      <c r="W158" s="16" t="str">
        <f t="shared" si="144"/>
        <v/>
      </c>
      <c r="X158" s="16" t="str">
        <f t="shared" si="116"/>
        <v/>
      </c>
      <c r="Y158" s="16" t="str">
        <f t="shared" si="117"/>
        <v/>
      </c>
      <c r="Z158" s="16" t="str">
        <f t="shared" si="118"/>
        <v/>
      </c>
      <c r="AA158" s="16" t="str">
        <f t="shared" si="145"/>
        <v/>
      </c>
      <c r="AB158" s="16" t="str">
        <f t="shared" si="146"/>
        <v/>
      </c>
      <c r="AC158" s="29" t="str">
        <f t="shared" si="119"/>
        <v/>
      </c>
      <c r="AD158" s="29" t="str">
        <f t="shared" si="120"/>
        <v/>
      </c>
      <c r="AE158" s="2"/>
      <c r="AF158" s="2"/>
      <c r="AG158" s="2"/>
      <c r="AH158" s="2"/>
      <c r="AI158" s="2"/>
      <c r="AJ158" s="2"/>
      <c r="AK158" s="2"/>
      <c r="AL158" s="2"/>
      <c r="AM158" s="2"/>
      <c r="AN158" s="2"/>
      <c r="AO158" s="2"/>
      <c r="AP158" s="2"/>
      <c r="AQ158" s="2"/>
    </row>
    <row r="159" spans="1:43" x14ac:dyDescent="0.25">
      <c r="A159" s="260" t="str">
        <f t="shared" si="125"/>
        <v>#17:</v>
      </c>
      <c r="B159" s="147">
        <f t="shared" si="126"/>
        <v>337.66049395131768</v>
      </c>
      <c r="C159" s="148">
        <f t="shared" si="127"/>
        <v>8.0191462528234894</v>
      </c>
      <c r="D159" s="261" t="str">
        <f t="shared" si="128"/>
        <v/>
      </c>
      <c r="E159" s="147" t="str">
        <f t="shared" si="129"/>
        <v/>
      </c>
      <c r="F159" s="148" t="str">
        <f t="shared" si="130"/>
        <v/>
      </c>
      <c r="G159" s="261" t="str">
        <f t="shared" si="131"/>
        <v/>
      </c>
      <c r="H159" s="147" t="str">
        <f t="shared" si="132"/>
        <v/>
      </c>
      <c r="I159" s="148" t="str">
        <f t="shared" si="133"/>
        <v/>
      </c>
      <c r="J159" s="261" t="str">
        <f t="shared" si="134"/>
        <v/>
      </c>
      <c r="K159" s="147" t="str">
        <f t="shared" si="135"/>
        <v/>
      </c>
      <c r="L159" s="148" t="str">
        <f t="shared" si="136"/>
        <v/>
      </c>
      <c r="M159" s="261" t="str">
        <f t="shared" si="137"/>
        <v/>
      </c>
      <c r="N159" s="147" t="str">
        <f t="shared" si="138"/>
        <v/>
      </c>
      <c r="O159" s="148" t="str">
        <f t="shared" si="139"/>
        <v/>
      </c>
      <c r="P159" s="261" t="str">
        <f t="shared" si="140"/>
        <v/>
      </c>
      <c r="Q159" s="147" t="str">
        <f t="shared" si="141"/>
        <v/>
      </c>
      <c r="R159" s="148" t="str">
        <f t="shared" si="142"/>
        <v/>
      </c>
      <c r="S159" s="259"/>
      <c r="T159" s="2"/>
      <c r="U159" s="264">
        <v>155</v>
      </c>
      <c r="V159" s="16" t="str">
        <f t="shared" si="143"/>
        <v/>
      </c>
      <c r="W159" s="16" t="str">
        <f t="shared" si="144"/>
        <v/>
      </c>
      <c r="X159" s="16" t="str">
        <f t="shared" si="116"/>
        <v/>
      </c>
      <c r="Y159" s="16" t="str">
        <f t="shared" si="117"/>
        <v/>
      </c>
      <c r="Z159" s="16" t="str">
        <f t="shared" si="118"/>
        <v/>
      </c>
      <c r="AA159" s="16" t="str">
        <f t="shared" si="145"/>
        <v/>
      </c>
      <c r="AB159" s="16" t="str">
        <f t="shared" si="146"/>
        <v/>
      </c>
      <c r="AC159" s="29" t="str">
        <f t="shared" si="119"/>
        <v/>
      </c>
      <c r="AD159" s="29" t="str">
        <f t="shared" si="120"/>
        <v/>
      </c>
      <c r="AE159" s="2"/>
      <c r="AF159" s="2"/>
      <c r="AG159" s="2"/>
      <c r="AH159" s="2"/>
      <c r="AI159" s="2"/>
      <c r="AJ159" s="2"/>
      <c r="AK159" s="2"/>
      <c r="AL159" s="2"/>
      <c r="AM159" s="2"/>
      <c r="AN159" s="2"/>
      <c r="AO159" s="2"/>
      <c r="AP159" s="2"/>
      <c r="AQ159" s="2"/>
    </row>
    <row r="160" spans="1:43" x14ac:dyDescent="0.25">
      <c r="A160" s="260" t="str">
        <f t="shared" si="125"/>
        <v>#18:</v>
      </c>
      <c r="B160" s="147">
        <f t="shared" si="126"/>
        <v>335.41391397836009</v>
      </c>
      <c r="C160" s="148">
        <f t="shared" si="127"/>
        <v>8.0191462528234894</v>
      </c>
      <c r="D160" s="261" t="str">
        <f t="shared" si="128"/>
        <v/>
      </c>
      <c r="E160" s="147" t="str">
        <f t="shared" si="129"/>
        <v/>
      </c>
      <c r="F160" s="148" t="str">
        <f t="shared" si="130"/>
        <v/>
      </c>
      <c r="G160" s="261" t="str">
        <f t="shared" si="131"/>
        <v/>
      </c>
      <c r="H160" s="147" t="str">
        <f t="shared" si="132"/>
        <v/>
      </c>
      <c r="I160" s="148" t="str">
        <f t="shared" si="133"/>
        <v/>
      </c>
      <c r="J160" s="261" t="str">
        <f t="shared" si="134"/>
        <v/>
      </c>
      <c r="K160" s="147" t="str">
        <f t="shared" si="135"/>
        <v/>
      </c>
      <c r="L160" s="148" t="str">
        <f t="shared" si="136"/>
        <v/>
      </c>
      <c r="M160" s="261" t="str">
        <f t="shared" si="137"/>
        <v/>
      </c>
      <c r="N160" s="147" t="str">
        <f t="shared" si="138"/>
        <v/>
      </c>
      <c r="O160" s="148" t="str">
        <f t="shared" si="139"/>
        <v/>
      </c>
      <c r="P160" s="261" t="str">
        <f t="shared" si="140"/>
        <v/>
      </c>
      <c r="Q160" s="147" t="str">
        <f t="shared" si="141"/>
        <v/>
      </c>
      <c r="R160" s="148" t="str">
        <f t="shared" si="142"/>
        <v/>
      </c>
      <c r="S160" s="259"/>
      <c r="T160" s="2"/>
      <c r="U160" s="264">
        <v>156</v>
      </c>
      <c r="V160" s="16" t="str">
        <f t="shared" si="143"/>
        <v/>
      </c>
      <c r="W160" s="16" t="str">
        <f t="shared" si="144"/>
        <v/>
      </c>
      <c r="X160" s="16" t="str">
        <f t="shared" si="116"/>
        <v/>
      </c>
      <c r="Y160" s="16" t="str">
        <f t="shared" si="117"/>
        <v/>
      </c>
      <c r="Z160" s="16" t="str">
        <f t="shared" si="118"/>
        <v/>
      </c>
      <c r="AA160" s="16" t="str">
        <f t="shared" si="145"/>
        <v/>
      </c>
      <c r="AB160" s="16" t="str">
        <f t="shared" si="146"/>
        <v/>
      </c>
      <c r="AC160" s="29" t="str">
        <f t="shared" si="119"/>
        <v/>
      </c>
      <c r="AD160" s="29" t="str">
        <f t="shared" si="120"/>
        <v/>
      </c>
      <c r="AE160" s="2"/>
      <c r="AF160" s="2"/>
      <c r="AG160" s="2"/>
      <c r="AH160" s="2"/>
      <c r="AI160" s="2"/>
      <c r="AJ160" s="2"/>
      <c r="AK160" s="2"/>
      <c r="AL160" s="2"/>
      <c r="AM160" s="2"/>
      <c r="AN160" s="2"/>
      <c r="AO160" s="2"/>
      <c r="AP160" s="2"/>
      <c r="AQ160" s="2"/>
    </row>
    <row r="161" spans="1:43" x14ac:dyDescent="0.25">
      <c r="A161" s="260" t="str">
        <f t="shared" si="125"/>
        <v>#19:</v>
      </c>
      <c r="B161" s="147">
        <f t="shared" si="126"/>
        <v>333.16733400540249</v>
      </c>
      <c r="C161" s="148">
        <f t="shared" si="127"/>
        <v>8.0191462528234894</v>
      </c>
      <c r="D161" s="261" t="str">
        <f t="shared" si="128"/>
        <v/>
      </c>
      <c r="E161" s="147" t="str">
        <f t="shared" si="129"/>
        <v/>
      </c>
      <c r="F161" s="148" t="str">
        <f t="shared" si="130"/>
        <v/>
      </c>
      <c r="G161" s="261" t="str">
        <f t="shared" si="131"/>
        <v/>
      </c>
      <c r="H161" s="147" t="str">
        <f t="shared" si="132"/>
        <v/>
      </c>
      <c r="I161" s="148" t="str">
        <f t="shared" si="133"/>
        <v/>
      </c>
      <c r="J161" s="261" t="str">
        <f t="shared" si="134"/>
        <v/>
      </c>
      <c r="K161" s="147" t="str">
        <f t="shared" si="135"/>
        <v/>
      </c>
      <c r="L161" s="148" t="str">
        <f t="shared" si="136"/>
        <v/>
      </c>
      <c r="M161" s="261" t="str">
        <f t="shared" si="137"/>
        <v/>
      </c>
      <c r="N161" s="147" t="str">
        <f t="shared" si="138"/>
        <v/>
      </c>
      <c r="O161" s="148" t="str">
        <f t="shared" si="139"/>
        <v/>
      </c>
      <c r="P161" s="261" t="str">
        <f t="shared" si="140"/>
        <v/>
      </c>
      <c r="Q161" s="147" t="str">
        <f t="shared" si="141"/>
        <v/>
      </c>
      <c r="R161" s="148" t="str">
        <f t="shared" si="142"/>
        <v/>
      </c>
      <c r="S161" s="259"/>
      <c r="T161" s="2"/>
      <c r="U161" s="264">
        <v>157</v>
      </c>
      <c r="V161" s="16" t="str">
        <f t="shared" si="143"/>
        <v/>
      </c>
      <c r="W161" s="16" t="str">
        <f t="shared" si="144"/>
        <v/>
      </c>
      <c r="X161" s="16" t="str">
        <f t="shared" si="116"/>
        <v/>
      </c>
      <c r="Y161" s="16" t="str">
        <f t="shared" si="117"/>
        <v/>
      </c>
      <c r="Z161" s="16" t="str">
        <f t="shared" si="118"/>
        <v/>
      </c>
      <c r="AA161" s="16" t="str">
        <f t="shared" si="145"/>
        <v/>
      </c>
      <c r="AB161" s="16" t="str">
        <f t="shared" si="146"/>
        <v/>
      </c>
      <c r="AC161" s="29" t="str">
        <f t="shared" si="119"/>
        <v/>
      </c>
      <c r="AD161" s="29" t="str">
        <f t="shared" si="120"/>
        <v/>
      </c>
      <c r="AE161" s="2"/>
      <c r="AF161" s="2"/>
      <c r="AG161" s="2"/>
      <c r="AH161" s="2"/>
      <c r="AI161" s="2"/>
      <c r="AJ161" s="2"/>
      <c r="AK161" s="2"/>
      <c r="AL161" s="2"/>
      <c r="AM161" s="2"/>
      <c r="AN161" s="2"/>
      <c r="AO161" s="2"/>
      <c r="AP161" s="2"/>
      <c r="AQ161" s="2"/>
    </row>
    <row r="162" spans="1:43" x14ac:dyDescent="0.25">
      <c r="A162" s="260" t="str">
        <f t="shared" si="125"/>
        <v>#20:</v>
      </c>
      <c r="B162" s="147">
        <f t="shared" si="126"/>
        <v>330.9207540324449</v>
      </c>
      <c r="C162" s="148">
        <f t="shared" si="127"/>
        <v>8.0191462528234894</v>
      </c>
      <c r="D162" s="261" t="str">
        <f t="shared" si="128"/>
        <v/>
      </c>
      <c r="E162" s="147" t="str">
        <f t="shared" si="129"/>
        <v/>
      </c>
      <c r="F162" s="148" t="str">
        <f t="shared" si="130"/>
        <v/>
      </c>
      <c r="G162" s="261" t="str">
        <f t="shared" si="131"/>
        <v/>
      </c>
      <c r="H162" s="147" t="str">
        <f t="shared" si="132"/>
        <v/>
      </c>
      <c r="I162" s="148" t="str">
        <f t="shared" si="133"/>
        <v/>
      </c>
      <c r="J162" s="261" t="str">
        <f t="shared" si="134"/>
        <v/>
      </c>
      <c r="K162" s="147" t="str">
        <f t="shared" si="135"/>
        <v/>
      </c>
      <c r="L162" s="148" t="str">
        <f t="shared" si="136"/>
        <v/>
      </c>
      <c r="M162" s="261" t="str">
        <f t="shared" si="137"/>
        <v/>
      </c>
      <c r="N162" s="147" t="str">
        <f t="shared" si="138"/>
        <v/>
      </c>
      <c r="O162" s="148" t="str">
        <f t="shared" si="139"/>
        <v/>
      </c>
      <c r="P162" s="261" t="str">
        <f t="shared" si="140"/>
        <v/>
      </c>
      <c r="Q162" s="147" t="str">
        <f t="shared" si="141"/>
        <v/>
      </c>
      <c r="R162" s="148" t="str">
        <f t="shared" si="142"/>
        <v/>
      </c>
      <c r="S162" s="259"/>
      <c r="T162" s="2"/>
      <c r="U162" s="264">
        <v>158</v>
      </c>
      <c r="V162" s="16" t="str">
        <f t="shared" si="143"/>
        <v/>
      </c>
      <c r="W162" s="16" t="str">
        <f t="shared" si="144"/>
        <v/>
      </c>
      <c r="X162" s="16" t="str">
        <f t="shared" si="116"/>
        <v/>
      </c>
      <c r="Y162" s="16" t="str">
        <f t="shared" si="117"/>
        <v/>
      </c>
      <c r="Z162" s="16" t="str">
        <f t="shared" si="118"/>
        <v/>
      </c>
      <c r="AA162" s="16" t="str">
        <f t="shared" si="145"/>
        <v/>
      </c>
      <c r="AB162" s="16" t="str">
        <f t="shared" si="146"/>
        <v/>
      </c>
      <c r="AC162" s="29" t="str">
        <f t="shared" si="119"/>
        <v/>
      </c>
      <c r="AD162" s="29" t="str">
        <f t="shared" si="120"/>
        <v/>
      </c>
      <c r="AE162" s="2"/>
      <c r="AF162" s="2"/>
      <c r="AG162" s="2"/>
      <c r="AH162" s="2"/>
      <c r="AI162" s="2"/>
      <c r="AJ162" s="2"/>
      <c r="AK162" s="2"/>
      <c r="AL162" s="2"/>
      <c r="AM162" s="2"/>
      <c r="AN162" s="2"/>
      <c r="AO162" s="2"/>
      <c r="AP162" s="2"/>
      <c r="AQ162" s="2"/>
    </row>
    <row r="163" spans="1:43" x14ac:dyDescent="0.25">
      <c r="A163" s="260" t="str">
        <f t="shared" si="125"/>
        <v>#21:</v>
      </c>
      <c r="B163" s="147">
        <f t="shared" si="126"/>
        <v>336.3125459675552</v>
      </c>
      <c r="C163" s="148">
        <f t="shared" si="127"/>
        <v>8.0191462528234894</v>
      </c>
      <c r="D163" s="261" t="str">
        <f t="shared" si="128"/>
        <v/>
      </c>
      <c r="E163" s="147" t="str">
        <f t="shared" si="129"/>
        <v/>
      </c>
      <c r="F163" s="148" t="str">
        <f t="shared" si="130"/>
        <v/>
      </c>
      <c r="G163" s="261" t="str">
        <f t="shared" si="131"/>
        <v/>
      </c>
      <c r="H163" s="147" t="str">
        <f t="shared" si="132"/>
        <v/>
      </c>
      <c r="I163" s="148" t="str">
        <f t="shared" si="133"/>
        <v/>
      </c>
      <c r="J163" s="261" t="str">
        <f t="shared" si="134"/>
        <v/>
      </c>
      <c r="K163" s="147" t="str">
        <f t="shared" si="135"/>
        <v/>
      </c>
      <c r="L163" s="148" t="str">
        <f t="shared" si="136"/>
        <v/>
      </c>
      <c r="M163" s="261" t="str">
        <f t="shared" si="137"/>
        <v/>
      </c>
      <c r="N163" s="147" t="str">
        <f t="shared" si="138"/>
        <v/>
      </c>
      <c r="O163" s="148" t="str">
        <f t="shared" si="139"/>
        <v/>
      </c>
      <c r="P163" s="261" t="str">
        <f t="shared" si="140"/>
        <v/>
      </c>
      <c r="Q163" s="147" t="str">
        <f t="shared" si="141"/>
        <v/>
      </c>
      <c r="R163" s="148" t="str">
        <f t="shared" si="142"/>
        <v/>
      </c>
      <c r="S163" s="259"/>
      <c r="T163" s="2"/>
      <c r="U163" s="264">
        <v>159</v>
      </c>
      <c r="V163" s="16" t="str">
        <f t="shared" si="143"/>
        <v/>
      </c>
      <c r="W163" s="16" t="str">
        <f t="shared" si="144"/>
        <v/>
      </c>
      <c r="X163" s="16" t="str">
        <f t="shared" si="116"/>
        <v/>
      </c>
      <c r="Y163" s="16" t="str">
        <f t="shared" si="117"/>
        <v/>
      </c>
      <c r="Z163" s="16" t="str">
        <f t="shared" si="118"/>
        <v/>
      </c>
      <c r="AA163" s="16" t="str">
        <f t="shared" si="145"/>
        <v/>
      </c>
      <c r="AB163" s="16" t="str">
        <f t="shared" si="146"/>
        <v/>
      </c>
      <c r="AC163" s="29" t="str">
        <f t="shared" si="119"/>
        <v/>
      </c>
      <c r="AD163" s="29" t="str">
        <f t="shared" si="120"/>
        <v/>
      </c>
      <c r="AE163" s="2"/>
      <c r="AF163" s="2"/>
      <c r="AG163" s="2"/>
      <c r="AH163" s="2"/>
      <c r="AI163" s="2"/>
      <c r="AJ163" s="2"/>
      <c r="AK163" s="2"/>
      <c r="AL163" s="2"/>
      <c r="AM163" s="2"/>
      <c r="AN163" s="2"/>
      <c r="AO163" s="2"/>
      <c r="AP163" s="2"/>
      <c r="AQ163" s="2"/>
    </row>
    <row r="164" spans="1:43" x14ac:dyDescent="0.25">
      <c r="A164" s="260" t="str">
        <f t="shared" si="125"/>
        <v>#22:</v>
      </c>
      <c r="B164" s="147">
        <f t="shared" si="126"/>
        <v>334.0659659945976</v>
      </c>
      <c r="C164" s="148">
        <f t="shared" si="127"/>
        <v>8.0191462528234894</v>
      </c>
      <c r="D164" s="261" t="str">
        <f t="shared" si="128"/>
        <v/>
      </c>
      <c r="E164" s="147" t="str">
        <f t="shared" si="129"/>
        <v/>
      </c>
      <c r="F164" s="148" t="str">
        <f t="shared" si="130"/>
        <v/>
      </c>
      <c r="G164" s="261" t="str">
        <f t="shared" si="131"/>
        <v/>
      </c>
      <c r="H164" s="147" t="str">
        <f t="shared" si="132"/>
        <v/>
      </c>
      <c r="I164" s="148" t="str">
        <f t="shared" si="133"/>
        <v/>
      </c>
      <c r="J164" s="261" t="str">
        <f t="shared" si="134"/>
        <v/>
      </c>
      <c r="K164" s="147" t="str">
        <f t="shared" si="135"/>
        <v/>
      </c>
      <c r="L164" s="148" t="str">
        <f t="shared" si="136"/>
        <v/>
      </c>
      <c r="M164" s="261" t="str">
        <f t="shared" si="137"/>
        <v/>
      </c>
      <c r="N164" s="147" t="str">
        <f t="shared" si="138"/>
        <v/>
      </c>
      <c r="O164" s="148" t="str">
        <f t="shared" si="139"/>
        <v/>
      </c>
      <c r="P164" s="261" t="str">
        <f t="shared" si="140"/>
        <v/>
      </c>
      <c r="Q164" s="147" t="str">
        <f t="shared" si="141"/>
        <v/>
      </c>
      <c r="R164" s="148" t="str">
        <f t="shared" si="142"/>
        <v/>
      </c>
      <c r="S164" s="259"/>
      <c r="T164" s="2"/>
      <c r="U164" s="264">
        <v>160</v>
      </c>
      <c r="V164" s="16" t="str">
        <f t="shared" si="143"/>
        <v/>
      </c>
      <c r="W164" s="16" t="str">
        <f t="shared" si="144"/>
        <v/>
      </c>
      <c r="X164" s="16" t="str">
        <f t="shared" si="116"/>
        <v/>
      </c>
      <c r="Y164" s="16" t="str">
        <f t="shared" si="117"/>
        <v/>
      </c>
      <c r="Z164" s="16" t="str">
        <f t="shared" si="118"/>
        <v/>
      </c>
      <c r="AA164" s="16" t="str">
        <f t="shared" si="145"/>
        <v/>
      </c>
      <c r="AB164" s="16" t="str">
        <f t="shared" si="146"/>
        <v/>
      </c>
      <c r="AC164" s="29" t="str">
        <f t="shared" si="119"/>
        <v/>
      </c>
      <c r="AD164" s="29" t="str">
        <f t="shared" si="120"/>
        <v/>
      </c>
      <c r="AE164" s="2"/>
      <c r="AF164" s="2"/>
      <c r="AG164" s="2"/>
      <c r="AH164" s="2"/>
      <c r="AI164" s="2"/>
      <c r="AJ164" s="2"/>
      <c r="AK164" s="2"/>
      <c r="AL164" s="2"/>
      <c r="AM164" s="2"/>
      <c r="AN164" s="2"/>
      <c r="AO164" s="2"/>
      <c r="AP164" s="2"/>
      <c r="AQ164" s="2"/>
    </row>
    <row r="165" spans="1:43" x14ac:dyDescent="0.25">
      <c r="A165" s="260" t="str">
        <f t="shared" si="125"/>
        <v>#23:</v>
      </c>
      <c r="B165" s="147">
        <f t="shared" si="126"/>
        <v>331.81938602164001</v>
      </c>
      <c r="C165" s="148">
        <f t="shared" si="127"/>
        <v>8.0191462528234894</v>
      </c>
      <c r="D165" s="261" t="str">
        <f t="shared" si="128"/>
        <v/>
      </c>
      <c r="E165" s="147" t="str">
        <f t="shared" si="129"/>
        <v/>
      </c>
      <c r="F165" s="148" t="str">
        <f t="shared" si="130"/>
        <v/>
      </c>
      <c r="G165" s="261" t="str">
        <f t="shared" si="131"/>
        <v/>
      </c>
      <c r="H165" s="147" t="str">
        <f t="shared" si="132"/>
        <v/>
      </c>
      <c r="I165" s="148" t="str">
        <f t="shared" si="133"/>
        <v/>
      </c>
      <c r="J165" s="261" t="str">
        <f t="shared" si="134"/>
        <v/>
      </c>
      <c r="K165" s="147" t="str">
        <f t="shared" si="135"/>
        <v/>
      </c>
      <c r="L165" s="148" t="str">
        <f t="shared" si="136"/>
        <v/>
      </c>
      <c r="M165" s="261" t="str">
        <f t="shared" si="137"/>
        <v/>
      </c>
      <c r="N165" s="147" t="str">
        <f t="shared" si="138"/>
        <v/>
      </c>
      <c r="O165" s="148" t="str">
        <f t="shared" si="139"/>
        <v/>
      </c>
      <c r="P165" s="261" t="str">
        <f t="shared" si="140"/>
        <v/>
      </c>
      <c r="Q165" s="147" t="str">
        <f t="shared" si="141"/>
        <v/>
      </c>
      <c r="R165" s="148" t="str">
        <f t="shared" si="142"/>
        <v/>
      </c>
      <c r="S165" s="259"/>
      <c r="T165" s="2"/>
      <c r="U165" s="264">
        <v>161</v>
      </c>
      <c r="V165" s="16" t="str">
        <f t="shared" si="143"/>
        <v/>
      </c>
      <c r="W165" s="16" t="str">
        <f t="shared" si="144"/>
        <v/>
      </c>
      <c r="X165" s="16" t="str">
        <f t="shared" si="116"/>
        <v/>
      </c>
      <c r="Y165" s="16" t="str">
        <f t="shared" si="117"/>
        <v/>
      </c>
      <c r="Z165" s="16" t="str">
        <f t="shared" si="118"/>
        <v/>
      </c>
      <c r="AA165" s="16" t="str">
        <f t="shared" si="145"/>
        <v/>
      </c>
      <c r="AB165" s="16" t="str">
        <f t="shared" si="146"/>
        <v/>
      </c>
      <c r="AC165" s="29" t="str">
        <f t="shared" si="119"/>
        <v/>
      </c>
      <c r="AD165" s="29" t="str">
        <f t="shared" si="120"/>
        <v/>
      </c>
      <c r="AE165" s="2"/>
      <c r="AF165" s="2"/>
      <c r="AG165" s="2"/>
      <c r="AH165" s="2"/>
      <c r="AI165" s="2"/>
      <c r="AJ165" s="2"/>
      <c r="AK165" s="2"/>
      <c r="AL165" s="2"/>
      <c r="AM165" s="2"/>
      <c r="AN165" s="2"/>
      <c r="AO165" s="2"/>
      <c r="AP165" s="2"/>
      <c r="AQ165" s="2"/>
    </row>
    <row r="166" spans="1:43" x14ac:dyDescent="0.25">
      <c r="A166" s="260" t="str">
        <f t="shared" si="125"/>
        <v>#24:</v>
      </c>
      <c r="B166" s="147">
        <f t="shared" si="126"/>
        <v>329.57280604868242</v>
      </c>
      <c r="C166" s="148">
        <f t="shared" si="127"/>
        <v>8.0191462528234894</v>
      </c>
      <c r="D166" s="261" t="str">
        <f t="shared" si="128"/>
        <v/>
      </c>
      <c r="E166" s="147" t="str">
        <f t="shared" si="129"/>
        <v/>
      </c>
      <c r="F166" s="148" t="str">
        <f t="shared" si="130"/>
        <v/>
      </c>
      <c r="G166" s="261" t="str">
        <f t="shared" si="131"/>
        <v/>
      </c>
      <c r="H166" s="147" t="str">
        <f t="shared" si="132"/>
        <v/>
      </c>
      <c r="I166" s="148" t="str">
        <f t="shared" si="133"/>
        <v/>
      </c>
      <c r="J166" s="261" t="str">
        <f t="shared" si="134"/>
        <v/>
      </c>
      <c r="K166" s="147" t="str">
        <f t="shared" si="135"/>
        <v/>
      </c>
      <c r="L166" s="148" t="str">
        <f t="shared" si="136"/>
        <v/>
      </c>
      <c r="M166" s="261" t="str">
        <f t="shared" si="137"/>
        <v/>
      </c>
      <c r="N166" s="147" t="str">
        <f t="shared" si="138"/>
        <v/>
      </c>
      <c r="O166" s="148" t="str">
        <f t="shared" si="139"/>
        <v/>
      </c>
      <c r="P166" s="261" t="str">
        <f t="shared" si="140"/>
        <v/>
      </c>
      <c r="Q166" s="147" t="str">
        <f t="shared" si="141"/>
        <v/>
      </c>
      <c r="R166" s="148" t="str">
        <f t="shared" si="142"/>
        <v/>
      </c>
      <c r="S166" s="259"/>
      <c r="T166" s="2"/>
      <c r="U166" s="264">
        <v>162</v>
      </c>
      <c r="V166" s="16" t="str">
        <f t="shared" si="143"/>
        <v/>
      </c>
      <c r="W166" s="16" t="str">
        <f t="shared" si="144"/>
        <v/>
      </c>
      <c r="X166" s="16" t="str">
        <f t="shared" si="116"/>
        <v/>
      </c>
      <c r="Y166" s="16" t="str">
        <f t="shared" si="117"/>
        <v/>
      </c>
      <c r="Z166" s="16" t="str">
        <f t="shared" si="118"/>
        <v/>
      </c>
      <c r="AA166" s="16" t="str">
        <f t="shared" si="145"/>
        <v/>
      </c>
      <c r="AB166" s="16" t="str">
        <f t="shared" si="146"/>
        <v/>
      </c>
      <c r="AC166" s="29" t="str">
        <f t="shared" si="119"/>
        <v/>
      </c>
      <c r="AD166" s="29" t="str">
        <f t="shared" si="120"/>
        <v/>
      </c>
      <c r="AE166" s="2"/>
      <c r="AF166" s="2"/>
      <c r="AG166" s="2"/>
      <c r="AH166" s="2"/>
      <c r="AI166" s="2"/>
      <c r="AJ166" s="2"/>
      <c r="AK166" s="2"/>
      <c r="AL166" s="2"/>
      <c r="AM166" s="2"/>
      <c r="AN166" s="2"/>
      <c r="AO166" s="2"/>
      <c r="AP166" s="2"/>
      <c r="AQ166" s="2"/>
    </row>
    <row r="167" spans="1:43" x14ac:dyDescent="0.25">
      <c r="A167" s="260" t="str">
        <f t="shared" si="125"/>
        <v>#25:</v>
      </c>
      <c r="B167" s="147">
        <f t="shared" si="126"/>
        <v>327.32622607572483</v>
      </c>
      <c r="C167" s="148">
        <f t="shared" si="127"/>
        <v>8.0191462528234894</v>
      </c>
      <c r="D167" s="261" t="str">
        <f t="shared" si="128"/>
        <v/>
      </c>
      <c r="E167" s="147" t="str">
        <f t="shared" si="129"/>
        <v/>
      </c>
      <c r="F167" s="148" t="str">
        <f t="shared" si="130"/>
        <v/>
      </c>
      <c r="G167" s="261" t="str">
        <f t="shared" si="131"/>
        <v/>
      </c>
      <c r="H167" s="147" t="str">
        <f t="shared" si="132"/>
        <v/>
      </c>
      <c r="I167" s="148" t="str">
        <f t="shared" si="133"/>
        <v/>
      </c>
      <c r="J167" s="261" t="str">
        <f t="shared" si="134"/>
        <v/>
      </c>
      <c r="K167" s="147" t="str">
        <f t="shared" si="135"/>
        <v/>
      </c>
      <c r="L167" s="148" t="str">
        <f t="shared" si="136"/>
        <v/>
      </c>
      <c r="M167" s="261" t="str">
        <f t="shared" si="137"/>
        <v/>
      </c>
      <c r="N167" s="147" t="str">
        <f t="shared" si="138"/>
        <v/>
      </c>
      <c r="O167" s="148" t="str">
        <f t="shared" si="139"/>
        <v/>
      </c>
      <c r="P167" s="261" t="str">
        <f t="shared" si="140"/>
        <v/>
      </c>
      <c r="Q167" s="147" t="str">
        <f t="shared" si="141"/>
        <v/>
      </c>
      <c r="R167" s="148" t="str">
        <f t="shared" si="142"/>
        <v/>
      </c>
      <c r="S167" s="259"/>
      <c r="T167" s="2"/>
      <c r="U167" s="264">
        <v>163</v>
      </c>
      <c r="V167" s="16" t="str">
        <f t="shared" si="143"/>
        <v/>
      </c>
      <c r="W167" s="16" t="str">
        <f t="shared" si="144"/>
        <v/>
      </c>
      <c r="X167" s="16" t="str">
        <f t="shared" si="116"/>
        <v/>
      </c>
      <c r="Y167" s="16" t="str">
        <f t="shared" si="117"/>
        <v/>
      </c>
      <c r="Z167" s="16" t="str">
        <f t="shared" si="118"/>
        <v/>
      </c>
      <c r="AA167" s="16" t="str">
        <f t="shared" si="145"/>
        <v/>
      </c>
      <c r="AB167" s="16" t="str">
        <f t="shared" si="146"/>
        <v/>
      </c>
      <c r="AC167" s="29" t="str">
        <f t="shared" si="119"/>
        <v/>
      </c>
      <c r="AD167" s="29" t="str">
        <f t="shared" si="120"/>
        <v/>
      </c>
      <c r="AE167" s="2"/>
      <c r="AF167" s="2"/>
      <c r="AG167" s="2"/>
      <c r="AH167" s="2"/>
      <c r="AI167" s="2"/>
      <c r="AJ167" s="2"/>
      <c r="AK167" s="2"/>
      <c r="AL167" s="2"/>
      <c r="AM167" s="2"/>
      <c r="AN167" s="2"/>
      <c r="AO167" s="2"/>
      <c r="AP167" s="2"/>
      <c r="AQ167" s="2"/>
    </row>
    <row r="168" spans="1:43" x14ac:dyDescent="0.25">
      <c r="A168" s="260" t="str">
        <f t="shared" si="125"/>
        <v>#26:</v>
      </c>
      <c r="B168" s="147">
        <f t="shared" si="126"/>
        <v>325.07964610276719</v>
      </c>
      <c r="C168" s="148">
        <f t="shared" si="127"/>
        <v>8.0191462528234894</v>
      </c>
      <c r="D168" s="261" t="str">
        <f t="shared" si="128"/>
        <v/>
      </c>
      <c r="E168" s="147" t="str">
        <f t="shared" si="129"/>
        <v/>
      </c>
      <c r="F168" s="148" t="str">
        <f t="shared" si="130"/>
        <v/>
      </c>
      <c r="G168" s="261" t="str">
        <f t="shared" si="131"/>
        <v/>
      </c>
      <c r="H168" s="147" t="str">
        <f t="shared" si="132"/>
        <v/>
      </c>
      <c r="I168" s="148" t="str">
        <f t="shared" si="133"/>
        <v/>
      </c>
      <c r="J168" s="261" t="str">
        <f t="shared" si="134"/>
        <v/>
      </c>
      <c r="K168" s="147" t="str">
        <f t="shared" si="135"/>
        <v/>
      </c>
      <c r="L168" s="148" t="str">
        <f t="shared" si="136"/>
        <v/>
      </c>
      <c r="M168" s="261" t="str">
        <f t="shared" si="137"/>
        <v/>
      </c>
      <c r="N168" s="147" t="str">
        <f t="shared" si="138"/>
        <v/>
      </c>
      <c r="O168" s="148" t="str">
        <f t="shared" si="139"/>
        <v/>
      </c>
      <c r="P168" s="261" t="str">
        <f t="shared" si="140"/>
        <v/>
      </c>
      <c r="Q168" s="147" t="str">
        <f t="shared" si="141"/>
        <v/>
      </c>
      <c r="R168" s="148" t="str">
        <f t="shared" si="142"/>
        <v/>
      </c>
      <c r="S168" s="259"/>
      <c r="T168" s="2"/>
      <c r="U168" s="264">
        <v>164</v>
      </c>
      <c r="V168" s="16" t="str">
        <f t="shared" si="143"/>
        <v/>
      </c>
      <c r="W168" s="16" t="str">
        <f t="shared" si="144"/>
        <v/>
      </c>
      <c r="X168" s="16" t="str">
        <f t="shared" si="116"/>
        <v/>
      </c>
      <c r="Y168" s="16" t="str">
        <f t="shared" si="117"/>
        <v/>
      </c>
      <c r="Z168" s="16" t="str">
        <f t="shared" si="118"/>
        <v/>
      </c>
      <c r="AA168" s="16" t="str">
        <f t="shared" si="145"/>
        <v/>
      </c>
      <c r="AB168" s="16" t="str">
        <f t="shared" si="146"/>
        <v/>
      </c>
      <c r="AC168" s="29" t="str">
        <f t="shared" si="119"/>
        <v/>
      </c>
      <c r="AD168" s="29" t="str">
        <f t="shared" si="120"/>
        <v/>
      </c>
      <c r="AE168" s="2"/>
      <c r="AF168" s="2"/>
      <c r="AG168" s="2"/>
      <c r="AH168" s="2"/>
      <c r="AI168" s="2"/>
      <c r="AJ168" s="2"/>
      <c r="AK168" s="2"/>
      <c r="AL168" s="2"/>
      <c r="AM168" s="2"/>
      <c r="AN168" s="2"/>
      <c r="AO168" s="2"/>
      <c r="AP168" s="2"/>
      <c r="AQ168" s="2"/>
    </row>
    <row r="169" spans="1:43" x14ac:dyDescent="0.25">
      <c r="A169" s="260" t="str">
        <f t="shared" si="125"/>
        <v>#27:</v>
      </c>
      <c r="B169" s="147">
        <f t="shared" si="126"/>
        <v>322.83306612980959</v>
      </c>
      <c r="C169" s="148">
        <f t="shared" si="127"/>
        <v>8.0191462528234894</v>
      </c>
      <c r="D169" s="261" t="str">
        <f t="shared" si="128"/>
        <v/>
      </c>
      <c r="E169" s="147" t="str">
        <f t="shared" si="129"/>
        <v/>
      </c>
      <c r="F169" s="148" t="str">
        <f t="shared" si="130"/>
        <v/>
      </c>
      <c r="G169" s="261" t="str">
        <f t="shared" si="131"/>
        <v/>
      </c>
      <c r="H169" s="147" t="str">
        <f t="shared" si="132"/>
        <v/>
      </c>
      <c r="I169" s="148" t="str">
        <f t="shared" si="133"/>
        <v/>
      </c>
      <c r="J169" s="261" t="str">
        <f t="shared" si="134"/>
        <v/>
      </c>
      <c r="K169" s="147" t="str">
        <f t="shared" si="135"/>
        <v/>
      </c>
      <c r="L169" s="148" t="str">
        <f t="shared" si="136"/>
        <v/>
      </c>
      <c r="M169" s="261" t="str">
        <f t="shared" si="137"/>
        <v/>
      </c>
      <c r="N169" s="147" t="str">
        <f t="shared" si="138"/>
        <v/>
      </c>
      <c r="O169" s="148" t="str">
        <f t="shared" si="139"/>
        <v/>
      </c>
      <c r="P169" s="261" t="str">
        <f t="shared" si="140"/>
        <v/>
      </c>
      <c r="Q169" s="147" t="str">
        <f t="shared" si="141"/>
        <v/>
      </c>
      <c r="R169" s="148" t="str">
        <f t="shared" si="142"/>
        <v/>
      </c>
      <c r="S169" s="259"/>
      <c r="T169" s="2"/>
      <c r="U169" s="264">
        <v>165</v>
      </c>
      <c r="V169" s="16" t="str">
        <f t="shared" si="143"/>
        <v/>
      </c>
      <c r="W169" s="16" t="str">
        <f t="shared" si="144"/>
        <v/>
      </c>
      <c r="X169" s="16" t="str">
        <f t="shared" si="116"/>
        <v/>
      </c>
      <c r="Y169" s="16" t="str">
        <f t="shared" si="117"/>
        <v/>
      </c>
      <c r="Z169" s="16" t="str">
        <f t="shared" si="118"/>
        <v/>
      </c>
      <c r="AA169" s="16" t="str">
        <f t="shared" si="145"/>
        <v/>
      </c>
      <c r="AB169" s="16" t="str">
        <f t="shared" si="146"/>
        <v/>
      </c>
      <c r="AC169" s="29" t="str">
        <f t="shared" si="119"/>
        <v/>
      </c>
      <c r="AD169" s="29" t="str">
        <f t="shared" si="120"/>
        <v/>
      </c>
      <c r="AE169" s="2"/>
      <c r="AF169" s="2"/>
      <c r="AG169" s="2"/>
      <c r="AH169" s="2"/>
      <c r="AI169" s="2"/>
      <c r="AJ169" s="2"/>
      <c r="AK169" s="2"/>
      <c r="AL169" s="2"/>
      <c r="AM169" s="2"/>
      <c r="AN169" s="2"/>
      <c r="AO169" s="2"/>
      <c r="AP169" s="2"/>
      <c r="AQ169" s="2"/>
    </row>
    <row r="170" spans="1:43" x14ac:dyDescent="0.25">
      <c r="A170" s="260" t="str">
        <f t="shared" si="125"/>
        <v>#28:</v>
      </c>
      <c r="B170" s="147">
        <f t="shared" si="126"/>
        <v>320.586486156852</v>
      </c>
      <c r="C170" s="148">
        <f t="shared" si="127"/>
        <v>8.0191462528234894</v>
      </c>
      <c r="D170" s="261" t="str">
        <f t="shared" si="128"/>
        <v/>
      </c>
      <c r="E170" s="147" t="str">
        <f t="shared" si="129"/>
        <v/>
      </c>
      <c r="F170" s="148" t="str">
        <f t="shared" si="130"/>
        <v/>
      </c>
      <c r="G170" s="261" t="str">
        <f t="shared" si="131"/>
        <v/>
      </c>
      <c r="H170" s="147" t="str">
        <f t="shared" si="132"/>
        <v/>
      </c>
      <c r="I170" s="148" t="str">
        <f t="shared" si="133"/>
        <v/>
      </c>
      <c r="J170" s="261" t="str">
        <f t="shared" si="134"/>
        <v/>
      </c>
      <c r="K170" s="147" t="str">
        <f t="shared" si="135"/>
        <v/>
      </c>
      <c r="L170" s="148" t="str">
        <f t="shared" si="136"/>
        <v/>
      </c>
      <c r="M170" s="261" t="str">
        <f t="shared" si="137"/>
        <v/>
      </c>
      <c r="N170" s="147" t="str">
        <f t="shared" si="138"/>
        <v/>
      </c>
      <c r="O170" s="148" t="str">
        <f t="shared" si="139"/>
        <v/>
      </c>
      <c r="P170" s="261" t="str">
        <f t="shared" si="140"/>
        <v/>
      </c>
      <c r="Q170" s="147" t="str">
        <f t="shared" si="141"/>
        <v/>
      </c>
      <c r="R170" s="148" t="str">
        <f t="shared" si="142"/>
        <v/>
      </c>
      <c r="S170" s="259"/>
      <c r="T170" s="2"/>
      <c r="U170" s="264">
        <v>166</v>
      </c>
      <c r="V170" s="16" t="str">
        <f t="shared" si="143"/>
        <v/>
      </c>
      <c r="W170" s="16" t="str">
        <f t="shared" si="144"/>
        <v/>
      </c>
      <c r="X170" s="16" t="str">
        <f t="shared" si="116"/>
        <v/>
      </c>
      <c r="Y170" s="16" t="str">
        <f t="shared" si="117"/>
        <v/>
      </c>
      <c r="Z170" s="16" t="str">
        <f t="shared" si="118"/>
        <v/>
      </c>
      <c r="AA170" s="16" t="str">
        <f t="shared" si="145"/>
        <v/>
      </c>
      <c r="AB170" s="16" t="str">
        <f t="shared" si="146"/>
        <v/>
      </c>
      <c r="AC170" s="29" t="str">
        <f t="shared" si="119"/>
        <v/>
      </c>
      <c r="AD170" s="29" t="str">
        <f t="shared" si="120"/>
        <v/>
      </c>
      <c r="AE170" s="2"/>
      <c r="AF170" s="2"/>
      <c r="AG170" s="2"/>
      <c r="AH170" s="2"/>
      <c r="AI170" s="2"/>
      <c r="AJ170" s="2"/>
      <c r="AK170" s="2"/>
      <c r="AL170" s="2"/>
      <c r="AM170" s="2"/>
      <c r="AN170" s="2"/>
      <c r="AO170" s="2"/>
      <c r="AP170" s="2"/>
      <c r="AQ170" s="2"/>
    </row>
    <row r="171" spans="1:43" x14ac:dyDescent="0.25">
      <c r="A171" s="260" t="str">
        <f t="shared" si="125"/>
        <v>#29:</v>
      </c>
      <c r="B171" s="147">
        <f t="shared" si="126"/>
        <v>318.33990618389441</v>
      </c>
      <c r="C171" s="148">
        <f t="shared" si="127"/>
        <v>8.0191462528234894</v>
      </c>
      <c r="D171" s="261" t="str">
        <f t="shared" si="128"/>
        <v/>
      </c>
      <c r="E171" s="147" t="str">
        <f t="shared" si="129"/>
        <v/>
      </c>
      <c r="F171" s="148" t="str">
        <f t="shared" si="130"/>
        <v/>
      </c>
      <c r="G171" s="261" t="str">
        <f t="shared" si="131"/>
        <v/>
      </c>
      <c r="H171" s="147" t="str">
        <f t="shared" si="132"/>
        <v/>
      </c>
      <c r="I171" s="148" t="str">
        <f t="shared" si="133"/>
        <v/>
      </c>
      <c r="J171" s="261" t="str">
        <f t="shared" si="134"/>
        <v/>
      </c>
      <c r="K171" s="147" t="str">
        <f t="shared" si="135"/>
        <v/>
      </c>
      <c r="L171" s="148" t="str">
        <f t="shared" si="136"/>
        <v/>
      </c>
      <c r="M171" s="261" t="str">
        <f t="shared" si="137"/>
        <v/>
      </c>
      <c r="N171" s="147" t="str">
        <f t="shared" si="138"/>
        <v/>
      </c>
      <c r="O171" s="148" t="str">
        <f t="shared" si="139"/>
        <v/>
      </c>
      <c r="P171" s="261" t="str">
        <f t="shared" si="140"/>
        <v/>
      </c>
      <c r="Q171" s="147" t="str">
        <f t="shared" si="141"/>
        <v/>
      </c>
      <c r="R171" s="148" t="str">
        <f t="shared" si="142"/>
        <v/>
      </c>
      <c r="S171" s="259"/>
      <c r="T171" s="2"/>
      <c r="U171" s="264">
        <v>167</v>
      </c>
      <c r="V171" s="16" t="str">
        <f t="shared" si="143"/>
        <v/>
      </c>
      <c r="W171" s="16" t="str">
        <f t="shared" si="144"/>
        <v/>
      </c>
      <c r="X171" s="16" t="str">
        <f t="shared" si="116"/>
        <v/>
      </c>
      <c r="Y171" s="16" t="str">
        <f t="shared" si="117"/>
        <v/>
      </c>
      <c r="Z171" s="16" t="str">
        <f t="shared" si="118"/>
        <v/>
      </c>
      <c r="AA171" s="16" t="str">
        <f t="shared" si="145"/>
        <v/>
      </c>
      <c r="AB171" s="16" t="str">
        <f t="shared" si="146"/>
        <v/>
      </c>
      <c r="AC171" s="29" t="str">
        <f t="shared" si="119"/>
        <v/>
      </c>
      <c r="AD171" s="29" t="str">
        <f t="shared" si="120"/>
        <v/>
      </c>
      <c r="AE171" s="2"/>
      <c r="AF171" s="2"/>
      <c r="AG171" s="2"/>
      <c r="AH171" s="2"/>
      <c r="AI171" s="2"/>
      <c r="AJ171" s="2"/>
      <c r="AK171" s="2"/>
      <c r="AL171" s="2"/>
      <c r="AM171" s="2"/>
      <c r="AN171" s="2"/>
      <c r="AO171" s="2"/>
      <c r="AP171" s="2"/>
      <c r="AQ171" s="2"/>
    </row>
    <row r="172" spans="1:43" x14ac:dyDescent="0.25">
      <c r="A172" s="260" t="str">
        <f t="shared" si="125"/>
        <v>#30:</v>
      </c>
      <c r="B172" s="147">
        <f t="shared" si="126"/>
        <v>316.09332621093682</v>
      </c>
      <c r="C172" s="148">
        <f t="shared" si="127"/>
        <v>8.0191462528234894</v>
      </c>
      <c r="D172" s="261" t="str">
        <f t="shared" si="128"/>
        <v/>
      </c>
      <c r="E172" s="147" t="str">
        <f t="shared" si="129"/>
        <v/>
      </c>
      <c r="F172" s="148" t="str">
        <f t="shared" si="130"/>
        <v/>
      </c>
      <c r="G172" s="261" t="str">
        <f t="shared" si="131"/>
        <v/>
      </c>
      <c r="H172" s="147" t="str">
        <f t="shared" si="132"/>
        <v/>
      </c>
      <c r="I172" s="148" t="str">
        <f t="shared" si="133"/>
        <v/>
      </c>
      <c r="J172" s="261" t="str">
        <f t="shared" si="134"/>
        <v/>
      </c>
      <c r="K172" s="147" t="str">
        <f t="shared" si="135"/>
        <v/>
      </c>
      <c r="L172" s="148" t="str">
        <f t="shared" si="136"/>
        <v/>
      </c>
      <c r="M172" s="261" t="str">
        <f t="shared" si="137"/>
        <v/>
      </c>
      <c r="N172" s="147" t="str">
        <f t="shared" si="138"/>
        <v/>
      </c>
      <c r="O172" s="148" t="str">
        <f t="shared" si="139"/>
        <v/>
      </c>
      <c r="P172" s="261" t="str">
        <f t="shared" si="140"/>
        <v/>
      </c>
      <c r="Q172" s="147" t="str">
        <f t="shared" si="141"/>
        <v/>
      </c>
      <c r="R172" s="148" t="str">
        <f t="shared" si="142"/>
        <v/>
      </c>
      <c r="S172" s="259"/>
      <c r="T172" s="2"/>
      <c r="U172" s="264">
        <v>168</v>
      </c>
      <c r="V172" s="16" t="str">
        <f t="shared" si="143"/>
        <v/>
      </c>
      <c r="W172" s="16" t="str">
        <f t="shared" si="144"/>
        <v/>
      </c>
      <c r="X172" s="16" t="str">
        <f t="shared" si="116"/>
        <v/>
      </c>
      <c r="Y172" s="16" t="str">
        <f t="shared" si="117"/>
        <v/>
      </c>
      <c r="Z172" s="16" t="str">
        <f t="shared" si="118"/>
        <v/>
      </c>
      <c r="AA172" s="16" t="str">
        <f t="shared" si="145"/>
        <v/>
      </c>
      <c r="AB172" s="16" t="str">
        <f t="shared" si="146"/>
        <v/>
      </c>
      <c r="AC172" s="29" t="str">
        <f t="shared" si="119"/>
        <v/>
      </c>
      <c r="AD172" s="29" t="str">
        <f t="shared" si="120"/>
        <v/>
      </c>
      <c r="AE172" s="2"/>
      <c r="AF172" s="2"/>
      <c r="AG172" s="2"/>
      <c r="AH172" s="2"/>
      <c r="AI172" s="2"/>
      <c r="AJ172" s="2"/>
      <c r="AK172" s="2"/>
      <c r="AL172" s="2"/>
      <c r="AM172" s="2"/>
      <c r="AN172" s="2"/>
      <c r="AO172" s="2"/>
      <c r="AP172" s="2"/>
      <c r="AQ172" s="2"/>
    </row>
    <row r="173" spans="1:43" x14ac:dyDescent="0.25">
      <c r="A173" s="260" t="str">
        <f t="shared" si="125"/>
        <v>#31:</v>
      </c>
      <c r="B173" s="147">
        <f t="shared" si="126"/>
        <v>321.48511814604706</v>
      </c>
      <c r="C173" s="148">
        <f t="shared" si="127"/>
        <v>8.0191462528234894</v>
      </c>
      <c r="D173" s="261" t="str">
        <f t="shared" si="128"/>
        <v/>
      </c>
      <c r="E173" s="147" t="str">
        <f t="shared" si="129"/>
        <v/>
      </c>
      <c r="F173" s="148" t="str">
        <f t="shared" si="130"/>
        <v/>
      </c>
      <c r="G173" s="261" t="str">
        <f t="shared" si="131"/>
        <v/>
      </c>
      <c r="H173" s="147" t="str">
        <f t="shared" si="132"/>
        <v/>
      </c>
      <c r="I173" s="148" t="str">
        <f t="shared" si="133"/>
        <v/>
      </c>
      <c r="J173" s="261" t="str">
        <f t="shared" si="134"/>
        <v/>
      </c>
      <c r="K173" s="147" t="str">
        <f t="shared" si="135"/>
        <v/>
      </c>
      <c r="L173" s="148" t="str">
        <f t="shared" si="136"/>
        <v/>
      </c>
      <c r="M173" s="261" t="str">
        <f t="shared" si="137"/>
        <v/>
      </c>
      <c r="N173" s="147" t="str">
        <f t="shared" si="138"/>
        <v/>
      </c>
      <c r="O173" s="148" t="str">
        <f t="shared" si="139"/>
        <v/>
      </c>
      <c r="P173" s="261" t="str">
        <f t="shared" si="140"/>
        <v/>
      </c>
      <c r="Q173" s="147" t="str">
        <f t="shared" si="141"/>
        <v/>
      </c>
      <c r="R173" s="148" t="str">
        <f t="shared" si="142"/>
        <v/>
      </c>
      <c r="S173" s="259"/>
      <c r="T173" s="2"/>
      <c r="U173" s="264">
        <v>169</v>
      </c>
      <c r="V173" s="16" t="str">
        <f t="shared" si="143"/>
        <v/>
      </c>
      <c r="W173" s="16" t="str">
        <f t="shared" si="144"/>
        <v/>
      </c>
      <c r="X173" s="16" t="str">
        <f t="shared" si="116"/>
        <v/>
      </c>
      <c r="Y173" s="16" t="str">
        <f t="shared" si="117"/>
        <v/>
      </c>
      <c r="Z173" s="16" t="str">
        <f t="shared" si="118"/>
        <v/>
      </c>
      <c r="AA173" s="16" t="str">
        <f t="shared" si="145"/>
        <v/>
      </c>
      <c r="AB173" s="16" t="str">
        <f t="shared" si="146"/>
        <v/>
      </c>
      <c r="AC173" s="29" t="str">
        <f t="shared" si="119"/>
        <v/>
      </c>
      <c r="AD173" s="29" t="str">
        <f t="shared" si="120"/>
        <v/>
      </c>
      <c r="AE173" s="2"/>
      <c r="AF173" s="2"/>
      <c r="AG173" s="2"/>
      <c r="AH173" s="2"/>
      <c r="AI173" s="2"/>
      <c r="AJ173" s="2"/>
      <c r="AK173" s="2"/>
      <c r="AL173" s="2"/>
      <c r="AM173" s="2"/>
      <c r="AN173" s="2"/>
      <c r="AO173" s="2"/>
      <c r="AP173" s="2"/>
      <c r="AQ173" s="2"/>
    </row>
    <row r="174" spans="1:43" x14ac:dyDescent="0.25">
      <c r="A174" s="260" t="str">
        <f t="shared" si="125"/>
        <v>#32:</v>
      </c>
      <c r="B174" s="147">
        <f t="shared" si="126"/>
        <v>319.23853817308947</v>
      </c>
      <c r="C174" s="148">
        <f t="shared" si="127"/>
        <v>8.0191462528234894</v>
      </c>
      <c r="D174" s="261" t="str">
        <f t="shared" si="128"/>
        <v/>
      </c>
      <c r="E174" s="147" t="str">
        <f t="shared" si="129"/>
        <v/>
      </c>
      <c r="F174" s="148" t="str">
        <f t="shared" si="130"/>
        <v/>
      </c>
      <c r="G174" s="261" t="str">
        <f t="shared" si="131"/>
        <v/>
      </c>
      <c r="H174" s="147" t="str">
        <f t="shared" si="132"/>
        <v/>
      </c>
      <c r="I174" s="148" t="str">
        <f t="shared" si="133"/>
        <v/>
      </c>
      <c r="J174" s="261" t="str">
        <f t="shared" si="134"/>
        <v/>
      </c>
      <c r="K174" s="147" t="str">
        <f t="shared" si="135"/>
        <v/>
      </c>
      <c r="L174" s="148" t="str">
        <f t="shared" si="136"/>
        <v/>
      </c>
      <c r="M174" s="261" t="str">
        <f t="shared" si="137"/>
        <v/>
      </c>
      <c r="N174" s="147" t="str">
        <f t="shared" si="138"/>
        <v/>
      </c>
      <c r="O174" s="148" t="str">
        <f t="shared" si="139"/>
        <v/>
      </c>
      <c r="P174" s="261" t="str">
        <f t="shared" si="140"/>
        <v/>
      </c>
      <c r="Q174" s="147" t="str">
        <f t="shared" si="141"/>
        <v/>
      </c>
      <c r="R174" s="148" t="str">
        <f t="shared" si="142"/>
        <v/>
      </c>
      <c r="S174" s="259"/>
      <c r="T174" s="2"/>
      <c r="U174" s="264">
        <v>170</v>
      </c>
      <c r="V174" s="16" t="str">
        <f t="shared" si="143"/>
        <v/>
      </c>
      <c r="W174" s="16" t="str">
        <f t="shared" si="144"/>
        <v/>
      </c>
      <c r="X174" s="16" t="str">
        <f t="shared" si="116"/>
        <v/>
      </c>
      <c r="Y174" s="16" t="str">
        <f t="shared" si="117"/>
        <v/>
      </c>
      <c r="Z174" s="16" t="str">
        <f t="shared" si="118"/>
        <v/>
      </c>
      <c r="AA174" s="16" t="str">
        <f t="shared" si="145"/>
        <v/>
      </c>
      <c r="AB174" s="16" t="str">
        <f t="shared" si="146"/>
        <v/>
      </c>
      <c r="AC174" s="29" t="str">
        <f t="shared" si="119"/>
        <v/>
      </c>
      <c r="AD174" s="29" t="str">
        <f t="shared" si="120"/>
        <v/>
      </c>
      <c r="AE174" s="2"/>
      <c r="AF174" s="2"/>
      <c r="AG174" s="2"/>
      <c r="AH174" s="2"/>
      <c r="AI174" s="2"/>
      <c r="AJ174" s="2"/>
      <c r="AK174" s="2"/>
      <c r="AL174" s="2"/>
      <c r="AM174" s="2"/>
      <c r="AN174" s="2"/>
      <c r="AO174" s="2"/>
      <c r="AP174" s="2"/>
      <c r="AQ174" s="2"/>
    </row>
    <row r="175" spans="1:43" x14ac:dyDescent="0.25">
      <c r="A175" s="260" t="str">
        <f t="shared" ref="A175:A192" si="147">IF($C$9&gt;=$U37,"#"&amp;$U37&amp;":","")</f>
        <v>#33:</v>
      </c>
      <c r="B175" s="147">
        <f t="shared" ref="B175:B192" si="148">$AC37</f>
        <v>316.99195820013188</v>
      </c>
      <c r="C175" s="148">
        <f t="shared" ref="C175:C192" si="149">$AD37</f>
        <v>8.0191462528234894</v>
      </c>
      <c r="D175" s="261" t="str">
        <f t="shared" ref="D175:D192" si="150">IF($C$9&gt;=$U87,"#"&amp;$U87&amp;":","")</f>
        <v/>
      </c>
      <c r="E175" s="147" t="str">
        <f t="shared" ref="E175:E192" si="151">$AC87</f>
        <v/>
      </c>
      <c r="F175" s="148" t="str">
        <f t="shared" ref="F175:F192" si="152">$AD87</f>
        <v/>
      </c>
      <c r="G175" s="261" t="str">
        <f t="shared" ref="G175:G192" si="153">IF($C$9&gt;=$U137,"#"&amp;$U137&amp;":","")</f>
        <v/>
      </c>
      <c r="H175" s="147" t="str">
        <f t="shared" ref="H175:H192" si="154">$AC137</f>
        <v/>
      </c>
      <c r="I175" s="148" t="str">
        <f t="shared" ref="I175:I192" si="155">$AD137</f>
        <v/>
      </c>
      <c r="J175" s="261" t="str">
        <f t="shared" ref="J175:J192" si="156">IF($C$9&gt;=$U187,"#"&amp;$U187&amp;":","")</f>
        <v/>
      </c>
      <c r="K175" s="147" t="str">
        <f t="shared" ref="K175:K192" si="157">$AC187</f>
        <v/>
      </c>
      <c r="L175" s="148" t="str">
        <f t="shared" ref="L175:L192" si="158">$AD187</f>
        <v/>
      </c>
      <c r="M175" s="261" t="str">
        <f t="shared" ref="M175:M192" si="159">IF($C$9&gt;=$U237,"#"&amp;$U237&amp;":","")</f>
        <v/>
      </c>
      <c r="N175" s="147" t="str">
        <f t="shared" ref="N175:N192" si="160">$AC237</f>
        <v/>
      </c>
      <c r="O175" s="148" t="str">
        <f t="shared" ref="O175:O192" si="161">$AD237</f>
        <v/>
      </c>
      <c r="P175" s="261" t="str">
        <f t="shared" ref="P175:P192" si="162">IF($C$9&gt;=$U287,"#"&amp;$U287&amp;":","")</f>
        <v/>
      </c>
      <c r="Q175" s="147" t="str">
        <f t="shared" ref="Q175:Q192" si="163">$AC287</f>
        <v/>
      </c>
      <c r="R175" s="148" t="str">
        <f t="shared" ref="R175:R192" si="164">$AD287</f>
        <v/>
      </c>
      <c r="S175" s="259"/>
      <c r="T175" s="2"/>
      <c r="U175" s="264">
        <v>171</v>
      </c>
      <c r="V175" s="16" t="str">
        <f t="shared" si="143"/>
        <v/>
      </c>
      <c r="W175" s="16" t="str">
        <f t="shared" si="144"/>
        <v/>
      </c>
      <c r="X175" s="16" t="str">
        <f t="shared" si="116"/>
        <v/>
      </c>
      <c r="Y175" s="16" t="str">
        <f t="shared" si="117"/>
        <v/>
      </c>
      <c r="Z175" s="16" t="str">
        <f t="shared" si="118"/>
        <v/>
      </c>
      <c r="AA175" s="16" t="str">
        <f t="shared" si="145"/>
        <v/>
      </c>
      <c r="AB175" s="16" t="str">
        <f t="shared" si="146"/>
        <v/>
      </c>
      <c r="AC175" s="29" t="str">
        <f t="shared" si="119"/>
        <v/>
      </c>
      <c r="AD175" s="29" t="str">
        <f t="shared" si="120"/>
        <v/>
      </c>
      <c r="AE175" s="2"/>
      <c r="AF175" s="2"/>
      <c r="AG175" s="2"/>
      <c r="AH175" s="2"/>
      <c r="AI175" s="2"/>
      <c r="AJ175" s="2"/>
      <c r="AK175" s="2"/>
      <c r="AL175" s="2"/>
      <c r="AM175" s="2"/>
      <c r="AN175" s="2"/>
      <c r="AO175" s="2"/>
      <c r="AP175" s="2"/>
      <c r="AQ175" s="2"/>
    </row>
    <row r="176" spans="1:43" x14ac:dyDescent="0.25">
      <c r="A176" s="260" t="str">
        <f t="shared" si="147"/>
        <v>#34:</v>
      </c>
      <c r="B176" s="147">
        <f t="shared" si="148"/>
        <v>314.74537822717429</v>
      </c>
      <c r="C176" s="148">
        <f t="shared" si="149"/>
        <v>8.0191462528234894</v>
      </c>
      <c r="D176" s="261" t="str">
        <f t="shared" si="150"/>
        <v/>
      </c>
      <c r="E176" s="147" t="str">
        <f t="shared" si="151"/>
        <v/>
      </c>
      <c r="F176" s="148" t="str">
        <f t="shared" si="152"/>
        <v/>
      </c>
      <c r="G176" s="261" t="str">
        <f t="shared" si="153"/>
        <v/>
      </c>
      <c r="H176" s="147" t="str">
        <f t="shared" si="154"/>
        <v/>
      </c>
      <c r="I176" s="148" t="str">
        <f t="shared" si="155"/>
        <v/>
      </c>
      <c r="J176" s="261" t="str">
        <f t="shared" si="156"/>
        <v/>
      </c>
      <c r="K176" s="147" t="str">
        <f t="shared" si="157"/>
        <v/>
      </c>
      <c r="L176" s="148" t="str">
        <f t="shared" si="158"/>
        <v/>
      </c>
      <c r="M176" s="261" t="str">
        <f t="shared" si="159"/>
        <v/>
      </c>
      <c r="N176" s="147" t="str">
        <f t="shared" si="160"/>
        <v/>
      </c>
      <c r="O176" s="148" t="str">
        <f t="shared" si="161"/>
        <v/>
      </c>
      <c r="P176" s="261" t="str">
        <f t="shared" si="162"/>
        <v/>
      </c>
      <c r="Q176" s="147" t="str">
        <f t="shared" si="163"/>
        <v/>
      </c>
      <c r="R176" s="148" t="str">
        <f t="shared" si="164"/>
        <v/>
      </c>
      <c r="S176" s="259"/>
      <c r="T176" s="2"/>
      <c r="U176" s="264">
        <v>172</v>
      </c>
      <c r="V176" s="16" t="str">
        <f t="shared" si="143"/>
        <v/>
      </c>
      <c r="W176" s="16" t="str">
        <f t="shared" si="144"/>
        <v/>
      </c>
      <c r="X176" s="16" t="str">
        <f t="shared" si="116"/>
        <v/>
      </c>
      <c r="Y176" s="16" t="str">
        <f t="shared" si="117"/>
        <v/>
      </c>
      <c r="Z176" s="16" t="str">
        <f t="shared" si="118"/>
        <v/>
      </c>
      <c r="AA176" s="16" t="str">
        <f t="shared" si="145"/>
        <v/>
      </c>
      <c r="AB176" s="16" t="str">
        <f t="shared" si="146"/>
        <v/>
      </c>
      <c r="AC176" s="29" t="str">
        <f t="shared" si="119"/>
        <v/>
      </c>
      <c r="AD176" s="29" t="str">
        <f t="shared" si="120"/>
        <v/>
      </c>
      <c r="AE176" s="2"/>
      <c r="AF176" s="2"/>
      <c r="AG176" s="2"/>
      <c r="AH176" s="2"/>
      <c r="AI176" s="2"/>
      <c r="AJ176" s="2"/>
      <c r="AK176" s="2"/>
      <c r="AL176" s="2"/>
      <c r="AM176" s="2"/>
      <c r="AN176" s="2"/>
      <c r="AO176" s="2"/>
      <c r="AP176" s="2"/>
      <c r="AQ176" s="2"/>
    </row>
    <row r="177" spans="1:43" x14ac:dyDescent="0.25">
      <c r="A177" s="260" t="str">
        <f t="shared" si="147"/>
        <v>#35:</v>
      </c>
      <c r="B177" s="147">
        <f t="shared" si="148"/>
        <v>312.49879825421669</v>
      </c>
      <c r="C177" s="148">
        <f t="shared" si="149"/>
        <v>8.0191462528234894</v>
      </c>
      <c r="D177" s="261" t="str">
        <f t="shared" si="150"/>
        <v/>
      </c>
      <c r="E177" s="147" t="str">
        <f t="shared" si="151"/>
        <v/>
      </c>
      <c r="F177" s="148" t="str">
        <f t="shared" si="152"/>
        <v/>
      </c>
      <c r="G177" s="261" t="str">
        <f t="shared" si="153"/>
        <v/>
      </c>
      <c r="H177" s="147" t="str">
        <f t="shared" si="154"/>
        <v/>
      </c>
      <c r="I177" s="148" t="str">
        <f t="shared" si="155"/>
        <v/>
      </c>
      <c r="J177" s="261" t="str">
        <f t="shared" si="156"/>
        <v/>
      </c>
      <c r="K177" s="147" t="str">
        <f t="shared" si="157"/>
        <v/>
      </c>
      <c r="L177" s="148" t="str">
        <f t="shared" si="158"/>
        <v/>
      </c>
      <c r="M177" s="261" t="str">
        <f t="shared" si="159"/>
        <v/>
      </c>
      <c r="N177" s="147" t="str">
        <f t="shared" si="160"/>
        <v/>
      </c>
      <c r="O177" s="148" t="str">
        <f t="shared" si="161"/>
        <v/>
      </c>
      <c r="P177" s="261" t="str">
        <f t="shared" si="162"/>
        <v/>
      </c>
      <c r="Q177" s="147" t="str">
        <f t="shared" si="163"/>
        <v/>
      </c>
      <c r="R177" s="148" t="str">
        <f t="shared" si="164"/>
        <v/>
      </c>
      <c r="S177" s="259"/>
      <c r="T177" s="2"/>
      <c r="U177" s="264">
        <v>173</v>
      </c>
      <c r="V177" s="16" t="str">
        <f t="shared" si="143"/>
        <v/>
      </c>
      <c r="W177" s="16" t="str">
        <f t="shared" si="144"/>
        <v/>
      </c>
      <c r="X177" s="16" t="str">
        <f t="shared" si="116"/>
        <v/>
      </c>
      <c r="Y177" s="16" t="str">
        <f t="shared" si="117"/>
        <v/>
      </c>
      <c r="Z177" s="16" t="str">
        <f t="shared" si="118"/>
        <v/>
      </c>
      <c r="AA177" s="16" t="str">
        <f t="shared" si="145"/>
        <v/>
      </c>
      <c r="AB177" s="16" t="str">
        <f t="shared" si="146"/>
        <v/>
      </c>
      <c r="AC177" s="29" t="str">
        <f t="shared" si="119"/>
        <v/>
      </c>
      <c r="AD177" s="29" t="str">
        <f t="shared" si="120"/>
        <v/>
      </c>
      <c r="AE177" s="2"/>
      <c r="AF177" s="2"/>
      <c r="AG177" s="2"/>
      <c r="AH177" s="2"/>
      <c r="AI177" s="2"/>
      <c r="AJ177" s="2"/>
      <c r="AK177" s="2"/>
      <c r="AL177" s="2"/>
      <c r="AM177" s="2"/>
      <c r="AN177" s="2"/>
      <c r="AO177" s="2"/>
      <c r="AP177" s="2"/>
      <c r="AQ177" s="2"/>
    </row>
    <row r="178" spans="1:43" x14ac:dyDescent="0.25">
      <c r="A178" s="260" t="str">
        <f t="shared" si="147"/>
        <v>#36:</v>
      </c>
      <c r="B178" s="147">
        <f t="shared" si="148"/>
        <v>310.25221828125905</v>
      </c>
      <c r="C178" s="148">
        <f t="shared" si="149"/>
        <v>8.0191462528234894</v>
      </c>
      <c r="D178" s="261" t="str">
        <f t="shared" si="150"/>
        <v/>
      </c>
      <c r="E178" s="147" t="str">
        <f t="shared" si="151"/>
        <v/>
      </c>
      <c r="F178" s="148" t="str">
        <f t="shared" si="152"/>
        <v/>
      </c>
      <c r="G178" s="261" t="str">
        <f t="shared" si="153"/>
        <v/>
      </c>
      <c r="H178" s="147" t="str">
        <f t="shared" si="154"/>
        <v/>
      </c>
      <c r="I178" s="148" t="str">
        <f t="shared" si="155"/>
        <v/>
      </c>
      <c r="J178" s="261" t="str">
        <f t="shared" si="156"/>
        <v/>
      </c>
      <c r="K178" s="147" t="str">
        <f t="shared" si="157"/>
        <v/>
      </c>
      <c r="L178" s="148" t="str">
        <f t="shared" si="158"/>
        <v/>
      </c>
      <c r="M178" s="261" t="str">
        <f t="shared" si="159"/>
        <v/>
      </c>
      <c r="N178" s="147" t="str">
        <f t="shared" si="160"/>
        <v/>
      </c>
      <c r="O178" s="148" t="str">
        <f t="shared" si="161"/>
        <v/>
      </c>
      <c r="P178" s="261" t="str">
        <f t="shared" si="162"/>
        <v/>
      </c>
      <c r="Q178" s="147" t="str">
        <f t="shared" si="163"/>
        <v/>
      </c>
      <c r="R178" s="148" t="str">
        <f t="shared" si="164"/>
        <v/>
      </c>
      <c r="S178" s="259"/>
      <c r="T178" s="2"/>
      <c r="U178" s="264">
        <v>174</v>
      </c>
      <c r="V178" s="16" t="str">
        <f t="shared" si="143"/>
        <v/>
      </c>
      <c r="W178" s="16" t="str">
        <f t="shared" si="144"/>
        <v/>
      </c>
      <c r="X178" s="16" t="str">
        <f t="shared" si="116"/>
        <v/>
      </c>
      <c r="Y178" s="16" t="str">
        <f t="shared" si="117"/>
        <v/>
      </c>
      <c r="Z178" s="16" t="str">
        <f t="shared" si="118"/>
        <v/>
      </c>
      <c r="AA178" s="16" t="str">
        <f t="shared" si="145"/>
        <v/>
      </c>
      <c r="AB178" s="16" t="str">
        <f t="shared" si="146"/>
        <v/>
      </c>
      <c r="AC178" s="29" t="str">
        <f t="shared" si="119"/>
        <v/>
      </c>
      <c r="AD178" s="29" t="str">
        <f t="shared" si="120"/>
        <v/>
      </c>
      <c r="AE178" s="2"/>
      <c r="AF178" s="2"/>
      <c r="AG178" s="2"/>
      <c r="AH178" s="2"/>
      <c r="AI178" s="2"/>
      <c r="AJ178" s="2"/>
      <c r="AK178" s="2"/>
      <c r="AL178" s="2"/>
      <c r="AM178" s="2"/>
      <c r="AN178" s="2"/>
      <c r="AO178" s="2"/>
      <c r="AP178" s="2"/>
      <c r="AQ178" s="2"/>
    </row>
    <row r="179" spans="1:43" x14ac:dyDescent="0.25">
      <c r="A179" s="260" t="str">
        <f t="shared" si="147"/>
        <v>#37:</v>
      </c>
      <c r="B179" s="147">
        <f t="shared" si="148"/>
        <v>308.00563830830146</v>
      </c>
      <c r="C179" s="148">
        <f t="shared" si="149"/>
        <v>8.0191462528234894</v>
      </c>
      <c r="D179" s="261" t="str">
        <f t="shared" si="150"/>
        <v/>
      </c>
      <c r="E179" s="147" t="str">
        <f t="shared" si="151"/>
        <v/>
      </c>
      <c r="F179" s="148" t="str">
        <f t="shared" si="152"/>
        <v/>
      </c>
      <c r="G179" s="261" t="str">
        <f t="shared" si="153"/>
        <v/>
      </c>
      <c r="H179" s="147" t="str">
        <f t="shared" si="154"/>
        <v/>
      </c>
      <c r="I179" s="148" t="str">
        <f t="shared" si="155"/>
        <v/>
      </c>
      <c r="J179" s="261" t="str">
        <f t="shared" si="156"/>
        <v/>
      </c>
      <c r="K179" s="147" t="str">
        <f t="shared" si="157"/>
        <v/>
      </c>
      <c r="L179" s="148" t="str">
        <f t="shared" si="158"/>
        <v/>
      </c>
      <c r="M179" s="261" t="str">
        <f t="shared" si="159"/>
        <v/>
      </c>
      <c r="N179" s="147" t="str">
        <f t="shared" si="160"/>
        <v/>
      </c>
      <c r="O179" s="148" t="str">
        <f t="shared" si="161"/>
        <v/>
      </c>
      <c r="P179" s="261" t="str">
        <f t="shared" si="162"/>
        <v/>
      </c>
      <c r="Q179" s="147" t="str">
        <f t="shared" si="163"/>
        <v/>
      </c>
      <c r="R179" s="148" t="str">
        <f t="shared" si="164"/>
        <v/>
      </c>
      <c r="S179" s="259"/>
      <c r="T179" s="2"/>
      <c r="U179" s="264">
        <v>175</v>
      </c>
      <c r="V179" s="16" t="str">
        <f t="shared" si="143"/>
        <v/>
      </c>
      <c r="W179" s="16" t="str">
        <f t="shared" si="144"/>
        <v/>
      </c>
      <c r="X179" s="16" t="str">
        <f t="shared" si="116"/>
        <v/>
      </c>
      <c r="Y179" s="16" t="str">
        <f t="shared" si="117"/>
        <v/>
      </c>
      <c r="Z179" s="16" t="str">
        <f t="shared" si="118"/>
        <v/>
      </c>
      <c r="AA179" s="16" t="str">
        <f t="shared" si="145"/>
        <v/>
      </c>
      <c r="AB179" s="16" t="str">
        <f t="shared" si="146"/>
        <v/>
      </c>
      <c r="AC179" s="29" t="str">
        <f t="shared" si="119"/>
        <v/>
      </c>
      <c r="AD179" s="29" t="str">
        <f t="shared" si="120"/>
        <v/>
      </c>
      <c r="AE179" s="2"/>
      <c r="AF179" s="2"/>
      <c r="AG179" s="2"/>
      <c r="AH179" s="2"/>
      <c r="AI179" s="2"/>
      <c r="AJ179" s="2"/>
      <c r="AK179" s="2"/>
      <c r="AL179" s="2"/>
      <c r="AM179" s="2"/>
      <c r="AN179" s="2"/>
      <c r="AO179" s="2"/>
      <c r="AP179" s="2"/>
      <c r="AQ179" s="2"/>
    </row>
    <row r="180" spans="1:43" x14ac:dyDescent="0.25">
      <c r="A180" s="260" t="str">
        <f t="shared" si="147"/>
        <v>#38:</v>
      </c>
      <c r="B180" s="147">
        <f t="shared" si="148"/>
        <v>305.75905833534387</v>
      </c>
      <c r="C180" s="148">
        <f t="shared" si="149"/>
        <v>8.0191462528234894</v>
      </c>
      <c r="D180" s="261" t="str">
        <f t="shared" si="150"/>
        <v/>
      </c>
      <c r="E180" s="147" t="str">
        <f t="shared" si="151"/>
        <v/>
      </c>
      <c r="F180" s="148" t="str">
        <f t="shared" si="152"/>
        <v/>
      </c>
      <c r="G180" s="261" t="str">
        <f t="shared" si="153"/>
        <v/>
      </c>
      <c r="H180" s="147" t="str">
        <f t="shared" si="154"/>
        <v/>
      </c>
      <c r="I180" s="148" t="str">
        <f t="shared" si="155"/>
        <v/>
      </c>
      <c r="J180" s="261" t="str">
        <f t="shared" si="156"/>
        <v/>
      </c>
      <c r="K180" s="147" t="str">
        <f t="shared" si="157"/>
        <v/>
      </c>
      <c r="L180" s="148" t="str">
        <f t="shared" si="158"/>
        <v/>
      </c>
      <c r="M180" s="261" t="str">
        <f t="shared" si="159"/>
        <v/>
      </c>
      <c r="N180" s="147" t="str">
        <f t="shared" si="160"/>
        <v/>
      </c>
      <c r="O180" s="148" t="str">
        <f t="shared" si="161"/>
        <v/>
      </c>
      <c r="P180" s="261" t="str">
        <f t="shared" si="162"/>
        <v/>
      </c>
      <c r="Q180" s="147" t="str">
        <f t="shared" si="163"/>
        <v/>
      </c>
      <c r="R180" s="148" t="str">
        <f t="shared" si="164"/>
        <v/>
      </c>
      <c r="S180" s="259"/>
      <c r="T180" s="2"/>
      <c r="U180" s="264">
        <v>176</v>
      </c>
      <c r="V180" s="16" t="str">
        <f t="shared" si="143"/>
        <v/>
      </c>
      <c r="W180" s="16" t="str">
        <f t="shared" si="144"/>
        <v/>
      </c>
      <c r="X180" s="16" t="str">
        <f t="shared" si="116"/>
        <v/>
      </c>
      <c r="Y180" s="16" t="str">
        <f t="shared" si="117"/>
        <v/>
      </c>
      <c r="Z180" s="16" t="str">
        <f t="shared" si="118"/>
        <v/>
      </c>
      <c r="AA180" s="16" t="str">
        <f t="shared" si="145"/>
        <v/>
      </c>
      <c r="AB180" s="16" t="str">
        <f t="shared" si="146"/>
        <v/>
      </c>
      <c r="AC180" s="29" t="str">
        <f t="shared" si="119"/>
        <v/>
      </c>
      <c r="AD180" s="29" t="str">
        <f t="shared" si="120"/>
        <v/>
      </c>
      <c r="AE180" s="2"/>
      <c r="AF180" s="2"/>
      <c r="AG180" s="2"/>
      <c r="AH180" s="2"/>
      <c r="AI180" s="2"/>
      <c r="AJ180" s="2"/>
      <c r="AK180" s="2"/>
      <c r="AL180" s="2"/>
      <c r="AM180" s="2"/>
      <c r="AN180" s="2"/>
      <c r="AO180" s="2"/>
      <c r="AP180" s="2"/>
      <c r="AQ180" s="2"/>
    </row>
    <row r="181" spans="1:43" x14ac:dyDescent="0.25">
      <c r="A181" s="260" t="str">
        <f t="shared" si="147"/>
        <v>#39:</v>
      </c>
      <c r="B181" s="147">
        <f t="shared" si="148"/>
        <v>303.51247836238628</v>
      </c>
      <c r="C181" s="148">
        <f t="shared" si="149"/>
        <v>8.0191462528234894</v>
      </c>
      <c r="D181" s="261" t="str">
        <f t="shared" si="150"/>
        <v/>
      </c>
      <c r="E181" s="147" t="str">
        <f t="shared" si="151"/>
        <v/>
      </c>
      <c r="F181" s="148" t="str">
        <f t="shared" si="152"/>
        <v/>
      </c>
      <c r="G181" s="261" t="str">
        <f t="shared" si="153"/>
        <v/>
      </c>
      <c r="H181" s="147" t="str">
        <f t="shared" si="154"/>
        <v/>
      </c>
      <c r="I181" s="148" t="str">
        <f t="shared" si="155"/>
        <v/>
      </c>
      <c r="J181" s="261" t="str">
        <f t="shared" si="156"/>
        <v/>
      </c>
      <c r="K181" s="147" t="str">
        <f t="shared" si="157"/>
        <v/>
      </c>
      <c r="L181" s="148" t="str">
        <f t="shared" si="158"/>
        <v/>
      </c>
      <c r="M181" s="261" t="str">
        <f t="shared" si="159"/>
        <v/>
      </c>
      <c r="N181" s="147" t="str">
        <f t="shared" si="160"/>
        <v/>
      </c>
      <c r="O181" s="148" t="str">
        <f t="shared" si="161"/>
        <v/>
      </c>
      <c r="P181" s="261" t="str">
        <f t="shared" si="162"/>
        <v/>
      </c>
      <c r="Q181" s="147" t="str">
        <f t="shared" si="163"/>
        <v/>
      </c>
      <c r="R181" s="148" t="str">
        <f t="shared" si="164"/>
        <v/>
      </c>
      <c r="S181" s="259"/>
      <c r="T181" s="2"/>
      <c r="U181" s="264">
        <v>177</v>
      </c>
      <c r="V181" s="16" t="str">
        <f t="shared" si="143"/>
        <v/>
      </c>
      <c r="W181" s="16" t="str">
        <f t="shared" si="144"/>
        <v/>
      </c>
      <c r="X181" s="16" t="str">
        <f t="shared" si="116"/>
        <v/>
      </c>
      <c r="Y181" s="16" t="str">
        <f t="shared" si="117"/>
        <v/>
      </c>
      <c r="Z181" s="16" t="str">
        <f t="shared" si="118"/>
        <v/>
      </c>
      <c r="AA181" s="16" t="str">
        <f t="shared" si="145"/>
        <v/>
      </c>
      <c r="AB181" s="16" t="str">
        <f t="shared" si="146"/>
        <v/>
      </c>
      <c r="AC181" s="29" t="str">
        <f t="shared" si="119"/>
        <v/>
      </c>
      <c r="AD181" s="29" t="str">
        <f t="shared" si="120"/>
        <v/>
      </c>
      <c r="AE181" s="2"/>
      <c r="AF181" s="2"/>
      <c r="AG181" s="2"/>
      <c r="AH181" s="2"/>
      <c r="AI181" s="2"/>
      <c r="AJ181" s="2"/>
      <c r="AK181" s="2"/>
      <c r="AL181" s="2"/>
      <c r="AM181" s="2"/>
      <c r="AN181" s="2"/>
      <c r="AO181" s="2"/>
      <c r="AP181" s="2"/>
      <c r="AQ181" s="2"/>
    </row>
    <row r="182" spans="1:43" x14ac:dyDescent="0.25">
      <c r="A182" s="260" t="str">
        <f t="shared" si="147"/>
        <v>#40:</v>
      </c>
      <c r="B182" s="147">
        <f t="shared" si="148"/>
        <v>301.26589838942868</v>
      </c>
      <c r="C182" s="148">
        <f t="shared" si="149"/>
        <v>8.0191462528234894</v>
      </c>
      <c r="D182" s="261" t="str">
        <f t="shared" si="150"/>
        <v/>
      </c>
      <c r="E182" s="147" t="str">
        <f t="shared" si="151"/>
        <v/>
      </c>
      <c r="F182" s="148" t="str">
        <f t="shared" si="152"/>
        <v/>
      </c>
      <c r="G182" s="261" t="str">
        <f t="shared" si="153"/>
        <v/>
      </c>
      <c r="H182" s="147" t="str">
        <f t="shared" si="154"/>
        <v/>
      </c>
      <c r="I182" s="148" t="str">
        <f t="shared" si="155"/>
        <v/>
      </c>
      <c r="J182" s="261" t="str">
        <f t="shared" si="156"/>
        <v/>
      </c>
      <c r="K182" s="147" t="str">
        <f t="shared" si="157"/>
        <v/>
      </c>
      <c r="L182" s="148" t="str">
        <f t="shared" si="158"/>
        <v/>
      </c>
      <c r="M182" s="261" t="str">
        <f t="shared" si="159"/>
        <v/>
      </c>
      <c r="N182" s="147" t="str">
        <f t="shared" si="160"/>
        <v/>
      </c>
      <c r="O182" s="148" t="str">
        <f t="shared" si="161"/>
        <v/>
      </c>
      <c r="P182" s="261" t="str">
        <f t="shared" si="162"/>
        <v/>
      </c>
      <c r="Q182" s="147" t="str">
        <f t="shared" si="163"/>
        <v/>
      </c>
      <c r="R182" s="148" t="str">
        <f t="shared" si="164"/>
        <v/>
      </c>
      <c r="S182" s="259"/>
      <c r="T182" s="2"/>
      <c r="U182" s="264">
        <v>178</v>
      </c>
      <c r="V182" s="16" t="str">
        <f t="shared" si="143"/>
        <v/>
      </c>
      <c r="W182" s="16" t="str">
        <f t="shared" si="144"/>
        <v/>
      </c>
      <c r="X182" s="16" t="str">
        <f t="shared" si="116"/>
        <v/>
      </c>
      <c r="Y182" s="16" t="str">
        <f t="shared" si="117"/>
        <v/>
      </c>
      <c r="Z182" s="16" t="str">
        <f t="shared" si="118"/>
        <v/>
      </c>
      <c r="AA182" s="16" t="str">
        <f t="shared" si="145"/>
        <v/>
      </c>
      <c r="AB182" s="16" t="str">
        <f t="shared" si="146"/>
        <v/>
      </c>
      <c r="AC182" s="29" t="str">
        <f t="shared" si="119"/>
        <v/>
      </c>
      <c r="AD182" s="29" t="str">
        <f t="shared" si="120"/>
        <v/>
      </c>
      <c r="AE182" s="2"/>
      <c r="AF182" s="2"/>
      <c r="AG182" s="2"/>
      <c r="AH182" s="2"/>
      <c r="AI182" s="2"/>
      <c r="AJ182" s="2"/>
      <c r="AK182" s="2"/>
      <c r="AL182" s="2"/>
      <c r="AM182" s="2"/>
      <c r="AN182" s="2"/>
      <c r="AO182" s="2"/>
      <c r="AP182" s="2"/>
      <c r="AQ182" s="2"/>
    </row>
    <row r="183" spans="1:43" x14ac:dyDescent="0.25">
      <c r="A183" s="260" t="str">
        <f t="shared" si="147"/>
        <v/>
      </c>
      <c r="B183" s="147" t="str">
        <f t="shared" si="148"/>
        <v/>
      </c>
      <c r="C183" s="148" t="str">
        <f t="shared" si="149"/>
        <v/>
      </c>
      <c r="D183" s="261" t="str">
        <f t="shared" si="150"/>
        <v/>
      </c>
      <c r="E183" s="147" t="str">
        <f t="shared" si="151"/>
        <v/>
      </c>
      <c r="F183" s="148" t="str">
        <f t="shared" si="152"/>
        <v/>
      </c>
      <c r="G183" s="261" t="str">
        <f t="shared" si="153"/>
        <v/>
      </c>
      <c r="H183" s="147" t="str">
        <f t="shared" si="154"/>
        <v/>
      </c>
      <c r="I183" s="148" t="str">
        <f t="shared" si="155"/>
        <v/>
      </c>
      <c r="J183" s="261" t="str">
        <f t="shared" si="156"/>
        <v/>
      </c>
      <c r="K183" s="147" t="str">
        <f t="shared" si="157"/>
        <v/>
      </c>
      <c r="L183" s="148" t="str">
        <f t="shared" si="158"/>
        <v/>
      </c>
      <c r="M183" s="261" t="str">
        <f t="shared" si="159"/>
        <v/>
      </c>
      <c r="N183" s="147" t="str">
        <f t="shared" si="160"/>
        <v/>
      </c>
      <c r="O183" s="148" t="str">
        <f t="shared" si="161"/>
        <v/>
      </c>
      <c r="P183" s="261" t="str">
        <f t="shared" si="162"/>
        <v/>
      </c>
      <c r="Q183" s="147" t="str">
        <f t="shared" si="163"/>
        <v/>
      </c>
      <c r="R183" s="148" t="str">
        <f t="shared" si="164"/>
        <v/>
      </c>
      <c r="S183" s="259"/>
      <c r="T183" s="2"/>
      <c r="U183" s="264">
        <v>179</v>
      </c>
      <c r="V183" s="16" t="str">
        <f t="shared" si="143"/>
        <v/>
      </c>
      <c r="W183" s="16" t="str">
        <f t="shared" si="144"/>
        <v/>
      </c>
      <c r="X183" s="16" t="str">
        <f t="shared" si="116"/>
        <v/>
      </c>
      <c r="Y183" s="16" t="str">
        <f t="shared" si="117"/>
        <v/>
      </c>
      <c r="Z183" s="16" t="str">
        <f t="shared" si="118"/>
        <v/>
      </c>
      <c r="AA183" s="16" t="str">
        <f t="shared" si="145"/>
        <v/>
      </c>
      <c r="AB183" s="16" t="str">
        <f t="shared" si="146"/>
        <v/>
      </c>
      <c r="AC183" s="29" t="str">
        <f t="shared" si="119"/>
        <v/>
      </c>
      <c r="AD183" s="29" t="str">
        <f t="shared" si="120"/>
        <v/>
      </c>
      <c r="AE183" s="2"/>
      <c r="AF183" s="2"/>
      <c r="AG183" s="2"/>
      <c r="AH183" s="2"/>
      <c r="AI183" s="2"/>
      <c r="AJ183" s="2"/>
      <c r="AK183" s="2"/>
      <c r="AL183" s="2"/>
      <c r="AM183" s="2"/>
      <c r="AN183" s="2"/>
      <c r="AO183" s="2"/>
      <c r="AP183" s="2"/>
      <c r="AQ183" s="2"/>
    </row>
    <row r="184" spans="1:43" x14ac:dyDescent="0.25">
      <c r="A184" s="260" t="str">
        <f t="shared" si="147"/>
        <v/>
      </c>
      <c r="B184" s="147" t="str">
        <f t="shared" si="148"/>
        <v/>
      </c>
      <c r="C184" s="148" t="str">
        <f t="shared" si="149"/>
        <v/>
      </c>
      <c r="D184" s="261" t="str">
        <f t="shared" si="150"/>
        <v/>
      </c>
      <c r="E184" s="147" t="str">
        <f t="shared" si="151"/>
        <v/>
      </c>
      <c r="F184" s="148" t="str">
        <f t="shared" si="152"/>
        <v/>
      </c>
      <c r="G184" s="261" t="str">
        <f t="shared" si="153"/>
        <v/>
      </c>
      <c r="H184" s="147" t="str">
        <f t="shared" si="154"/>
        <v/>
      </c>
      <c r="I184" s="148" t="str">
        <f t="shared" si="155"/>
        <v/>
      </c>
      <c r="J184" s="261" t="str">
        <f t="shared" si="156"/>
        <v/>
      </c>
      <c r="K184" s="147" t="str">
        <f t="shared" si="157"/>
        <v/>
      </c>
      <c r="L184" s="148" t="str">
        <f t="shared" si="158"/>
        <v/>
      </c>
      <c r="M184" s="261" t="str">
        <f t="shared" si="159"/>
        <v/>
      </c>
      <c r="N184" s="147" t="str">
        <f t="shared" si="160"/>
        <v/>
      </c>
      <c r="O184" s="148" t="str">
        <f t="shared" si="161"/>
        <v/>
      </c>
      <c r="P184" s="261" t="str">
        <f t="shared" si="162"/>
        <v/>
      </c>
      <c r="Q184" s="147" t="str">
        <f t="shared" si="163"/>
        <v/>
      </c>
      <c r="R184" s="148" t="str">
        <f t="shared" si="164"/>
        <v/>
      </c>
      <c r="S184" s="259"/>
      <c r="T184" s="2"/>
      <c r="U184" s="264">
        <v>180</v>
      </c>
      <c r="V184" s="16" t="str">
        <f t="shared" si="143"/>
        <v/>
      </c>
      <c r="W184" s="16" t="str">
        <f t="shared" si="144"/>
        <v/>
      </c>
      <c r="X184" s="16" t="str">
        <f t="shared" si="116"/>
        <v/>
      </c>
      <c r="Y184" s="16" t="str">
        <f t="shared" si="117"/>
        <v/>
      </c>
      <c r="Z184" s="16" t="str">
        <f t="shared" si="118"/>
        <v/>
      </c>
      <c r="AA184" s="16" t="str">
        <f t="shared" si="145"/>
        <v/>
      </c>
      <c r="AB184" s="16" t="str">
        <f t="shared" si="146"/>
        <v/>
      </c>
      <c r="AC184" s="29" t="str">
        <f t="shared" si="119"/>
        <v/>
      </c>
      <c r="AD184" s="29" t="str">
        <f t="shared" si="120"/>
        <v/>
      </c>
      <c r="AE184" s="2"/>
      <c r="AF184" s="2"/>
      <c r="AG184" s="2"/>
      <c r="AH184" s="2"/>
      <c r="AI184" s="2"/>
      <c r="AJ184" s="2"/>
      <c r="AK184" s="2"/>
      <c r="AL184" s="2"/>
      <c r="AM184" s="2"/>
      <c r="AN184" s="2"/>
      <c r="AO184" s="2"/>
      <c r="AP184" s="2"/>
      <c r="AQ184" s="2"/>
    </row>
    <row r="185" spans="1:43" x14ac:dyDescent="0.25">
      <c r="A185" s="260" t="str">
        <f t="shared" si="147"/>
        <v/>
      </c>
      <c r="B185" s="147" t="str">
        <f t="shared" si="148"/>
        <v/>
      </c>
      <c r="C185" s="148" t="str">
        <f t="shared" si="149"/>
        <v/>
      </c>
      <c r="D185" s="261" t="str">
        <f t="shared" si="150"/>
        <v/>
      </c>
      <c r="E185" s="147" t="str">
        <f t="shared" si="151"/>
        <v/>
      </c>
      <c r="F185" s="148" t="str">
        <f t="shared" si="152"/>
        <v/>
      </c>
      <c r="G185" s="261" t="str">
        <f t="shared" si="153"/>
        <v/>
      </c>
      <c r="H185" s="147" t="str">
        <f t="shared" si="154"/>
        <v/>
      </c>
      <c r="I185" s="148" t="str">
        <f t="shared" si="155"/>
        <v/>
      </c>
      <c r="J185" s="261" t="str">
        <f t="shared" si="156"/>
        <v/>
      </c>
      <c r="K185" s="147" t="str">
        <f t="shared" si="157"/>
        <v/>
      </c>
      <c r="L185" s="148" t="str">
        <f t="shared" si="158"/>
        <v/>
      </c>
      <c r="M185" s="261" t="str">
        <f t="shared" si="159"/>
        <v/>
      </c>
      <c r="N185" s="147" t="str">
        <f t="shared" si="160"/>
        <v/>
      </c>
      <c r="O185" s="148" t="str">
        <f t="shared" si="161"/>
        <v/>
      </c>
      <c r="P185" s="261" t="str">
        <f t="shared" si="162"/>
        <v/>
      </c>
      <c r="Q185" s="147" t="str">
        <f t="shared" si="163"/>
        <v/>
      </c>
      <c r="R185" s="148" t="str">
        <f t="shared" si="164"/>
        <v/>
      </c>
      <c r="S185" s="259"/>
      <c r="T185" s="2"/>
      <c r="U185" s="264">
        <v>181</v>
      </c>
      <c r="V185" s="16" t="str">
        <f t="shared" si="143"/>
        <v/>
      </c>
      <c r="W185" s="16" t="str">
        <f t="shared" si="144"/>
        <v/>
      </c>
      <c r="X185" s="16" t="str">
        <f t="shared" si="116"/>
        <v/>
      </c>
      <c r="Y185" s="16" t="str">
        <f t="shared" si="117"/>
        <v/>
      </c>
      <c r="Z185" s="16" t="str">
        <f t="shared" si="118"/>
        <v/>
      </c>
      <c r="AA185" s="16" t="str">
        <f t="shared" si="145"/>
        <v/>
      </c>
      <c r="AB185" s="16" t="str">
        <f t="shared" si="146"/>
        <v/>
      </c>
      <c r="AC185" s="29" t="str">
        <f t="shared" si="119"/>
        <v/>
      </c>
      <c r="AD185" s="29" t="str">
        <f t="shared" si="120"/>
        <v/>
      </c>
      <c r="AE185" s="2"/>
      <c r="AF185" s="2"/>
      <c r="AG185" s="2"/>
      <c r="AH185" s="2"/>
      <c r="AI185" s="2"/>
      <c r="AJ185" s="2"/>
      <c r="AK185" s="2"/>
      <c r="AL185" s="2"/>
      <c r="AM185" s="2"/>
      <c r="AN185" s="2"/>
      <c r="AO185" s="2"/>
      <c r="AP185" s="2"/>
      <c r="AQ185" s="2"/>
    </row>
    <row r="186" spans="1:43" x14ac:dyDescent="0.25">
      <c r="A186" s="260" t="str">
        <f t="shared" si="147"/>
        <v/>
      </c>
      <c r="B186" s="147" t="str">
        <f t="shared" si="148"/>
        <v/>
      </c>
      <c r="C186" s="148" t="str">
        <f t="shared" si="149"/>
        <v/>
      </c>
      <c r="D186" s="261" t="str">
        <f t="shared" si="150"/>
        <v/>
      </c>
      <c r="E186" s="147" t="str">
        <f t="shared" si="151"/>
        <v/>
      </c>
      <c r="F186" s="148" t="str">
        <f t="shared" si="152"/>
        <v/>
      </c>
      <c r="G186" s="261" t="str">
        <f t="shared" si="153"/>
        <v/>
      </c>
      <c r="H186" s="147" t="str">
        <f t="shared" si="154"/>
        <v/>
      </c>
      <c r="I186" s="148" t="str">
        <f t="shared" si="155"/>
        <v/>
      </c>
      <c r="J186" s="261" t="str">
        <f t="shared" si="156"/>
        <v/>
      </c>
      <c r="K186" s="147" t="str">
        <f t="shared" si="157"/>
        <v/>
      </c>
      <c r="L186" s="148" t="str">
        <f t="shared" si="158"/>
        <v/>
      </c>
      <c r="M186" s="261" t="str">
        <f t="shared" si="159"/>
        <v/>
      </c>
      <c r="N186" s="147" t="str">
        <f t="shared" si="160"/>
        <v/>
      </c>
      <c r="O186" s="148" t="str">
        <f t="shared" si="161"/>
        <v/>
      </c>
      <c r="P186" s="261" t="str">
        <f t="shared" si="162"/>
        <v/>
      </c>
      <c r="Q186" s="147" t="str">
        <f t="shared" si="163"/>
        <v/>
      </c>
      <c r="R186" s="148" t="str">
        <f t="shared" si="164"/>
        <v/>
      </c>
      <c r="S186" s="259"/>
      <c r="T186" s="2"/>
      <c r="U186" s="264">
        <v>182</v>
      </c>
      <c r="V186" s="16" t="str">
        <f t="shared" si="143"/>
        <v/>
      </c>
      <c r="W186" s="16" t="str">
        <f t="shared" si="144"/>
        <v/>
      </c>
      <c r="X186" s="16" t="str">
        <f t="shared" si="116"/>
        <v/>
      </c>
      <c r="Y186" s="16" t="str">
        <f t="shared" si="117"/>
        <v/>
      </c>
      <c r="Z186" s="16" t="str">
        <f t="shared" si="118"/>
        <v/>
      </c>
      <c r="AA186" s="16" t="str">
        <f t="shared" si="145"/>
        <v/>
      </c>
      <c r="AB186" s="16" t="str">
        <f t="shared" si="146"/>
        <v/>
      </c>
      <c r="AC186" s="29" t="str">
        <f t="shared" si="119"/>
        <v/>
      </c>
      <c r="AD186" s="29" t="str">
        <f t="shared" si="120"/>
        <v/>
      </c>
      <c r="AE186" s="2"/>
      <c r="AF186" s="2"/>
      <c r="AG186" s="2"/>
      <c r="AH186" s="2"/>
      <c r="AI186" s="2"/>
      <c r="AJ186" s="2"/>
      <c r="AK186" s="2"/>
      <c r="AL186" s="2"/>
      <c r="AM186" s="2"/>
      <c r="AN186" s="2"/>
      <c r="AO186" s="2"/>
      <c r="AP186" s="2"/>
      <c r="AQ186" s="2"/>
    </row>
    <row r="187" spans="1:43" x14ac:dyDescent="0.25">
      <c r="A187" s="260" t="str">
        <f t="shared" si="147"/>
        <v/>
      </c>
      <c r="B187" s="147" t="str">
        <f t="shared" si="148"/>
        <v/>
      </c>
      <c r="C187" s="148" t="str">
        <f t="shared" si="149"/>
        <v/>
      </c>
      <c r="D187" s="261" t="str">
        <f t="shared" si="150"/>
        <v/>
      </c>
      <c r="E187" s="147" t="str">
        <f t="shared" si="151"/>
        <v/>
      </c>
      <c r="F187" s="148" t="str">
        <f t="shared" si="152"/>
        <v/>
      </c>
      <c r="G187" s="261" t="str">
        <f t="shared" si="153"/>
        <v/>
      </c>
      <c r="H187" s="147" t="str">
        <f t="shared" si="154"/>
        <v/>
      </c>
      <c r="I187" s="148" t="str">
        <f t="shared" si="155"/>
        <v/>
      </c>
      <c r="J187" s="261" t="str">
        <f t="shared" si="156"/>
        <v/>
      </c>
      <c r="K187" s="147" t="str">
        <f t="shared" si="157"/>
        <v/>
      </c>
      <c r="L187" s="148" t="str">
        <f t="shared" si="158"/>
        <v/>
      </c>
      <c r="M187" s="261" t="str">
        <f t="shared" si="159"/>
        <v/>
      </c>
      <c r="N187" s="147" t="str">
        <f t="shared" si="160"/>
        <v/>
      </c>
      <c r="O187" s="148" t="str">
        <f t="shared" si="161"/>
        <v/>
      </c>
      <c r="P187" s="261" t="str">
        <f t="shared" si="162"/>
        <v/>
      </c>
      <c r="Q187" s="147" t="str">
        <f t="shared" si="163"/>
        <v/>
      </c>
      <c r="R187" s="148" t="str">
        <f t="shared" si="164"/>
        <v/>
      </c>
      <c r="S187" s="259"/>
      <c r="T187" s="2"/>
      <c r="U187" s="264">
        <v>183</v>
      </c>
      <c r="V187" s="16" t="str">
        <f t="shared" ref="V187:V204" si="165">IF($C$9&gt;=$U187,$L45+0.000001-$V$310,"")</f>
        <v/>
      </c>
      <c r="W187" s="16" t="str">
        <f t="shared" ref="W187:W204" si="166">IF($C$9&gt;=$U187,$K45+0.000001-$V$309,"")</f>
        <v/>
      </c>
      <c r="X187" s="16" t="str">
        <f t="shared" si="116"/>
        <v/>
      </c>
      <c r="Y187" s="16" t="str">
        <f t="shared" si="117"/>
        <v/>
      </c>
      <c r="Z187" s="16" t="str">
        <f t="shared" si="118"/>
        <v/>
      </c>
      <c r="AA187" s="16" t="str">
        <f t="shared" ref="AA187:AA204" si="167">IF($C$9&gt;=$U187,$K45-$V$309,"")</f>
        <v/>
      </c>
      <c r="AB187" s="16" t="str">
        <f t="shared" ref="AB187:AB204" si="168">IF($C$9&gt;=$U187,$L45-$V$310,"")</f>
        <v/>
      </c>
      <c r="AC187" s="29" t="str">
        <f t="shared" si="119"/>
        <v/>
      </c>
      <c r="AD187" s="29" t="str">
        <f t="shared" si="120"/>
        <v/>
      </c>
      <c r="AE187" s="2"/>
      <c r="AF187" s="2"/>
      <c r="AG187" s="2"/>
      <c r="AH187" s="2"/>
      <c r="AI187" s="2"/>
      <c r="AJ187" s="2"/>
      <c r="AK187" s="2"/>
      <c r="AL187" s="2"/>
      <c r="AM187" s="2"/>
      <c r="AN187" s="2"/>
      <c r="AO187" s="2"/>
      <c r="AP187" s="2"/>
      <c r="AQ187" s="2"/>
    </row>
    <row r="188" spans="1:43" x14ac:dyDescent="0.25">
      <c r="A188" s="260" t="str">
        <f t="shared" si="147"/>
        <v/>
      </c>
      <c r="B188" s="147" t="str">
        <f t="shared" si="148"/>
        <v/>
      </c>
      <c r="C188" s="148" t="str">
        <f t="shared" si="149"/>
        <v/>
      </c>
      <c r="D188" s="261" t="str">
        <f t="shared" si="150"/>
        <v/>
      </c>
      <c r="E188" s="147" t="str">
        <f t="shared" si="151"/>
        <v/>
      </c>
      <c r="F188" s="148" t="str">
        <f t="shared" si="152"/>
        <v/>
      </c>
      <c r="G188" s="261" t="str">
        <f t="shared" si="153"/>
        <v/>
      </c>
      <c r="H188" s="147" t="str">
        <f t="shared" si="154"/>
        <v/>
      </c>
      <c r="I188" s="148" t="str">
        <f t="shared" si="155"/>
        <v/>
      </c>
      <c r="J188" s="261" t="str">
        <f t="shared" si="156"/>
        <v/>
      </c>
      <c r="K188" s="147" t="str">
        <f t="shared" si="157"/>
        <v/>
      </c>
      <c r="L188" s="148" t="str">
        <f t="shared" si="158"/>
        <v/>
      </c>
      <c r="M188" s="261" t="str">
        <f t="shared" si="159"/>
        <v/>
      </c>
      <c r="N188" s="147" t="str">
        <f t="shared" si="160"/>
        <v/>
      </c>
      <c r="O188" s="148" t="str">
        <f t="shared" si="161"/>
        <v/>
      </c>
      <c r="P188" s="261" t="str">
        <f t="shared" si="162"/>
        <v/>
      </c>
      <c r="Q188" s="147" t="str">
        <f t="shared" si="163"/>
        <v/>
      </c>
      <c r="R188" s="148" t="str">
        <f t="shared" si="164"/>
        <v/>
      </c>
      <c r="S188" s="259"/>
      <c r="T188" s="2"/>
      <c r="U188" s="264">
        <v>184</v>
      </c>
      <c r="V188" s="16" t="str">
        <f t="shared" si="165"/>
        <v/>
      </c>
      <c r="W188" s="16" t="str">
        <f t="shared" si="166"/>
        <v/>
      </c>
      <c r="X188" s="16" t="str">
        <f t="shared" si="116"/>
        <v/>
      </c>
      <c r="Y188" s="16" t="str">
        <f t="shared" si="117"/>
        <v/>
      </c>
      <c r="Z188" s="16" t="str">
        <f t="shared" si="118"/>
        <v/>
      </c>
      <c r="AA188" s="16" t="str">
        <f t="shared" si="167"/>
        <v/>
      </c>
      <c r="AB188" s="16" t="str">
        <f t="shared" si="168"/>
        <v/>
      </c>
      <c r="AC188" s="29" t="str">
        <f t="shared" si="119"/>
        <v/>
      </c>
      <c r="AD188" s="29" t="str">
        <f t="shared" si="120"/>
        <v/>
      </c>
      <c r="AE188" s="2"/>
      <c r="AF188" s="2"/>
      <c r="AG188" s="2"/>
      <c r="AH188" s="2"/>
      <c r="AI188" s="2"/>
      <c r="AJ188" s="2"/>
      <c r="AK188" s="2"/>
      <c r="AL188" s="2"/>
      <c r="AM188" s="2"/>
      <c r="AN188" s="2"/>
      <c r="AO188" s="2"/>
      <c r="AP188" s="2"/>
      <c r="AQ188" s="2"/>
    </row>
    <row r="189" spans="1:43" x14ac:dyDescent="0.25">
      <c r="A189" s="260" t="str">
        <f t="shared" si="147"/>
        <v/>
      </c>
      <c r="B189" s="147" t="str">
        <f t="shared" si="148"/>
        <v/>
      </c>
      <c r="C189" s="148" t="str">
        <f t="shared" si="149"/>
        <v/>
      </c>
      <c r="D189" s="261" t="str">
        <f t="shared" si="150"/>
        <v/>
      </c>
      <c r="E189" s="147" t="str">
        <f t="shared" si="151"/>
        <v/>
      </c>
      <c r="F189" s="148" t="str">
        <f t="shared" si="152"/>
        <v/>
      </c>
      <c r="G189" s="261" t="str">
        <f t="shared" si="153"/>
        <v/>
      </c>
      <c r="H189" s="147" t="str">
        <f t="shared" si="154"/>
        <v/>
      </c>
      <c r="I189" s="148" t="str">
        <f t="shared" si="155"/>
        <v/>
      </c>
      <c r="J189" s="261" t="str">
        <f t="shared" si="156"/>
        <v/>
      </c>
      <c r="K189" s="147" t="str">
        <f t="shared" si="157"/>
        <v/>
      </c>
      <c r="L189" s="148" t="str">
        <f t="shared" si="158"/>
        <v/>
      </c>
      <c r="M189" s="261" t="str">
        <f t="shared" si="159"/>
        <v/>
      </c>
      <c r="N189" s="147" t="str">
        <f t="shared" si="160"/>
        <v/>
      </c>
      <c r="O189" s="148" t="str">
        <f t="shared" si="161"/>
        <v/>
      </c>
      <c r="P189" s="261" t="str">
        <f t="shared" si="162"/>
        <v/>
      </c>
      <c r="Q189" s="147" t="str">
        <f t="shared" si="163"/>
        <v/>
      </c>
      <c r="R189" s="148" t="str">
        <f t="shared" si="164"/>
        <v/>
      </c>
      <c r="S189" s="259"/>
      <c r="T189" s="2"/>
      <c r="U189" s="264">
        <v>185</v>
      </c>
      <c r="V189" s="16" t="str">
        <f t="shared" si="165"/>
        <v/>
      </c>
      <c r="W189" s="16" t="str">
        <f t="shared" si="166"/>
        <v/>
      </c>
      <c r="X189" s="16" t="str">
        <f t="shared" si="116"/>
        <v/>
      </c>
      <c r="Y189" s="16" t="str">
        <f t="shared" si="117"/>
        <v/>
      </c>
      <c r="Z189" s="16" t="str">
        <f t="shared" si="118"/>
        <v/>
      </c>
      <c r="AA189" s="16" t="str">
        <f t="shared" si="167"/>
        <v/>
      </c>
      <c r="AB189" s="16" t="str">
        <f t="shared" si="168"/>
        <v/>
      </c>
      <c r="AC189" s="29" t="str">
        <f t="shared" si="119"/>
        <v/>
      </c>
      <c r="AD189" s="29" t="str">
        <f t="shared" si="120"/>
        <v/>
      </c>
      <c r="AE189" s="2"/>
      <c r="AF189" s="2"/>
      <c r="AG189" s="2"/>
      <c r="AH189" s="2"/>
      <c r="AI189" s="2"/>
      <c r="AJ189" s="2"/>
      <c r="AK189" s="2"/>
      <c r="AL189" s="2"/>
      <c r="AM189" s="2"/>
      <c r="AN189" s="2"/>
      <c r="AO189" s="2"/>
      <c r="AP189" s="2"/>
      <c r="AQ189" s="2"/>
    </row>
    <row r="190" spans="1:43" x14ac:dyDescent="0.25">
      <c r="A190" s="260" t="str">
        <f t="shared" si="147"/>
        <v/>
      </c>
      <c r="B190" s="147" t="str">
        <f t="shared" si="148"/>
        <v/>
      </c>
      <c r="C190" s="148" t="str">
        <f t="shared" si="149"/>
        <v/>
      </c>
      <c r="D190" s="261" t="str">
        <f t="shared" si="150"/>
        <v/>
      </c>
      <c r="E190" s="147" t="str">
        <f t="shared" si="151"/>
        <v/>
      </c>
      <c r="F190" s="148" t="str">
        <f t="shared" si="152"/>
        <v/>
      </c>
      <c r="G190" s="261" t="str">
        <f t="shared" si="153"/>
        <v/>
      </c>
      <c r="H190" s="147" t="str">
        <f t="shared" si="154"/>
        <v/>
      </c>
      <c r="I190" s="148" t="str">
        <f t="shared" si="155"/>
        <v/>
      </c>
      <c r="J190" s="261" t="str">
        <f t="shared" si="156"/>
        <v/>
      </c>
      <c r="K190" s="147" t="str">
        <f t="shared" si="157"/>
        <v/>
      </c>
      <c r="L190" s="148" t="str">
        <f t="shared" si="158"/>
        <v/>
      </c>
      <c r="M190" s="261" t="str">
        <f t="shared" si="159"/>
        <v/>
      </c>
      <c r="N190" s="147" t="str">
        <f t="shared" si="160"/>
        <v/>
      </c>
      <c r="O190" s="148" t="str">
        <f t="shared" si="161"/>
        <v/>
      </c>
      <c r="P190" s="261" t="str">
        <f t="shared" si="162"/>
        <v/>
      </c>
      <c r="Q190" s="147" t="str">
        <f t="shared" si="163"/>
        <v/>
      </c>
      <c r="R190" s="148" t="str">
        <f t="shared" si="164"/>
        <v/>
      </c>
      <c r="S190" s="259"/>
      <c r="T190" s="2"/>
      <c r="U190" s="264">
        <v>186</v>
      </c>
      <c r="V190" s="16" t="str">
        <f t="shared" si="165"/>
        <v/>
      </c>
      <c r="W190" s="16" t="str">
        <f t="shared" si="166"/>
        <v/>
      </c>
      <c r="X190" s="16" t="str">
        <f t="shared" si="116"/>
        <v/>
      </c>
      <c r="Y190" s="16" t="str">
        <f t="shared" si="117"/>
        <v/>
      </c>
      <c r="Z190" s="16" t="str">
        <f t="shared" si="118"/>
        <v/>
      </c>
      <c r="AA190" s="16" t="str">
        <f t="shared" si="167"/>
        <v/>
      </c>
      <c r="AB190" s="16" t="str">
        <f t="shared" si="168"/>
        <v/>
      </c>
      <c r="AC190" s="29" t="str">
        <f t="shared" si="119"/>
        <v/>
      </c>
      <c r="AD190" s="29" t="str">
        <f t="shared" si="120"/>
        <v/>
      </c>
      <c r="AE190" s="2"/>
      <c r="AF190" s="2"/>
      <c r="AG190" s="2"/>
      <c r="AH190" s="2"/>
      <c r="AI190" s="2"/>
      <c r="AJ190" s="2"/>
      <c r="AK190" s="2"/>
      <c r="AL190" s="2"/>
      <c r="AM190" s="2"/>
      <c r="AN190" s="2"/>
      <c r="AO190" s="2"/>
      <c r="AP190" s="2"/>
      <c r="AQ190" s="2"/>
    </row>
    <row r="191" spans="1:43" x14ac:dyDescent="0.25">
      <c r="A191" s="260" t="str">
        <f t="shared" si="147"/>
        <v/>
      </c>
      <c r="B191" s="147" t="str">
        <f t="shared" si="148"/>
        <v/>
      </c>
      <c r="C191" s="148" t="str">
        <f t="shared" si="149"/>
        <v/>
      </c>
      <c r="D191" s="261" t="str">
        <f t="shared" si="150"/>
        <v/>
      </c>
      <c r="E191" s="147" t="str">
        <f t="shared" si="151"/>
        <v/>
      </c>
      <c r="F191" s="148" t="str">
        <f t="shared" si="152"/>
        <v/>
      </c>
      <c r="G191" s="261" t="str">
        <f t="shared" si="153"/>
        <v/>
      </c>
      <c r="H191" s="147" t="str">
        <f t="shared" si="154"/>
        <v/>
      </c>
      <c r="I191" s="148" t="str">
        <f t="shared" si="155"/>
        <v/>
      </c>
      <c r="J191" s="261" t="str">
        <f t="shared" si="156"/>
        <v/>
      </c>
      <c r="K191" s="147" t="str">
        <f t="shared" si="157"/>
        <v/>
      </c>
      <c r="L191" s="148" t="str">
        <f t="shared" si="158"/>
        <v/>
      </c>
      <c r="M191" s="261" t="str">
        <f t="shared" si="159"/>
        <v/>
      </c>
      <c r="N191" s="147" t="str">
        <f t="shared" si="160"/>
        <v/>
      </c>
      <c r="O191" s="148" t="str">
        <f t="shared" si="161"/>
        <v/>
      </c>
      <c r="P191" s="261" t="str">
        <f t="shared" si="162"/>
        <v/>
      </c>
      <c r="Q191" s="147" t="str">
        <f t="shared" si="163"/>
        <v/>
      </c>
      <c r="R191" s="148" t="str">
        <f t="shared" si="164"/>
        <v/>
      </c>
      <c r="S191" s="259"/>
      <c r="T191" s="2"/>
      <c r="U191" s="264">
        <v>187</v>
      </c>
      <c r="V191" s="16" t="str">
        <f t="shared" si="165"/>
        <v/>
      </c>
      <c r="W191" s="16" t="str">
        <f t="shared" si="166"/>
        <v/>
      </c>
      <c r="X191" s="16" t="str">
        <f t="shared" si="116"/>
        <v/>
      </c>
      <c r="Y191" s="16" t="str">
        <f t="shared" si="117"/>
        <v/>
      </c>
      <c r="Z191" s="16" t="str">
        <f t="shared" si="118"/>
        <v/>
      </c>
      <c r="AA191" s="16" t="str">
        <f t="shared" si="167"/>
        <v/>
      </c>
      <c r="AB191" s="16" t="str">
        <f t="shared" si="168"/>
        <v/>
      </c>
      <c r="AC191" s="29" t="str">
        <f t="shared" si="119"/>
        <v/>
      </c>
      <c r="AD191" s="29" t="str">
        <f t="shared" si="120"/>
        <v/>
      </c>
      <c r="AE191" s="2"/>
      <c r="AF191" s="2"/>
      <c r="AG191" s="2"/>
      <c r="AH191" s="2"/>
      <c r="AI191" s="2"/>
      <c r="AJ191" s="2"/>
      <c r="AK191" s="2"/>
      <c r="AL191" s="2"/>
      <c r="AM191" s="2"/>
      <c r="AN191" s="2"/>
      <c r="AO191" s="2"/>
      <c r="AP191" s="2"/>
      <c r="AQ191" s="2"/>
    </row>
    <row r="192" spans="1:43" x14ac:dyDescent="0.25">
      <c r="A192" s="260" t="str">
        <f t="shared" si="147"/>
        <v/>
      </c>
      <c r="B192" s="154" t="str">
        <f t="shared" si="148"/>
        <v/>
      </c>
      <c r="C192" s="155" t="str">
        <f t="shared" si="149"/>
        <v/>
      </c>
      <c r="D192" s="261" t="str">
        <f t="shared" si="150"/>
        <v/>
      </c>
      <c r="E192" s="154" t="str">
        <f t="shared" si="151"/>
        <v/>
      </c>
      <c r="F192" s="155" t="str">
        <f t="shared" si="152"/>
        <v/>
      </c>
      <c r="G192" s="261" t="str">
        <f t="shared" si="153"/>
        <v/>
      </c>
      <c r="H192" s="154" t="str">
        <f t="shared" si="154"/>
        <v/>
      </c>
      <c r="I192" s="155" t="str">
        <f t="shared" si="155"/>
        <v/>
      </c>
      <c r="J192" s="261" t="str">
        <f t="shared" si="156"/>
        <v/>
      </c>
      <c r="K192" s="154" t="str">
        <f t="shared" si="157"/>
        <v/>
      </c>
      <c r="L192" s="155" t="str">
        <f t="shared" si="158"/>
        <v/>
      </c>
      <c r="M192" s="261" t="str">
        <f t="shared" si="159"/>
        <v/>
      </c>
      <c r="N192" s="154" t="str">
        <f t="shared" si="160"/>
        <v/>
      </c>
      <c r="O192" s="155" t="str">
        <f t="shared" si="161"/>
        <v/>
      </c>
      <c r="P192" s="261" t="str">
        <f t="shared" si="162"/>
        <v/>
      </c>
      <c r="Q192" s="154" t="str">
        <f t="shared" si="163"/>
        <v/>
      </c>
      <c r="R192" s="155" t="str">
        <f t="shared" si="164"/>
        <v/>
      </c>
      <c r="S192" s="259"/>
      <c r="T192" s="2"/>
      <c r="U192" s="264">
        <v>188</v>
      </c>
      <c r="V192" s="16" t="str">
        <f t="shared" si="165"/>
        <v/>
      </c>
      <c r="W192" s="16" t="str">
        <f t="shared" si="166"/>
        <v/>
      </c>
      <c r="X192" s="16" t="str">
        <f t="shared" si="116"/>
        <v/>
      </c>
      <c r="Y192" s="16" t="str">
        <f t="shared" si="117"/>
        <v/>
      </c>
      <c r="Z192" s="16" t="str">
        <f t="shared" si="118"/>
        <v/>
      </c>
      <c r="AA192" s="16" t="str">
        <f t="shared" si="167"/>
        <v/>
      </c>
      <c r="AB192" s="16" t="str">
        <f t="shared" si="168"/>
        <v/>
      </c>
      <c r="AC192" s="29" t="str">
        <f t="shared" si="119"/>
        <v/>
      </c>
      <c r="AD192" s="29" t="str">
        <f t="shared" si="120"/>
        <v/>
      </c>
      <c r="AE192" s="2"/>
      <c r="AF192" s="2"/>
      <c r="AG192" s="2"/>
      <c r="AH192" s="2"/>
      <c r="AI192" s="2"/>
      <c r="AJ192" s="2"/>
      <c r="AK192" s="2"/>
      <c r="AL192" s="2"/>
      <c r="AM192" s="2"/>
      <c r="AN192" s="2"/>
      <c r="AO192" s="2"/>
      <c r="AP192" s="2"/>
      <c r="AQ192" s="2"/>
    </row>
    <row r="193" spans="1:43" x14ac:dyDescent="0.25">
      <c r="A193" s="48"/>
      <c r="B193" s="54"/>
      <c r="C193" s="54"/>
      <c r="D193" s="54"/>
      <c r="E193" s="54"/>
      <c r="F193" s="54"/>
      <c r="G193" s="54"/>
      <c r="H193" s="54"/>
      <c r="I193" s="54"/>
      <c r="J193" s="2"/>
      <c r="K193" s="2"/>
      <c r="L193" s="2"/>
      <c r="M193" s="2"/>
      <c r="N193" s="2"/>
      <c r="O193" s="2"/>
      <c r="P193" s="2"/>
      <c r="Q193" s="2"/>
      <c r="R193" s="2"/>
      <c r="S193" s="259"/>
      <c r="T193" s="2"/>
      <c r="U193" s="264">
        <v>189</v>
      </c>
      <c r="V193" s="16" t="str">
        <f t="shared" si="165"/>
        <v/>
      </c>
      <c r="W193" s="16" t="str">
        <f t="shared" si="166"/>
        <v/>
      </c>
      <c r="X193" s="16" t="str">
        <f t="shared" si="116"/>
        <v/>
      </c>
      <c r="Y193" s="16" t="str">
        <f t="shared" si="117"/>
        <v/>
      </c>
      <c r="Z193" s="16" t="str">
        <f t="shared" si="118"/>
        <v/>
      </c>
      <c r="AA193" s="16" t="str">
        <f t="shared" si="167"/>
        <v/>
      </c>
      <c r="AB193" s="16" t="str">
        <f t="shared" si="168"/>
        <v/>
      </c>
      <c r="AC193" s="29" t="str">
        <f t="shared" si="119"/>
        <v/>
      </c>
      <c r="AD193" s="29" t="str">
        <f t="shared" si="120"/>
        <v/>
      </c>
      <c r="AE193" s="2"/>
      <c r="AF193" s="2"/>
      <c r="AG193" s="2"/>
      <c r="AH193" s="2"/>
      <c r="AI193" s="2"/>
      <c r="AJ193" s="2"/>
      <c r="AK193" s="2"/>
      <c r="AL193" s="2"/>
      <c r="AM193" s="2"/>
      <c r="AN193" s="2"/>
      <c r="AO193" s="2"/>
      <c r="AP193" s="2"/>
      <c r="AQ193" s="2"/>
    </row>
    <row r="194" spans="1:43" x14ac:dyDescent="0.25">
      <c r="A194" s="48"/>
      <c r="B194" s="54"/>
      <c r="C194" s="54"/>
      <c r="D194" s="54"/>
      <c r="E194" s="54"/>
      <c r="F194" s="54"/>
      <c r="G194" s="54"/>
      <c r="H194" s="54"/>
      <c r="I194" s="54"/>
      <c r="J194" s="2"/>
      <c r="K194" s="2"/>
      <c r="L194" s="2"/>
      <c r="M194" s="2"/>
      <c r="N194" s="2"/>
      <c r="O194" s="2"/>
      <c r="P194" s="2"/>
      <c r="Q194" s="2"/>
      <c r="R194" s="2"/>
      <c r="S194" s="259"/>
      <c r="T194" s="2"/>
      <c r="U194" s="264">
        <v>190</v>
      </c>
      <c r="V194" s="16" t="str">
        <f t="shared" si="165"/>
        <v/>
      </c>
      <c r="W194" s="16" t="str">
        <f t="shared" si="166"/>
        <v/>
      </c>
      <c r="X194" s="16" t="str">
        <f t="shared" si="116"/>
        <v/>
      </c>
      <c r="Y194" s="16" t="str">
        <f t="shared" si="117"/>
        <v/>
      </c>
      <c r="Z194" s="16" t="str">
        <f t="shared" si="118"/>
        <v/>
      </c>
      <c r="AA194" s="16" t="str">
        <f t="shared" si="167"/>
        <v/>
      </c>
      <c r="AB194" s="16" t="str">
        <f t="shared" si="168"/>
        <v/>
      </c>
      <c r="AC194" s="29" t="str">
        <f t="shared" si="119"/>
        <v/>
      </c>
      <c r="AD194" s="29" t="str">
        <f t="shared" si="120"/>
        <v/>
      </c>
      <c r="AE194" s="2"/>
      <c r="AF194" s="2"/>
      <c r="AG194" s="2"/>
      <c r="AH194" s="2"/>
      <c r="AI194" s="2"/>
      <c r="AJ194" s="2"/>
      <c r="AK194" s="2"/>
      <c r="AL194" s="2"/>
      <c r="AM194" s="2"/>
      <c r="AN194" s="2"/>
      <c r="AO194" s="2"/>
      <c r="AP194" s="2"/>
      <c r="AQ194" s="2"/>
    </row>
    <row r="195" spans="1:43" x14ac:dyDescent="0.25">
      <c r="A195" s="48"/>
      <c r="B195" s="54"/>
      <c r="C195" s="54"/>
      <c r="D195" s="54"/>
      <c r="E195" s="54"/>
      <c r="F195" s="54"/>
      <c r="G195" s="54"/>
      <c r="H195" s="54"/>
      <c r="I195" s="54"/>
      <c r="J195" s="2"/>
      <c r="K195" s="2"/>
      <c r="L195" s="2"/>
      <c r="M195" s="2"/>
      <c r="N195" s="2"/>
      <c r="O195" s="2"/>
      <c r="P195" s="2"/>
      <c r="Q195" s="2"/>
      <c r="R195" s="2"/>
      <c r="S195" s="259"/>
      <c r="T195" s="2"/>
      <c r="U195" s="264">
        <v>191</v>
      </c>
      <c r="V195" s="16" t="str">
        <f t="shared" si="165"/>
        <v/>
      </c>
      <c r="W195" s="16" t="str">
        <f t="shared" si="166"/>
        <v/>
      </c>
      <c r="X195" s="16" t="str">
        <f t="shared" si="116"/>
        <v/>
      </c>
      <c r="Y195" s="16" t="str">
        <f t="shared" si="117"/>
        <v/>
      </c>
      <c r="Z195" s="16" t="str">
        <f t="shared" si="118"/>
        <v/>
      </c>
      <c r="AA195" s="16" t="str">
        <f t="shared" si="167"/>
        <v/>
      </c>
      <c r="AB195" s="16" t="str">
        <f t="shared" si="168"/>
        <v/>
      </c>
      <c r="AC195" s="29" t="str">
        <f t="shared" si="119"/>
        <v/>
      </c>
      <c r="AD195" s="29" t="str">
        <f t="shared" si="120"/>
        <v/>
      </c>
      <c r="AE195" s="2"/>
      <c r="AF195" s="2"/>
      <c r="AG195" s="2"/>
      <c r="AH195" s="2"/>
      <c r="AI195" s="2"/>
      <c r="AJ195" s="2"/>
      <c r="AK195" s="2"/>
      <c r="AL195" s="2"/>
      <c r="AM195" s="2"/>
      <c r="AN195" s="2"/>
      <c r="AO195" s="2"/>
      <c r="AP195" s="2"/>
      <c r="AQ195" s="2"/>
    </row>
    <row r="196" spans="1:43" x14ac:dyDescent="0.25">
      <c r="A196" s="48"/>
      <c r="B196" s="54"/>
      <c r="C196" s="54"/>
      <c r="D196" s="54"/>
      <c r="E196" s="54"/>
      <c r="F196" s="54"/>
      <c r="G196" s="54"/>
      <c r="H196" s="54"/>
      <c r="I196" s="54"/>
      <c r="J196" s="2"/>
      <c r="K196" s="2"/>
      <c r="L196" s="2"/>
      <c r="M196" s="2"/>
      <c r="N196" s="2"/>
      <c r="O196" s="2"/>
      <c r="P196" s="2"/>
      <c r="Q196" s="2"/>
      <c r="R196" s="2"/>
      <c r="S196" s="259"/>
      <c r="T196" s="2"/>
      <c r="U196" s="264">
        <v>192</v>
      </c>
      <c r="V196" s="16" t="str">
        <f t="shared" si="165"/>
        <v/>
      </c>
      <c r="W196" s="16" t="str">
        <f t="shared" si="166"/>
        <v/>
      </c>
      <c r="X196" s="16" t="str">
        <f t="shared" si="116"/>
        <v/>
      </c>
      <c r="Y196" s="16" t="str">
        <f t="shared" si="117"/>
        <v/>
      </c>
      <c r="Z196" s="16" t="str">
        <f t="shared" si="118"/>
        <v/>
      </c>
      <c r="AA196" s="16" t="str">
        <f t="shared" si="167"/>
        <v/>
      </c>
      <c r="AB196" s="16" t="str">
        <f t="shared" si="168"/>
        <v/>
      </c>
      <c r="AC196" s="29" t="str">
        <f t="shared" si="119"/>
        <v/>
      </c>
      <c r="AD196" s="29" t="str">
        <f t="shared" si="120"/>
        <v/>
      </c>
      <c r="AE196" s="2"/>
      <c r="AF196" s="2"/>
      <c r="AG196" s="2"/>
      <c r="AH196" s="2"/>
      <c r="AI196" s="2"/>
      <c r="AJ196" s="2"/>
      <c r="AK196" s="2"/>
      <c r="AL196" s="2"/>
      <c r="AM196" s="2"/>
      <c r="AN196" s="2"/>
      <c r="AO196" s="2"/>
      <c r="AP196" s="2"/>
      <c r="AQ196" s="2"/>
    </row>
    <row r="197" spans="1:43" x14ac:dyDescent="0.25">
      <c r="A197" s="48"/>
      <c r="B197" s="54"/>
      <c r="C197" s="54"/>
      <c r="D197" s="54"/>
      <c r="E197" s="54"/>
      <c r="F197" s="54"/>
      <c r="G197" s="54"/>
      <c r="H197" s="54"/>
      <c r="I197" s="54"/>
      <c r="J197" s="2"/>
      <c r="K197" s="2"/>
      <c r="L197" s="2"/>
      <c r="M197" s="2"/>
      <c r="N197" s="2"/>
      <c r="O197" s="2"/>
      <c r="P197" s="2"/>
      <c r="Q197" s="2"/>
      <c r="R197" s="2"/>
      <c r="S197" s="259"/>
      <c r="T197" s="2"/>
      <c r="U197" s="264">
        <v>193</v>
      </c>
      <c r="V197" s="16" t="str">
        <f t="shared" si="165"/>
        <v/>
      </c>
      <c r="W197" s="16" t="str">
        <f t="shared" si="166"/>
        <v/>
      </c>
      <c r="X197" s="16" t="str">
        <f t="shared" ref="X197:X260" si="169">IF($C$9&gt;=$U197,$V197^2,"")</f>
        <v/>
      </c>
      <c r="Y197" s="16" t="str">
        <f t="shared" ref="Y197:Y260" si="170">IF($C$9&gt;=$U197,$W197^2,"")</f>
        <v/>
      </c>
      <c r="Z197" s="16" t="str">
        <f t="shared" ref="Z197:Z260" si="171">IF($C$9&gt;=$U197,$V197*$W197,"")</f>
        <v/>
      </c>
      <c r="AA197" s="16" t="str">
        <f t="shared" si="167"/>
        <v/>
      </c>
      <c r="AB197" s="16" t="str">
        <f t="shared" si="168"/>
        <v/>
      </c>
      <c r="AC197" s="29" t="str">
        <f t="shared" ref="AC197:AC260" si="172">IF($C$9&gt;=$U197,(-$Z$318/$C$9+($Z$322*$V$311--$Z$321*$V$314)/($V$311*$V$312-$V$314^2)*$AA197+(-$Z$321*$V$312-$Z$322*$V$314)/($V$311*$V$312-$V$314^2)*$AB197),"")</f>
        <v/>
      </c>
      <c r="AD197" s="29" t="str">
        <f t="shared" ref="AD197:AD260" si="173">IF($C$9&gt;=$U197,((($Z$319/$C$9+$Z$323*-$AB197/$V$313)^2+($Z$320/$C$9+$Z$323*$AA197/$V$313)^2)^(1/2)),"")</f>
        <v/>
      </c>
      <c r="AE197" s="2"/>
      <c r="AF197" s="2"/>
      <c r="AG197" s="2"/>
      <c r="AH197" s="2"/>
      <c r="AI197" s="2"/>
      <c r="AJ197" s="2"/>
      <c r="AK197" s="2"/>
      <c r="AL197" s="2"/>
      <c r="AM197" s="2"/>
      <c r="AN197" s="2"/>
      <c r="AO197" s="2"/>
      <c r="AP197" s="2"/>
      <c r="AQ197" s="2"/>
    </row>
    <row r="198" spans="1:43" x14ac:dyDescent="0.25">
      <c r="A198" s="48"/>
      <c r="B198" s="54"/>
      <c r="C198" s="54"/>
      <c r="D198" s="54"/>
      <c r="E198" s="54"/>
      <c r="F198" s="54"/>
      <c r="G198" s="54"/>
      <c r="H198" s="54"/>
      <c r="I198" s="54"/>
      <c r="J198" s="2"/>
      <c r="K198" s="2"/>
      <c r="L198" s="2"/>
      <c r="M198" s="2"/>
      <c r="N198" s="2"/>
      <c r="O198" s="2"/>
      <c r="P198" s="2"/>
      <c r="Q198" s="2"/>
      <c r="R198" s="2"/>
      <c r="S198" s="259"/>
      <c r="T198" s="2"/>
      <c r="U198" s="264">
        <v>194</v>
      </c>
      <c r="V198" s="16" t="str">
        <f t="shared" si="165"/>
        <v/>
      </c>
      <c r="W198" s="16" t="str">
        <f t="shared" si="166"/>
        <v/>
      </c>
      <c r="X198" s="16" t="str">
        <f t="shared" si="169"/>
        <v/>
      </c>
      <c r="Y198" s="16" t="str">
        <f t="shared" si="170"/>
        <v/>
      </c>
      <c r="Z198" s="16" t="str">
        <f t="shared" si="171"/>
        <v/>
      </c>
      <c r="AA198" s="16" t="str">
        <f t="shared" si="167"/>
        <v/>
      </c>
      <c r="AB198" s="16" t="str">
        <f t="shared" si="168"/>
        <v/>
      </c>
      <c r="AC198" s="29" t="str">
        <f t="shared" si="172"/>
        <v/>
      </c>
      <c r="AD198" s="29" t="str">
        <f t="shared" si="173"/>
        <v/>
      </c>
      <c r="AE198" s="2"/>
      <c r="AF198" s="2"/>
      <c r="AG198" s="2"/>
      <c r="AH198" s="2"/>
      <c r="AI198" s="2"/>
      <c r="AJ198" s="2"/>
      <c r="AK198" s="2"/>
      <c r="AL198" s="2"/>
      <c r="AM198" s="2"/>
      <c r="AN198" s="2"/>
      <c r="AO198" s="2"/>
      <c r="AP198" s="2"/>
      <c r="AQ198" s="2"/>
    </row>
    <row r="199" spans="1:43" x14ac:dyDescent="0.25">
      <c r="A199" s="48"/>
      <c r="B199" s="54"/>
      <c r="C199" s="54"/>
      <c r="D199" s="54"/>
      <c r="E199" s="54"/>
      <c r="F199" s="54"/>
      <c r="G199" s="54"/>
      <c r="H199" s="54"/>
      <c r="I199" s="54"/>
      <c r="J199" s="2"/>
      <c r="K199" s="2"/>
      <c r="L199" s="2"/>
      <c r="M199" s="2"/>
      <c r="N199" s="2"/>
      <c r="O199" s="2"/>
      <c r="P199" s="2"/>
      <c r="Q199" s="2"/>
      <c r="R199" s="2"/>
      <c r="S199" s="259"/>
      <c r="T199" s="2"/>
      <c r="U199" s="264">
        <v>195</v>
      </c>
      <c r="V199" s="16" t="str">
        <f t="shared" si="165"/>
        <v/>
      </c>
      <c r="W199" s="16" t="str">
        <f t="shared" si="166"/>
        <v/>
      </c>
      <c r="X199" s="16" t="str">
        <f t="shared" si="169"/>
        <v/>
      </c>
      <c r="Y199" s="16" t="str">
        <f t="shared" si="170"/>
        <v/>
      </c>
      <c r="Z199" s="16" t="str">
        <f t="shared" si="171"/>
        <v/>
      </c>
      <c r="AA199" s="16" t="str">
        <f t="shared" si="167"/>
        <v/>
      </c>
      <c r="AB199" s="16" t="str">
        <f t="shared" si="168"/>
        <v/>
      </c>
      <c r="AC199" s="29" t="str">
        <f t="shared" si="172"/>
        <v/>
      </c>
      <c r="AD199" s="29" t="str">
        <f t="shared" si="173"/>
        <v/>
      </c>
      <c r="AE199" s="2"/>
      <c r="AF199" s="2"/>
      <c r="AG199" s="2"/>
      <c r="AH199" s="2"/>
      <c r="AI199" s="2"/>
      <c r="AJ199" s="2"/>
      <c r="AK199" s="2"/>
      <c r="AL199" s="2"/>
      <c r="AM199" s="2"/>
      <c r="AN199" s="2"/>
      <c r="AO199" s="2"/>
      <c r="AP199" s="2"/>
      <c r="AQ199" s="2"/>
    </row>
    <row r="200" spans="1:43" x14ac:dyDescent="0.25">
      <c r="A200" s="79"/>
      <c r="B200" s="106"/>
      <c r="C200" s="106"/>
      <c r="D200" s="106"/>
      <c r="E200" s="106"/>
      <c r="F200" s="106"/>
      <c r="G200" s="106"/>
      <c r="H200" s="106"/>
      <c r="I200" s="106"/>
      <c r="J200" s="273"/>
      <c r="K200" s="273"/>
      <c r="L200" s="273"/>
      <c r="M200" s="273"/>
      <c r="N200" s="273"/>
      <c r="O200" s="273"/>
      <c r="P200" s="273"/>
      <c r="Q200" s="273"/>
      <c r="R200" s="273"/>
      <c r="S200" s="274"/>
      <c r="T200" s="2"/>
      <c r="U200" s="264">
        <v>196</v>
      </c>
      <c r="V200" s="16" t="str">
        <f t="shared" si="165"/>
        <v/>
      </c>
      <c r="W200" s="16" t="str">
        <f t="shared" si="166"/>
        <v/>
      </c>
      <c r="X200" s="16" t="str">
        <f t="shared" si="169"/>
        <v/>
      </c>
      <c r="Y200" s="16" t="str">
        <f t="shared" si="170"/>
        <v/>
      </c>
      <c r="Z200" s="16" t="str">
        <f t="shared" si="171"/>
        <v/>
      </c>
      <c r="AA200" s="16" t="str">
        <f t="shared" si="167"/>
        <v/>
      </c>
      <c r="AB200" s="16" t="str">
        <f t="shared" si="168"/>
        <v/>
      </c>
      <c r="AC200" s="29" t="str">
        <f t="shared" si="172"/>
        <v/>
      </c>
      <c r="AD200" s="29" t="str">
        <f t="shared" si="173"/>
        <v/>
      </c>
      <c r="AE200" s="2"/>
      <c r="AF200" s="2"/>
      <c r="AG200" s="2"/>
      <c r="AH200" s="2"/>
      <c r="AI200" s="2"/>
      <c r="AJ200" s="2"/>
      <c r="AK200" s="2"/>
      <c r="AL200" s="2"/>
      <c r="AM200" s="2"/>
      <c r="AN200" s="2"/>
      <c r="AO200" s="2"/>
      <c r="AP200" s="2"/>
      <c r="AQ200" s="2"/>
    </row>
    <row r="201" spans="1:43" x14ac:dyDescent="0.25">
      <c r="D201" s="54"/>
      <c r="E201" s="54"/>
      <c r="F201" s="54"/>
      <c r="G201" s="54"/>
      <c r="H201" s="54"/>
      <c r="I201" s="54"/>
      <c r="J201" s="2"/>
      <c r="K201" s="2"/>
      <c r="L201" s="2"/>
      <c r="M201" s="2"/>
      <c r="N201" s="2"/>
      <c r="O201" s="2"/>
      <c r="P201" s="2"/>
      <c r="Q201" s="2"/>
      <c r="R201" s="2"/>
      <c r="S201" s="2"/>
      <c r="T201" s="2"/>
      <c r="U201" s="264">
        <v>197</v>
      </c>
      <c r="V201" s="16" t="str">
        <f t="shared" si="165"/>
        <v/>
      </c>
      <c r="W201" s="16" t="str">
        <f t="shared" si="166"/>
        <v/>
      </c>
      <c r="X201" s="16" t="str">
        <f t="shared" si="169"/>
        <v/>
      </c>
      <c r="Y201" s="16" t="str">
        <f t="shared" si="170"/>
        <v/>
      </c>
      <c r="Z201" s="16" t="str">
        <f t="shared" si="171"/>
        <v/>
      </c>
      <c r="AA201" s="16" t="str">
        <f t="shared" si="167"/>
        <v/>
      </c>
      <c r="AB201" s="16" t="str">
        <f t="shared" si="168"/>
        <v/>
      </c>
      <c r="AC201" s="29" t="str">
        <f t="shared" si="172"/>
        <v/>
      </c>
      <c r="AD201" s="29" t="str">
        <f t="shared" si="173"/>
        <v/>
      </c>
      <c r="AE201" s="2"/>
      <c r="AF201" s="2"/>
      <c r="AG201" s="2"/>
      <c r="AH201" s="2"/>
      <c r="AI201" s="2"/>
      <c r="AJ201" s="2"/>
      <c r="AK201" s="2"/>
      <c r="AL201" s="2"/>
      <c r="AM201" s="2"/>
      <c r="AN201" s="2"/>
      <c r="AO201" s="2"/>
      <c r="AP201" s="2"/>
      <c r="AQ201" s="2"/>
    </row>
    <row r="202" spans="1:43" x14ac:dyDescent="0.25">
      <c r="D202" s="54"/>
      <c r="E202" s="54"/>
      <c r="F202" s="54"/>
      <c r="G202" s="54"/>
      <c r="H202" s="54"/>
      <c r="I202" s="54"/>
      <c r="J202" s="2"/>
      <c r="K202" s="2"/>
      <c r="L202" s="2"/>
      <c r="M202" s="2"/>
      <c r="N202" s="2"/>
      <c r="O202" s="2"/>
      <c r="P202" s="2"/>
      <c r="Q202" s="2"/>
      <c r="R202" s="2"/>
      <c r="S202" s="2"/>
      <c r="T202" s="2"/>
      <c r="U202" s="264">
        <v>198</v>
      </c>
      <c r="V202" s="16" t="str">
        <f t="shared" si="165"/>
        <v/>
      </c>
      <c r="W202" s="16" t="str">
        <f t="shared" si="166"/>
        <v/>
      </c>
      <c r="X202" s="16" t="str">
        <f t="shared" si="169"/>
        <v/>
      </c>
      <c r="Y202" s="16" t="str">
        <f t="shared" si="170"/>
        <v/>
      </c>
      <c r="Z202" s="16" t="str">
        <f t="shared" si="171"/>
        <v/>
      </c>
      <c r="AA202" s="16" t="str">
        <f t="shared" si="167"/>
        <v/>
      </c>
      <c r="AB202" s="16" t="str">
        <f t="shared" si="168"/>
        <v/>
      </c>
      <c r="AC202" s="29" t="str">
        <f t="shared" si="172"/>
        <v/>
      </c>
      <c r="AD202" s="29" t="str">
        <f t="shared" si="173"/>
        <v/>
      </c>
      <c r="AE202" s="2"/>
      <c r="AF202" s="2"/>
      <c r="AG202" s="2"/>
      <c r="AH202" s="2"/>
      <c r="AI202" s="2"/>
      <c r="AJ202" s="2"/>
      <c r="AK202" s="2"/>
      <c r="AL202" s="2"/>
      <c r="AM202" s="2"/>
      <c r="AN202" s="2"/>
      <c r="AO202" s="2"/>
      <c r="AP202" s="2"/>
      <c r="AQ202" s="2"/>
    </row>
    <row r="203" spans="1:43" x14ac:dyDescent="0.25">
      <c r="D203" s="54"/>
      <c r="E203" s="54"/>
      <c r="F203" s="54"/>
      <c r="G203" s="54"/>
      <c r="H203" s="54"/>
      <c r="I203" s="54"/>
      <c r="J203" s="2"/>
      <c r="K203" s="2"/>
      <c r="L203" s="2"/>
      <c r="M203" s="2"/>
      <c r="N203" s="2"/>
      <c r="O203" s="2"/>
      <c r="P203" s="2"/>
      <c r="Q203" s="2"/>
      <c r="R203" s="2"/>
      <c r="S203" s="2"/>
      <c r="T203" s="2"/>
      <c r="U203" s="264">
        <v>199</v>
      </c>
      <c r="V203" s="16" t="str">
        <f t="shared" si="165"/>
        <v/>
      </c>
      <c r="W203" s="16" t="str">
        <f t="shared" si="166"/>
        <v/>
      </c>
      <c r="X203" s="16" t="str">
        <f t="shared" si="169"/>
        <v/>
      </c>
      <c r="Y203" s="16" t="str">
        <f t="shared" si="170"/>
        <v/>
      </c>
      <c r="Z203" s="16" t="str">
        <f t="shared" si="171"/>
        <v/>
      </c>
      <c r="AA203" s="16" t="str">
        <f t="shared" si="167"/>
        <v/>
      </c>
      <c r="AB203" s="16" t="str">
        <f t="shared" si="168"/>
        <v/>
      </c>
      <c r="AC203" s="29" t="str">
        <f t="shared" si="172"/>
        <v/>
      </c>
      <c r="AD203" s="29" t="str">
        <f t="shared" si="173"/>
        <v/>
      </c>
      <c r="AE203" s="2"/>
      <c r="AF203" s="2"/>
      <c r="AG203" s="2"/>
      <c r="AH203" s="2"/>
      <c r="AI203" s="2"/>
      <c r="AJ203" s="2"/>
      <c r="AK203" s="2"/>
      <c r="AL203" s="2"/>
      <c r="AM203" s="2"/>
      <c r="AN203" s="2"/>
      <c r="AO203" s="2"/>
      <c r="AP203" s="2"/>
      <c r="AQ203" s="2"/>
    </row>
    <row r="204" spans="1:43" x14ac:dyDescent="0.25">
      <c r="D204" s="54"/>
      <c r="E204" s="54"/>
      <c r="F204" s="54"/>
      <c r="G204" s="54"/>
      <c r="H204" s="54"/>
      <c r="I204" s="54"/>
      <c r="J204" s="2"/>
      <c r="K204" s="2"/>
      <c r="L204" s="2"/>
      <c r="M204" s="2"/>
      <c r="N204" s="2"/>
      <c r="O204" s="2"/>
      <c r="P204" s="2"/>
      <c r="Q204" s="2"/>
      <c r="R204" s="2"/>
      <c r="S204" s="2"/>
      <c r="T204" s="2"/>
      <c r="U204" s="264">
        <v>200</v>
      </c>
      <c r="V204" s="16" t="str">
        <f t="shared" si="165"/>
        <v/>
      </c>
      <c r="W204" s="16" t="str">
        <f t="shared" si="166"/>
        <v/>
      </c>
      <c r="X204" s="16" t="str">
        <f t="shared" si="169"/>
        <v/>
      </c>
      <c r="Y204" s="16" t="str">
        <f t="shared" si="170"/>
        <v/>
      </c>
      <c r="Z204" s="16" t="str">
        <f t="shared" si="171"/>
        <v/>
      </c>
      <c r="AA204" s="16" t="str">
        <f t="shared" si="167"/>
        <v/>
      </c>
      <c r="AB204" s="16" t="str">
        <f t="shared" si="168"/>
        <v/>
      </c>
      <c r="AC204" s="29" t="str">
        <f t="shared" si="172"/>
        <v/>
      </c>
      <c r="AD204" s="29" t="str">
        <f t="shared" si="173"/>
        <v/>
      </c>
      <c r="AE204" s="2"/>
      <c r="AF204" s="2"/>
      <c r="AG204" s="2"/>
      <c r="AH204" s="2"/>
      <c r="AI204" s="2"/>
      <c r="AJ204" s="2"/>
      <c r="AK204" s="2"/>
      <c r="AL204" s="2"/>
      <c r="AM204" s="2"/>
      <c r="AN204" s="2"/>
      <c r="AO204" s="2"/>
      <c r="AP204" s="2"/>
      <c r="AQ204" s="2"/>
    </row>
    <row r="205" spans="1:43" x14ac:dyDescent="0.25">
      <c r="D205" s="54"/>
      <c r="E205" s="54"/>
      <c r="F205" s="54"/>
      <c r="G205" s="54"/>
      <c r="H205" s="54"/>
      <c r="I205" s="54"/>
      <c r="J205" s="2"/>
      <c r="K205" s="2"/>
      <c r="L205" s="2"/>
      <c r="M205" s="2"/>
      <c r="N205" s="2"/>
      <c r="O205" s="2"/>
      <c r="P205" s="2"/>
      <c r="Q205" s="2"/>
      <c r="R205" s="2"/>
      <c r="S205" s="2"/>
      <c r="T205" s="2"/>
      <c r="U205" s="264">
        <v>201</v>
      </c>
      <c r="V205" s="16" t="str">
        <f t="shared" ref="V205:V236" si="174">IF($C$9&gt;=$U205,$O13+0.000001-$V$310,"")</f>
        <v/>
      </c>
      <c r="W205" s="16" t="str">
        <f t="shared" ref="W205:W236" si="175">IF($C$9&gt;=$U205,$N13+0.000001-$V$309,"")</f>
        <v/>
      </c>
      <c r="X205" s="16" t="str">
        <f t="shared" si="169"/>
        <v/>
      </c>
      <c r="Y205" s="16" t="str">
        <f t="shared" si="170"/>
        <v/>
      </c>
      <c r="Z205" s="16" t="str">
        <f t="shared" si="171"/>
        <v/>
      </c>
      <c r="AA205" s="16" t="str">
        <f t="shared" ref="AA205:AA236" si="176">IF($C$9&gt;=$U205,$N13-$V$309,"")</f>
        <v/>
      </c>
      <c r="AB205" s="16" t="str">
        <f t="shared" ref="AB205:AB236" si="177">IF($C$9&gt;=$U205,$O13-$V$310,"")</f>
        <v/>
      </c>
      <c r="AC205" s="29" t="str">
        <f t="shared" si="172"/>
        <v/>
      </c>
      <c r="AD205" s="29" t="str">
        <f t="shared" si="173"/>
        <v/>
      </c>
      <c r="AE205" s="2"/>
      <c r="AF205" s="2"/>
      <c r="AG205" s="2"/>
      <c r="AH205" s="2"/>
      <c r="AI205" s="2"/>
      <c r="AJ205" s="2"/>
      <c r="AK205" s="2"/>
      <c r="AL205" s="2"/>
      <c r="AM205" s="2"/>
      <c r="AN205" s="2"/>
      <c r="AO205" s="2"/>
      <c r="AP205" s="2"/>
      <c r="AQ205" s="2"/>
    </row>
    <row r="206" spans="1:43" x14ac:dyDescent="0.25">
      <c r="D206" s="54"/>
      <c r="E206" s="54"/>
      <c r="F206" s="54"/>
      <c r="G206" s="54"/>
      <c r="H206" s="54"/>
      <c r="I206" s="54"/>
      <c r="J206" s="2"/>
      <c r="K206" s="2"/>
      <c r="L206" s="2"/>
      <c r="M206" s="2"/>
      <c r="N206" s="2"/>
      <c r="O206" s="2"/>
      <c r="P206" s="2"/>
      <c r="Q206" s="2"/>
      <c r="R206" s="2"/>
      <c r="S206" s="2"/>
      <c r="T206" s="2"/>
      <c r="U206" s="264">
        <v>202</v>
      </c>
      <c r="V206" s="16" t="str">
        <f t="shared" si="174"/>
        <v/>
      </c>
      <c r="W206" s="16" t="str">
        <f t="shared" si="175"/>
        <v/>
      </c>
      <c r="X206" s="16" t="str">
        <f t="shared" si="169"/>
        <v/>
      </c>
      <c r="Y206" s="16" t="str">
        <f t="shared" si="170"/>
        <v/>
      </c>
      <c r="Z206" s="16" t="str">
        <f t="shared" si="171"/>
        <v/>
      </c>
      <c r="AA206" s="16" t="str">
        <f t="shared" si="176"/>
        <v/>
      </c>
      <c r="AB206" s="16" t="str">
        <f t="shared" si="177"/>
        <v/>
      </c>
      <c r="AC206" s="29" t="str">
        <f t="shared" si="172"/>
        <v/>
      </c>
      <c r="AD206" s="29" t="str">
        <f t="shared" si="173"/>
        <v/>
      </c>
      <c r="AE206" s="2"/>
      <c r="AF206" s="2"/>
      <c r="AG206" s="2"/>
      <c r="AH206" s="2"/>
      <c r="AI206" s="2"/>
      <c r="AJ206" s="2"/>
      <c r="AK206" s="2"/>
      <c r="AL206" s="2"/>
      <c r="AM206" s="2"/>
      <c r="AN206" s="2"/>
      <c r="AO206" s="2"/>
      <c r="AP206" s="2"/>
      <c r="AQ206" s="2"/>
    </row>
    <row r="207" spans="1:43" x14ac:dyDescent="0.25">
      <c r="D207" s="54"/>
      <c r="E207" s="54"/>
      <c r="F207" s="54"/>
      <c r="G207" s="54"/>
      <c r="H207" s="54"/>
      <c r="I207" s="54"/>
      <c r="J207" s="2"/>
      <c r="K207" s="2"/>
      <c r="L207" s="2"/>
      <c r="M207" s="2"/>
      <c r="N207" s="2"/>
      <c r="O207" s="2"/>
      <c r="P207" s="2"/>
      <c r="Q207" s="2"/>
      <c r="R207" s="2"/>
      <c r="S207" s="2"/>
      <c r="T207" s="2"/>
      <c r="U207" s="264">
        <v>203</v>
      </c>
      <c r="V207" s="16" t="str">
        <f t="shared" si="174"/>
        <v/>
      </c>
      <c r="W207" s="16" t="str">
        <f t="shared" si="175"/>
        <v/>
      </c>
      <c r="X207" s="16" t="str">
        <f t="shared" si="169"/>
        <v/>
      </c>
      <c r="Y207" s="16" t="str">
        <f t="shared" si="170"/>
        <v/>
      </c>
      <c r="Z207" s="16" t="str">
        <f t="shared" si="171"/>
        <v/>
      </c>
      <c r="AA207" s="16" t="str">
        <f t="shared" si="176"/>
        <v/>
      </c>
      <c r="AB207" s="16" t="str">
        <f t="shared" si="177"/>
        <v/>
      </c>
      <c r="AC207" s="29" t="str">
        <f t="shared" si="172"/>
        <v/>
      </c>
      <c r="AD207" s="29" t="str">
        <f t="shared" si="173"/>
        <v/>
      </c>
      <c r="AE207" s="2"/>
      <c r="AF207" s="2"/>
      <c r="AG207" s="2"/>
      <c r="AH207" s="2"/>
      <c r="AI207" s="2"/>
      <c r="AJ207" s="2"/>
      <c r="AK207" s="2"/>
      <c r="AL207" s="2"/>
      <c r="AM207" s="2"/>
      <c r="AN207" s="2"/>
      <c r="AO207" s="2"/>
      <c r="AP207" s="2"/>
      <c r="AQ207" s="2"/>
    </row>
    <row r="208" spans="1:43" x14ac:dyDescent="0.25">
      <c r="D208" s="54"/>
      <c r="E208" s="54"/>
      <c r="F208" s="54"/>
      <c r="G208" s="54"/>
      <c r="H208" s="54"/>
      <c r="I208" s="54"/>
      <c r="J208" s="2"/>
      <c r="K208" s="2"/>
      <c r="L208" s="2"/>
      <c r="M208" s="2"/>
      <c r="N208" s="2"/>
      <c r="O208" s="2"/>
      <c r="P208" s="2"/>
      <c r="Q208" s="2"/>
      <c r="R208" s="2"/>
      <c r="S208" s="2"/>
      <c r="T208" s="2"/>
      <c r="U208" s="264">
        <v>204</v>
      </c>
      <c r="V208" s="16" t="str">
        <f t="shared" si="174"/>
        <v/>
      </c>
      <c r="W208" s="16" t="str">
        <f t="shared" si="175"/>
        <v/>
      </c>
      <c r="X208" s="16" t="str">
        <f t="shared" si="169"/>
        <v/>
      </c>
      <c r="Y208" s="16" t="str">
        <f t="shared" si="170"/>
        <v/>
      </c>
      <c r="Z208" s="16" t="str">
        <f t="shared" si="171"/>
        <v/>
      </c>
      <c r="AA208" s="16" t="str">
        <f t="shared" si="176"/>
        <v/>
      </c>
      <c r="AB208" s="16" t="str">
        <f t="shared" si="177"/>
        <v/>
      </c>
      <c r="AC208" s="29" t="str">
        <f t="shared" si="172"/>
        <v/>
      </c>
      <c r="AD208" s="29" t="str">
        <f t="shared" si="173"/>
        <v/>
      </c>
      <c r="AE208" s="2"/>
      <c r="AF208" s="2"/>
      <c r="AG208" s="2"/>
      <c r="AH208" s="2"/>
      <c r="AI208" s="2"/>
      <c r="AJ208" s="2"/>
      <c r="AK208" s="2"/>
      <c r="AL208" s="2"/>
      <c r="AM208" s="2"/>
      <c r="AN208" s="2"/>
      <c r="AO208" s="2"/>
      <c r="AP208" s="2"/>
      <c r="AQ208" s="2"/>
    </row>
    <row r="209" spans="4:43" x14ac:dyDescent="0.25">
      <c r="D209" s="54"/>
      <c r="E209" s="54"/>
      <c r="F209" s="54"/>
      <c r="G209" s="54"/>
      <c r="H209" s="54"/>
      <c r="I209" s="54"/>
      <c r="J209" s="2"/>
      <c r="K209" s="2"/>
      <c r="L209" s="2"/>
      <c r="M209" s="2"/>
      <c r="N209" s="2"/>
      <c r="O209" s="2"/>
      <c r="P209" s="2"/>
      <c r="Q209" s="2"/>
      <c r="R209" s="2"/>
      <c r="S209" s="2"/>
      <c r="T209" s="2"/>
      <c r="U209" s="264">
        <v>205</v>
      </c>
      <c r="V209" s="16" t="str">
        <f t="shared" si="174"/>
        <v/>
      </c>
      <c r="W209" s="16" t="str">
        <f t="shared" si="175"/>
        <v/>
      </c>
      <c r="X209" s="16" t="str">
        <f t="shared" si="169"/>
        <v/>
      </c>
      <c r="Y209" s="16" t="str">
        <f t="shared" si="170"/>
        <v/>
      </c>
      <c r="Z209" s="16" t="str">
        <f t="shared" si="171"/>
        <v/>
      </c>
      <c r="AA209" s="16" t="str">
        <f t="shared" si="176"/>
        <v/>
      </c>
      <c r="AB209" s="16" t="str">
        <f t="shared" si="177"/>
        <v/>
      </c>
      <c r="AC209" s="29" t="str">
        <f t="shared" si="172"/>
        <v/>
      </c>
      <c r="AD209" s="29" t="str">
        <f t="shared" si="173"/>
        <v/>
      </c>
      <c r="AE209" s="2"/>
      <c r="AF209" s="2"/>
      <c r="AG209" s="2"/>
      <c r="AH209" s="2"/>
      <c r="AI209" s="2"/>
      <c r="AJ209" s="2"/>
      <c r="AK209" s="2"/>
      <c r="AL209" s="2"/>
      <c r="AM209" s="2"/>
      <c r="AN209" s="2"/>
      <c r="AO209" s="2"/>
      <c r="AP209" s="2"/>
      <c r="AQ209" s="2"/>
    </row>
    <row r="210" spans="4:43" x14ac:dyDescent="0.25">
      <c r="D210" s="54"/>
      <c r="E210" s="54"/>
      <c r="F210" s="54"/>
      <c r="G210" s="54"/>
      <c r="H210" s="54"/>
      <c r="I210" s="54"/>
      <c r="J210" s="2"/>
      <c r="K210" s="2"/>
      <c r="L210" s="2"/>
      <c r="M210" s="2"/>
      <c r="N210" s="2"/>
      <c r="O210" s="2"/>
      <c r="P210" s="2"/>
      <c r="Q210" s="2"/>
      <c r="R210" s="2"/>
      <c r="S210" s="2"/>
      <c r="T210" s="2"/>
      <c r="U210" s="264">
        <v>206</v>
      </c>
      <c r="V210" s="16" t="str">
        <f t="shared" si="174"/>
        <v/>
      </c>
      <c r="W210" s="16" t="str">
        <f t="shared" si="175"/>
        <v/>
      </c>
      <c r="X210" s="16" t="str">
        <f t="shared" si="169"/>
        <v/>
      </c>
      <c r="Y210" s="16" t="str">
        <f t="shared" si="170"/>
        <v/>
      </c>
      <c r="Z210" s="16" t="str">
        <f t="shared" si="171"/>
        <v/>
      </c>
      <c r="AA210" s="16" t="str">
        <f t="shared" si="176"/>
        <v/>
      </c>
      <c r="AB210" s="16" t="str">
        <f t="shared" si="177"/>
        <v/>
      </c>
      <c r="AC210" s="29" t="str">
        <f t="shared" si="172"/>
        <v/>
      </c>
      <c r="AD210" s="29" t="str">
        <f t="shared" si="173"/>
        <v/>
      </c>
      <c r="AE210" s="2"/>
      <c r="AF210" s="2"/>
      <c r="AG210" s="2"/>
      <c r="AH210" s="2"/>
      <c r="AI210" s="2"/>
      <c r="AJ210" s="2"/>
      <c r="AK210" s="2"/>
      <c r="AL210" s="2"/>
      <c r="AM210" s="2"/>
      <c r="AN210" s="2"/>
      <c r="AO210" s="2"/>
      <c r="AP210" s="2"/>
      <c r="AQ210" s="2"/>
    </row>
    <row r="211" spans="4:43" x14ac:dyDescent="0.25">
      <c r="D211" s="54"/>
      <c r="E211" s="54"/>
      <c r="F211" s="54"/>
      <c r="G211" s="54"/>
      <c r="H211" s="54"/>
      <c r="I211" s="54"/>
      <c r="J211" s="2"/>
      <c r="K211" s="2"/>
      <c r="L211" s="2"/>
      <c r="M211" s="2"/>
      <c r="N211" s="2"/>
      <c r="O211" s="2"/>
      <c r="P211" s="2"/>
      <c r="Q211" s="2"/>
      <c r="R211" s="2"/>
      <c r="S211" s="2"/>
      <c r="T211" s="2"/>
      <c r="U211" s="264">
        <v>207</v>
      </c>
      <c r="V211" s="16" t="str">
        <f t="shared" si="174"/>
        <v/>
      </c>
      <c r="W211" s="16" t="str">
        <f t="shared" si="175"/>
        <v/>
      </c>
      <c r="X211" s="16" t="str">
        <f t="shared" si="169"/>
        <v/>
      </c>
      <c r="Y211" s="16" t="str">
        <f t="shared" si="170"/>
        <v/>
      </c>
      <c r="Z211" s="16" t="str">
        <f t="shared" si="171"/>
        <v/>
      </c>
      <c r="AA211" s="16" t="str">
        <f t="shared" si="176"/>
        <v/>
      </c>
      <c r="AB211" s="16" t="str">
        <f t="shared" si="177"/>
        <v/>
      </c>
      <c r="AC211" s="29" t="str">
        <f t="shared" si="172"/>
        <v/>
      </c>
      <c r="AD211" s="29" t="str">
        <f t="shared" si="173"/>
        <v/>
      </c>
      <c r="AE211" s="2"/>
      <c r="AF211" s="2"/>
      <c r="AG211" s="2"/>
      <c r="AH211" s="2"/>
      <c r="AI211" s="2"/>
      <c r="AJ211" s="2"/>
      <c r="AK211" s="2"/>
      <c r="AL211" s="2"/>
      <c r="AM211" s="2"/>
      <c r="AN211" s="2"/>
      <c r="AO211" s="2"/>
      <c r="AP211" s="2"/>
      <c r="AQ211" s="2"/>
    </row>
    <row r="212" spans="4:43" x14ac:dyDescent="0.25">
      <c r="D212" s="54"/>
      <c r="E212" s="54"/>
      <c r="F212" s="54"/>
      <c r="G212" s="54"/>
      <c r="H212" s="54"/>
      <c r="I212" s="54"/>
      <c r="J212" s="2"/>
      <c r="K212" s="2"/>
      <c r="L212" s="2"/>
      <c r="M212" s="2"/>
      <c r="N212" s="2"/>
      <c r="O212" s="2"/>
      <c r="P212" s="2"/>
      <c r="Q212" s="2"/>
      <c r="R212" s="2"/>
      <c r="S212" s="2"/>
      <c r="T212" s="2"/>
      <c r="U212" s="264">
        <v>208</v>
      </c>
      <c r="V212" s="16" t="str">
        <f t="shared" si="174"/>
        <v/>
      </c>
      <c r="W212" s="16" t="str">
        <f t="shared" si="175"/>
        <v/>
      </c>
      <c r="X212" s="16" t="str">
        <f t="shared" si="169"/>
        <v/>
      </c>
      <c r="Y212" s="16" t="str">
        <f t="shared" si="170"/>
        <v/>
      </c>
      <c r="Z212" s="16" t="str">
        <f t="shared" si="171"/>
        <v/>
      </c>
      <c r="AA212" s="16" t="str">
        <f t="shared" si="176"/>
        <v/>
      </c>
      <c r="AB212" s="16" t="str">
        <f t="shared" si="177"/>
        <v/>
      </c>
      <c r="AC212" s="29" t="str">
        <f t="shared" si="172"/>
        <v/>
      </c>
      <c r="AD212" s="29" t="str">
        <f t="shared" si="173"/>
        <v/>
      </c>
      <c r="AE212" s="2"/>
      <c r="AF212" s="2"/>
      <c r="AG212" s="2"/>
      <c r="AH212" s="2"/>
      <c r="AI212" s="2"/>
      <c r="AJ212" s="2"/>
      <c r="AK212" s="2"/>
      <c r="AL212" s="2"/>
      <c r="AM212" s="2"/>
      <c r="AN212" s="2"/>
      <c r="AO212" s="2"/>
      <c r="AP212" s="2"/>
      <c r="AQ212" s="2"/>
    </row>
    <row r="213" spans="4:43" x14ac:dyDescent="0.25">
      <c r="D213" s="54"/>
      <c r="E213" s="54"/>
      <c r="F213" s="54"/>
      <c r="G213" s="54"/>
      <c r="H213" s="54"/>
      <c r="I213" s="54"/>
      <c r="J213" s="2"/>
      <c r="K213" s="2"/>
      <c r="L213" s="2"/>
      <c r="M213" s="2"/>
      <c r="N213" s="2"/>
      <c r="O213" s="2"/>
      <c r="P213" s="2"/>
      <c r="Q213" s="2"/>
      <c r="R213" s="2"/>
      <c r="S213" s="2"/>
      <c r="T213" s="2"/>
      <c r="U213" s="264">
        <v>209</v>
      </c>
      <c r="V213" s="16" t="str">
        <f t="shared" si="174"/>
        <v/>
      </c>
      <c r="W213" s="16" t="str">
        <f t="shared" si="175"/>
        <v/>
      </c>
      <c r="X213" s="16" t="str">
        <f t="shared" si="169"/>
        <v/>
      </c>
      <c r="Y213" s="16" t="str">
        <f t="shared" si="170"/>
        <v/>
      </c>
      <c r="Z213" s="16" t="str">
        <f t="shared" si="171"/>
        <v/>
      </c>
      <c r="AA213" s="16" t="str">
        <f t="shared" si="176"/>
        <v/>
      </c>
      <c r="AB213" s="16" t="str">
        <f t="shared" si="177"/>
        <v/>
      </c>
      <c r="AC213" s="29" t="str">
        <f t="shared" si="172"/>
        <v/>
      </c>
      <c r="AD213" s="29" t="str">
        <f t="shared" si="173"/>
        <v/>
      </c>
      <c r="AE213" s="2"/>
      <c r="AF213" s="2"/>
      <c r="AG213" s="2"/>
      <c r="AH213" s="2"/>
      <c r="AI213" s="2"/>
      <c r="AJ213" s="2"/>
      <c r="AK213" s="2"/>
      <c r="AL213" s="2"/>
      <c r="AM213" s="2"/>
      <c r="AN213" s="2"/>
      <c r="AO213" s="2"/>
      <c r="AP213" s="2"/>
      <c r="AQ213" s="2"/>
    </row>
    <row r="214" spans="4:43" x14ac:dyDescent="0.25">
      <c r="D214" s="54"/>
      <c r="E214" s="54"/>
      <c r="F214" s="54"/>
      <c r="G214" s="54"/>
      <c r="H214" s="54"/>
      <c r="I214" s="54"/>
      <c r="J214" s="2"/>
      <c r="K214" s="2"/>
      <c r="L214" s="2"/>
      <c r="M214" s="2"/>
      <c r="N214" s="2"/>
      <c r="O214" s="2"/>
      <c r="P214" s="2"/>
      <c r="Q214" s="2"/>
      <c r="R214" s="2"/>
      <c r="S214" s="2"/>
      <c r="T214" s="2"/>
      <c r="U214" s="264">
        <v>210</v>
      </c>
      <c r="V214" s="16" t="str">
        <f t="shared" si="174"/>
        <v/>
      </c>
      <c r="W214" s="16" t="str">
        <f t="shared" si="175"/>
        <v/>
      </c>
      <c r="X214" s="16" t="str">
        <f t="shared" si="169"/>
        <v/>
      </c>
      <c r="Y214" s="16" t="str">
        <f t="shared" si="170"/>
        <v/>
      </c>
      <c r="Z214" s="16" t="str">
        <f t="shared" si="171"/>
        <v/>
      </c>
      <c r="AA214" s="16" t="str">
        <f t="shared" si="176"/>
        <v/>
      </c>
      <c r="AB214" s="16" t="str">
        <f t="shared" si="177"/>
        <v/>
      </c>
      <c r="AC214" s="29" t="str">
        <f t="shared" si="172"/>
        <v/>
      </c>
      <c r="AD214" s="29" t="str">
        <f t="shared" si="173"/>
        <v/>
      </c>
      <c r="AE214" s="2"/>
      <c r="AF214" s="2"/>
      <c r="AG214" s="2"/>
      <c r="AH214" s="2"/>
      <c r="AI214" s="2"/>
      <c r="AJ214" s="2"/>
      <c r="AK214" s="2"/>
      <c r="AL214" s="2"/>
      <c r="AM214" s="2"/>
      <c r="AN214" s="2"/>
      <c r="AO214" s="2"/>
      <c r="AP214" s="2"/>
      <c r="AQ214" s="2"/>
    </row>
    <row r="215" spans="4:43" x14ac:dyDescent="0.25">
      <c r="D215" s="54"/>
      <c r="E215" s="54"/>
      <c r="F215" s="54"/>
      <c r="G215" s="54"/>
      <c r="H215" s="54"/>
      <c r="I215" s="54"/>
      <c r="J215" s="2"/>
      <c r="K215" s="2"/>
      <c r="L215" s="2"/>
      <c r="M215" s="2"/>
      <c r="N215" s="2"/>
      <c r="O215" s="2"/>
      <c r="P215" s="2"/>
      <c r="Q215" s="2"/>
      <c r="R215" s="2"/>
      <c r="S215" s="2"/>
      <c r="T215" s="2"/>
      <c r="U215" s="264">
        <v>211</v>
      </c>
      <c r="V215" s="16" t="str">
        <f t="shared" si="174"/>
        <v/>
      </c>
      <c r="W215" s="16" t="str">
        <f t="shared" si="175"/>
        <v/>
      </c>
      <c r="X215" s="16" t="str">
        <f t="shared" si="169"/>
        <v/>
      </c>
      <c r="Y215" s="16" t="str">
        <f t="shared" si="170"/>
        <v/>
      </c>
      <c r="Z215" s="16" t="str">
        <f t="shared" si="171"/>
        <v/>
      </c>
      <c r="AA215" s="16" t="str">
        <f t="shared" si="176"/>
        <v/>
      </c>
      <c r="AB215" s="16" t="str">
        <f t="shared" si="177"/>
        <v/>
      </c>
      <c r="AC215" s="29" t="str">
        <f t="shared" si="172"/>
        <v/>
      </c>
      <c r="AD215" s="29" t="str">
        <f t="shared" si="173"/>
        <v/>
      </c>
      <c r="AE215" s="2"/>
      <c r="AF215" s="2"/>
      <c r="AG215" s="2"/>
      <c r="AH215" s="2"/>
      <c r="AI215" s="2"/>
      <c r="AJ215" s="2"/>
      <c r="AK215" s="2"/>
      <c r="AL215" s="2"/>
      <c r="AM215" s="2"/>
      <c r="AN215" s="2"/>
      <c r="AO215" s="2"/>
      <c r="AP215" s="2"/>
      <c r="AQ215" s="2"/>
    </row>
    <row r="216" spans="4:43" x14ac:dyDescent="0.25">
      <c r="D216" s="54"/>
      <c r="E216" s="54"/>
      <c r="F216" s="54"/>
      <c r="G216" s="54"/>
      <c r="H216" s="54"/>
      <c r="I216" s="54"/>
      <c r="J216" s="2"/>
      <c r="K216" s="2"/>
      <c r="L216" s="2"/>
      <c r="M216" s="2"/>
      <c r="N216" s="2"/>
      <c r="O216" s="2"/>
      <c r="P216" s="2"/>
      <c r="Q216" s="2"/>
      <c r="R216" s="2"/>
      <c r="S216" s="2"/>
      <c r="T216" s="2"/>
      <c r="U216" s="264">
        <v>212</v>
      </c>
      <c r="V216" s="16" t="str">
        <f t="shared" si="174"/>
        <v/>
      </c>
      <c r="W216" s="16" t="str">
        <f t="shared" si="175"/>
        <v/>
      </c>
      <c r="X216" s="16" t="str">
        <f t="shared" si="169"/>
        <v/>
      </c>
      <c r="Y216" s="16" t="str">
        <f t="shared" si="170"/>
        <v/>
      </c>
      <c r="Z216" s="16" t="str">
        <f t="shared" si="171"/>
        <v/>
      </c>
      <c r="AA216" s="16" t="str">
        <f t="shared" si="176"/>
        <v/>
      </c>
      <c r="AB216" s="16" t="str">
        <f t="shared" si="177"/>
        <v/>
      </c>
      <c r="AC216" s="29" t="str">
        <f t="shared" si="172"/>
        <v/>
      </c>
      <c r="AD216" s="29" t="str">
        <f t="shared" si="173"/>
        <v/>
      </c>
      <c r="AE216" s="2"/>
      <c r="AF216" s="2"/>
      <c r="AG216" s="2"/>
      <c r="AH216" s="2"/>
      <c r="AI216" s="2"/>
      <c r="AJ216" s="2"/>
      <c r="AK216" s="2"/>
      <c r="AL216" s="2"/>
      <c r="AM216" s="2"/>
      <c r="AN216" s="2"/>
      <c r="AO216" s="2"/>
      <c r="AP216" s="2"/>
      <c r="AQ216" s="2"/>
    </row>
    <row r="217" spans="4:43" x14ac:dyDescent="0.25">
      <c r="D217" s="54"/>
      <c r="E217" s="54"/>
      <c r="F217" s="54"/>
      <c r="G217" s="54"/>
      <c r="H217" s="54"/>
      <c r="I217" s="54"/>
      <c r="J217" s="2"/>
      <c r="K217" s="2"/>
      <c r="L217" s="2"/>
      <c r="M217" s="2"/>
      <c r="N217" s="2"/>
      <c r="O217" s="2"/>
      <c r="P217" s="2"/>
      <c r="Q217" s="2"/>
      <c r="R217" s="2"/>
      <c r="S217" s="2"/>
      <c r="T217" s="2"/>
      <c r="U217" s="264">
        <v>213</v>
      </c>
      <c r="V217" s="16" t="str">
        <f t="shared" si="174"/>
        <v/>
      </c>
      <c r="W217" s="16" t="str">
        <f t="shared" si="175"/>
        <v/>
      </c>
      <c r="X217" s="16" t="str">
        <f t="shared" si="169"/>
        <v/>
      </c>
      <c r="Y217" s="16" t="str">
        <f t="shared" si="170"/>
        <v/>
      </c>
      <c r="Z217" s="16" t="str">
        <f t="shared" si="171"/>
        <v/>
      </c>
      <c r="AA217" s="16" t="str">
        <f t="shared" si="176"/>
        <v/>
      </c>
      <c r="AB217" s="16" t="str">
        <f t="shared" si="177"/>
        <v/>
      </c>
      <c r="AC217" s="29" t="str">
        <f t="shared" si="172"/>
        <v/>
      </c>
      <c r="AD217" s="29" t="str">
        <f t="shared" si="173"/>
        <v/>
      </c>
      <c r="AE217" s="2"/>
      <c r="AF217" s="2"/>
      <c r="AG217" s="2"/>
      <c r="AH217" s="2"/>
      <c r="AI217" s="2"/>
      <c r="AJ217" s="2"/>
      <c r="AK217" s="2"/>
      <c r="AL217" s="2"/>
      <c r="AM217" s="2"/>
      <c r="AN217" s="2"/>
      <c r="AO217" s="2"/>
      <c r="AP217" s="2"/>
      <c r="AQ217" s="2"/>
    </row>
    <row r="218" spans="4:43" x14ac:dyDescent="0.25">
      <c r="D218" s="54"/>
      <c r="E218" s="54"/>
      <c r="F218" s="54"/>
      <c r="G218" s="54"/>
      <c r="H218" s="54"/>
      <c r="I218" s="54"/>
      <c r="J218" s="2"/>
      <c r="K218" s="2"/>
      <c r="L218" s="2"/>
      <c r="M218" s="2"/>
      <c r="N218" s="2"/>
      <c r="O218" s="2"/>
      <c r="P218" s="2"/>
      <c r="Q218" s="2"/>
      <c r="R218" s="2"/>
      <c r="S218" s="2"/>
      <c r="T218" s="2"/>
      <c r="U218" s="264">
        <v>214</v>
      </c>
      <c r="V218" s="16" t="str">
        <f t="shared" si="174"/>
        <v/>
      </c>
      <c r="W218" s="16" t="str">
        <f t="shared" si="175"/>
        <v/>
      </c>
      <c r="X218" s="16" t="str">
        <f t="shared" si="169"/>
        <v/>
      </c>
      <c r="Y218" s="16" t="str">
        <f t="shared" si="170"/>
        <v/>
      </c>
      <c r="Z218" s="16" t="str">
        <f t="shared" si="171"/>
        <v/>
      </c>
      <c r="AA218" s="16" t="str">
        <f t="shared" si="176"/>
        <v/>
      </c>
      <c r="AB218" s="16" t="str">
        <f t="shared" si="177"/>
        <v/>
      </c>
      <c r="AC218" s="29" t="str">
        <f t="shared" si="172"/>
        <v/>
      </c>
      <c r="AD218" s="29" t="str">
        <f t="shared" si="173"/>
        <v/>
      </c>
      <c r="AE218" s="2"/>
      <c r="AF218" s="2"/>
      <c r="AG218" s="2"/>
      <c r="AH218" s="2"/>
      <c r="AI218" s="2"/>
      <c r="AJ218" s="2"/>
      <c r="AK218" s="2"/>
      <c r="AL218" s="2"/>
      <c r="AM218" s="2"/>
      <c r="AN218" s="2"/>
      <c r="AO218" s="2"/>
      <c r="AP218" s="2"/>
      <c r="AQ218" s="2"/>
    </row>
    <row r="219" spans="4:43" x14ac:dyDescent="0.25">
      <c r="D219" s="54"/>
      <c r="E219" s="54"/>
      <c r="F219" s="54"/>
      <c r="G219" s="54"/>
      <c r="H219" s="54"/>
      <c r="I219" s="54"/>
      <c r="J219" s="2"/>
      <c r="K219" s="2"/>
      <c r="L219" s="2"/>
      <c r="M219" s="2"/>
      <c r="N219" s="2"/>
      <c r="O219" s="2"/>
      <c r="P219" s="2"/>
      <c r="Q219" s="2"/>
      <c r="R219" s="2"/>
      <c r="S219" s="2"/>
      <c r="T219" s="2"/>
      <c r="U219" s="264">
        <v>215</v>
      </c>
      <c r="V219" s="16" t="str">
        <f t="shared" si="174"/>
        <v/>
      </c>
      <c r="W219" s="16" t="str">
        <f t="shared" si="175"/>
        <v/>
      </c>
      <c r="X219" s="16" t="str">
        <f t="shared" si="169"/>
        <v/>
      </c>
      <c r="Y219" s="16" t="str">
        <f t="shared" si="170"/>
        <v/>
      </c>
      <c r="Z219" s="16" t="str">
        <f t="shared" si="171"/>
        <v/>
      </c>
      <c r="AA219" s="16" t="str">
        <f t="shared" si="176"/>
        <v/>
      </c>
      <c r="AB219" s="16" t="str">
        <f t="shared" si="177"/>
        <v/>
      </c>
      <c r="AC219" s="29" t="str">
        <f t="shared" si="172"/>
        <v/>
      </c>
      <c r="AD219" s="29" t="str">
        <f t="shared" si="173"/>
        <v/>
      </c>
      <c r="AE219" s="2"/>
      <c r="AF219" s="2"/>
      <c r="AG219" s="2"/>
      <c r="AH219" s="2"/>
      <c r="AI219" s="2"/>
      <c r="AJ219" s="2"/>
      <c r="AK219" s="2"/>
      <c r="AL219" s="2"/>
      <c r="AM219" s="2"/>
      <c r="AN219" s="2"/>
      <c r="AO219" s="2"/>
      <c r="AP219" s="2"/>
      <c r="AQ219" s="2"/>
    </row>
    <row r="220" spans="4:43" x14ac:dyDescent="0.25">
      <c r="D220" s="54"/>
      <c r="E220" s="54"/>
      <c r="F220" s="54"/>
      <c r="G220" s="54"/>
      <c r="H220" s="54"/>
      <c r="I220" s="54"/>
      <c r="J220" s="2"/>
      <c r="K220" s="2"/>
      <c r="L220" s="2"/>
      <c r="M220" s="2"/>
      <c r="N220" s="2"/>
      <c r="O220" s="2"/>
      <c r="P220" s="2"/>
      <c r="Q220" s="2"/>
      <c r="R220" s="2"/>
      <c r="S220" s="2"/>
      <c r="T220" s="2"/>
      <c r="U220" s="264">
        <v>216</v>
      </c>
      <c r="V220" s="16" t="str">
        <f t="shared" si="174"/>
        <v/>
      </c>
      <c r="W220" s="16" t="str">
        <f t="shared" si="175"/>
        <v/>
      </c>
      <c r="X220" s="16" t="str">
        <f t="shared" si="169"/>
        <v/>
      </c>
      <c r="Y220" s="16" t="str">
        <f t="shared" si="170"/>
        <v/>
      </c>
      <c r="Z220" s="16" t="str">
        <f t="shared" si="171"/>
        <v/>
      </c>
      <c r="AA220" s="16" t="str">
        <f t="shared" si="176"/>
        <v/>
      </c>
      <c r="AB220" s="16" t="str">
        <f t="shared" si="177"/>
        <v/>
      </c>
      <c r="AC220" s="29" t="str">
        <f t="shared" si="172"/>
        <v/>
      </c>
      <c r="AD220" s="29" t="str">
        <f t="shared" si="173"/>
        <v/>
      </c>
      <c r="AE220" s="2"/>
      <c r="AF220" s="2"/>
      <c r="AG220" s="2"/>
      <c r="AH220" s="2"/>
      <c r="AI220" s="2"/>
      <c r="AJ220" s="2"/>
      <c r="AK220" s="2"/>
      <c r="AL220" s="2"/>
      <c r="AM220" s="2"/>
      <c r="AN220" s="2"/>
      <c r="AO220" s="2"/>
      <c r="AP220" s="2"/>
      <c r="AQ220" s="2"/>
    </row>
    <row r="221" spans="4:43" x14ac:dyDescent="0.25">
      <c r="D221" s="54"/>
      <c r="E221" s="54"/>
      <c r="F221" s="54"/>
      <c r="G221" s="54"/>
      <c r="H221" s="54"/>
      <c r="I221" s="54"/>
      <c r="J221" s="2"/>
      <c r="K221" s="2"/>
      <c r="L221" s="2"/>
      <c r="M221" s="2"/>
      <c r="N221" s="2"/>
      <c r="O221" s="2"/>
      <c r="P221" s="2"/>
      <c r="Q221" s="2"/>
      <c r="R221" s="2"/>
      <c r="S221" s="2"/>
      <c r="T221" s="2"/>
      <c r="U221" s="264">
        <v>217</v>
      </c>
      <c r="V221" s="16" t="str">
        <f t="shared" si="174"/>
        <v/>
      </c>
      <c r="W221" s="16" t="str">
        <f t="shared" si="175"/>
        <v/>
      </c>
      <c r="X221" s="16" t="str">
        <f t="shared" si="169"/>
        <v/>
      </c>
      <c r="Y221" s="16" t="str">
        <f t="shared" si="170"/>
        <v/>
      </c>
      <c r="Z221" s="16" t="str">
        <f t="shared" si="171"/>
        <v/>
      </c>
      <c r="AA221" s="16" t="str">
        <f t="shared" si="176"/>
        <v/>
      </c>
      <c r="AB221" s="16" t="str">
        <f t="shared" si="177"/>
        <v/>
      </c>
      <c r="AC221" s="29" t="str">
        <f t="shared" si="172"/>
        <v/>
      </c>
      <c r="AD221" s="29" t="str">
        <f t="shared" si="173"/>
        <v/>
      </c>
      <c r="AE221" s="2"/>
      <c r="AF221" s="2"/>
      <c r="AG221" s="2"/>
      <c r="AH221" s="2"/>
      <c r="AI221" s="2"/>
      <c r="AJ221" s="2"/>
      <c r="AK221" s="2"/>
      <c r="AL221" s="2"/>
      <c r="AM221" s="2"/>
      <c r="AN221" s="2"/>
      <c r="AO221" s="2"/>
      <c r="AP221" s="2"/>
      <c r="AQ221" s="2"/>
    </row>
    <row r="222" spans="4:43" x14ac:dyDescent="0.25">
      <c r="D222" s="54"/>
      <c r="E222" s="54"/>
      <c r="F222" s="54"/>
      <c r="G222" s="54"/>
      <c r="H222" s="54"/>
      <c r="I222" s="54"/>
      <c r="J222" s="2"/>
      <c r="K222" s="2"/>
      <c r="L222" s="2"/>
      <c r="M222" s="2"/>
      <c r="N222" s="2"/>
      <c r="O222" s="2"/>
      <c r="P222" s="2"/>
      <c r="Q222" s="2"/>
      <c r="R222" s="2"/>
      <c r="S222" s="2"/>
      <c r="T222" s="2"/>
      <c r="U222" s="264">
        <v>218</v>
      </c>
      <c r="V222" s="16" t="str">
        <f t="shared" si="174"/>
        <v/>
      </c>
      <c r="W222" s="16" t="str">
        <f t="shared" si="175"/>
        <v/>
      </c>
      <c r="X222" s="16" t="str">
        <f t="shared" si="169"/>
        <v/>
      </c>
      <c r="Y222" s="16" t="str">
        <f t="shared" si="170"/>
        <v/>
      </c>
      <c r="Z222" s="16" t="str">
        <f t="shared" si="171"/>
        <v/>
      </c>
      <c r="AA222" s="16" t="str">
        <f t="shared" si="176"/>
        <v/>
      </c>
      <c r="AB222" s="16" t="str">
        <f t="shared" si="177"/>
        <v/>
      </c>
      <c r="AC222" s="29" t="str">
        <f t="shared" si="172"/>
        <v/>
      </c>
      <c r="AD222" s="29" t="str">
        <f t="shared" si="173"/>
        <v/>
      </c>
      <c r="AE222" s="2"/>
      <c r="AF222" s="2"/>
      <c r="AG222" s="2"/>
      <c r="AH222" s="2"/>
      <c r="AI222" s="2"/>
      <c r="AJ222" s="2"/>
      <c r="AK222" s="2"/>
      <c r="AL222" s="2"/>
      <c r="AM222" s="2"/>
      <c r="AN222" s="2"/>
      <c r="AO222" s="2"/>
      <c r="AP222" s="2"/>
      <c r="AQ222" s="2"/>
    </row>
    <row r="223" spans="4:43" x14ac:dyDescent="0.25">
      <c r="D223" s="54"/>
      <c r="E223" s="54"/>
      <c r="F223" s="54"/>
      <c r="G223" s="54"/>
      <c r="H223" s="54"/>
      <c r="I223" s="54"/>
      <c r="J223" s="2"/>
      <c r="K223" s="2"/>
      <c r="L223" s="2"/>
      <c r="M223" s="2"/>
      <c r="N223" s="2"/>
      <c r="O223" s="2"/>
      <c r="P223" s="2"/>
      <c r="Q223" s="2"/>
      <c r="R223" s="2"/>
      <c r="S223" s="2"/>
      <c r="T223" s="2"/>
      <c r="U223" s="264">
        <v>219</v>
      </c>
      <c r="V223" s="16" t="str">
        <f t="shared" si="174"/>
        <v/>
      </c>
      <c r="W223" s="16" t="str">
        <f t="shared" si="175"/>
        <v/>
      </c>
      <c r="X223" s="16" t="str">
        <f t="shared" si="169"/>
        <v/>
      </c>
      <c r="Y223" s="16" t="str">
        <f t="shared" si="170"/>
        <v/>
      </c>
      <c r="Z223" s="16" t="str">
        <f t="shared" si="171"/>
        <v/>
      </c>
      <c r="AA223" s="16" t="str">
        <f t="shared" si="176"/>
        <v/>
      </c>
      <c r="AB223" s="16" t="str">
        <f t="shared" si="177"/>
        <v/>
      </c>
      <c r="AC223" s="29" t="str">
        <f t="shared" si="172"/>
        <v/>
      </c>
      <c r="AD223" s="29" t="str">
        <f t="shared" si="173"/>
        <v/>
      </c>
      <c r="AE223" s="2"/>
      <c r="AF223" s="2"/>
      <c r="AG223" s="2"/>
      <c r="AH223" s="2"/>
      <c r="AI223" s="2"/>
      <c r="AJ223" s="2"/>
      <c r="AK223" s="2"/>
      <c r="AL223" s="2"/>
      <c r="AM223" s="2"/>
      <c r="AN223" s="2"/>
      <c r="AO223" s="2"/>
      <c r="AP223" s="2"/>
      <c r="AQ223" s="2"/>
    </row>
    <row r="224" spans="4:43" x14ac:dyDescent="0.25">
      <c r="D224" s="54"/>
      <c r="E224" s="54"/>
      <c r="F224" s="54"/>
      <c r="G224" s="54"/>
      <c r="H224" s="54"/>
      <c r="I224" s="54"/>
      <c r="J224" s="2"/>
      <c r="K224" s="2"/>
      <c r="L224" s="2"/>
      <c r="M224" s="2"/>
      <c r="N224" s="2"/>
      <c r="O224" s="2"/>
      <c r="P224" s="2"/>
      <c r="Q224" s="2"/>
      <c r="R224" s="2"/>
      <c r="S224" s="2"/>
      <c r="T224" s="2"/>
      <c r="U224" s="264">
        <v>220</v>
      </c>
      <c r="V224" s="16" t="str">
        <f t="shared" si="174"/>
        <v/>
      </c>
      <c r="W224" s="16" t="str">
        <f t="shared" si="175"/>
        <v/>
      </c>
      <c r="X224" s="16" t="str">
        <f t="shared" si="169"/>
        <v/>
      </c>
      <c r="Y224" s="16" t="str">
        <f t="shared" si="170"/>
        <v/>
      </c>
      <c r="Z224" s="16" t="str">
        <f t="shared" si="171"/>
        <v/>
      </c>
      <c r="AA224" s="16" t="str">
        <f t="shared" si="176"/>
        <v/>
      </c>
      <c r="AB224" s="16" t="str">
        <f t="shared" si="177"/>
        <v/>
      </c>
      <c r="AC224" s="29" t="str">
        <f t="shared" si="172"/>
        <v/>
      </c>
      <c r="AD224" s="29" t="str">
        <f t="shared" si="173"/>
        <v/>
      </c>
      <c r="AE224" s="2"/>
      <c r="AF224" s="2"/>
      <c r="AG224" s="2"/>
      <c r="AH224" s="2"/>
      <c r="AI224" s="2"/>
      <c r="AJ224" s="2"/>
      <c r="AK224" s="2"/>
      <c r="AL224" s="2"/>
      <c r="AM224" s="2"/>
      <c r="AN224" s="2"/>
      <c r="AO224" s="2"/>
      <c r="AP224" s="2"/>
      <c r="AQ224" s="2"/>
    </row>
    <row r="225" spans="4:43" x14ac:dyDescent="0.25">
      <c r="D225" s="54"/>
      <c r="E225" s="54"/>
      <c r="F225" s="54"/>
      <c r="G225" s="54"/>
      <c r="H225" s="54"/>
      <c r="I225" s="54"/>
      <c r="J225" s="2"/>
      <c r="K225" s="2"/>
      <c r="L225" s="2"/>
      <c r="M225" s="2"/>
      <c r="N225" s="2"/>
      <c r="O225" s="2"/>
      <c r="P225" s="2"/>
      <c r="Q225" s="2"/>
      <c r="R225" s="2"/>
      <c r="S225" s="2"/>
      <c r="T225" s="2"/>
      <c r="U225" s="264">
        <v>221</v>
      </c>
      <c r="V225" s="16" t="str">
        <f t="shared" si="174"/>
        <v/>
      </c>
      <c r="W225" s="16" t="str">
        <f t="shared" si="175"/>
        <v/>
      </c>
      <c r="X225" s="16" t="str">
        <f t="shared" si="169"/>
        <v/>
      </c>
      <c r="Y225" s="16" t="str">
        <f t="shared" si="170"/>
        <v/>
      </c>
      <c r="Z225" s="16" t="str">
        <f t="shared" si="171"/>
        <v/>
      </c>
      <c r="AA225" s="16" t="str">
        <f t="shared" si="176"/>
        <v/>
      </c>
      <c r="AB225" s="16" t="str">
        <f t="shared" si="177"/>
        <v/>
      </c>
      <c r="AC225" s="29" t="str">
        <f t="shared" si="172"/>
        <v/>
      </c>
      <c r="AD225" s="29" t="str">
        <f t="shared" si="173"/>
        <v/>
      </c>
      <c r="AE225" s="2"/>
      <c r="AF225" s="2"/>
      <c r="AG225" s="2"/>
      <c r="AH225" s="2"/>
      <c r="AI225" s="2"/>
      <c r="AJ225" s="2"/>
      <c r="AK225" s="2"/>
      <c r="AL225" s="2"/>
      <c r="AM225" s="2"/>
      <c r="AN225" s="2"/>
      <c r="AO225" s="2"/>
      <c r="AP225" s="2"/>
      <c r="AQ225" s="2"/>
    </row>
    <row r="226" spans="4:43" x14ac:dyDescent="0.25">
      <c r="D226" s="54"/>
      <c r="E226" s="54"/>
      <c r="F226" s="54"/>
      <c r="G226" s="54"/>
      <c r="H226" s="54"/>
      <c r="I226" s="54"/>
      <c r="J226" s="2"/>
      <c r="K226" s="2"/>
      <c r="L226" s="2"/>
      <c r="M226" s="2"/>
      <c r="N226" s="2"/>
      <c r="O226" s="2"/>
      <c r="P226" s="2"/>
      <c r="Q226" s="2"/>
      <c r="R226" s="2"/>
      <c r="S226" s="2"/>
      <c r="T226" s="2"/>
      <c r="U226" s="264">
        <v>222</v>
      </c>
      <c r="V226" s="16" t="str">
        <f t="shared" si="174"/>
        <v/>
      </c>
      <c r="W226" s="16" t="str">
        <f t="shared" si="175"/>
        <v/>
      </c>
      <c r="X226" s="16" t="str">
        <f t="shared" si="169"/>
        <v/>
      </c>
      <c r="Y226" s="16" t="str">
        <f t="shared" si="170"/>
        <v/>
      </c>
      <c r="Z226" s="16" t="str">
        <f t="shared" si="171"/>
        <v/>
      </c>
      <c r="AA226" s="16" t="str">
        <f t="shared" si="176"/>
        <v/>
      </c>
      <c r="AB226" s="16" t="str">
        <f t="shared" si="177"/>
        <v/>
      </c>
      <c r="AC226" s="29" t="str">
        <f t="shared" si="172"/>
        <v/>
      </c>
      <c r="AD226" s="29" t="str">
        <f t="shared" si="173"/>
        <v/>
      </c>
      <c r="AE226" s="2"/>
      <c r="AF226" s="2"/>
      <c r="AG226" s="2"/>
      <c r="AH226" s="2"/>
      <c r="AI226" s="2"/>
      <c r="AJ226" s="2"/>
      <c r="AK226" s="2"/>
      <c r="AL226" s="2"/>
      <c r="AM226" s="2"/>
      <c r="AN226" s="2"/>
      <c r="AO226" s="2"/>
      <c r="AP226" s="2"/>
      <c r="AQ226" s="2"/>
    </row>
    <row r="227" spans="4:43" x14ac:dyDescent="0.25">
      <c r="D227" s="54"/>
      <c r="E227" s="54"/>
      <c r="F227" s="54"/>
      <c r="G227" s="54"/>
      <c r="H227" s="54"/>
      <c r="I227" s="54"/>
      <c r="J227" s="2"/>
      <c r="K227" s="2"/>
      <c r="L227" s="2"/>
      <c r="M227" s="2"/>
      <c r="N227" s="2"/>
      <c r="O227" s="2"/>
      <c r="P227" s="2"/>
      <c r="Q227" s="2"/>
      <c r="R227" s="2"/>
      <c r="S227" s="2"/>
      <c r="T227" s="2"/>
      <c r="U227" s="264">
        <v>223</v>
      </c>
      <c r="V227" s="16" t="str">
        <f t="shared" si="174"/>
        <v/>
      </c>
      <c r="W227" s="16" t="str">
        <f t="shared" si="175"/>
        <v/>
      </c>
      <c r="X227" s="16" t="str">
        <f t="shared" si="169"/>
        <v/>
      </c>
      <c r="Y227" s="16" t="str">
        <f t="shared" si="170"/>
        <v/>
      </c>
      <c r="Z227" s="16" t="str">
        <f t="shared" si="171"/>
        <v/>
      </c>
      <c r="AA227" s="16" t="str">
        <f t="shared" si="176"/>
        <v/>
      </c>
      <c r="AB227" s="16" t="str">
        <f t="shared" si="177"/>
        <v/>
      </c>
      <c r="AC227" s="29" t="str">
        <f t="shared" si="172"/>
        <v/>
      </c>
      <c r="AD227" s="29" t="str">
        <f t="shared" si="173"/>
        <v/>
      </c>
      <c r="AE227" s="2"/>
      <c r="AF227" s="2"/>
      <c r="AG227" s="2"/>
      <c r="AH227" s="2"/>
      <c r="AI227" s="2"/>
      <c r="AJ227" s="2"/>
      <c r="AK227" s="2"/>
      <c r="AL227" s="2"/>
      <c r="AM227" s="2"/>
      <c r="AN227" s="2"/>
      <c r="AO227" s="2"/>
      <c r="AP227" s="2"/>
      <c r="AQ227" s="2"/>
    </row>
    <row r="228" spans="4:43" x14ac:dyDescent="0.25">
      <c r="D228" s="54"/>
      <c r="E228" s="54"/>
      <c r="F228" s="54"/>
      <c r="G228" s="54"/>
      <c r="H228" s="54"/>
      <c r="I228" s="54"/>
      <c r="J228" s="2"/>
      <c r="K228" s="2"/>
      <c r="L228" s="2"/>
      <c r="M228" s="2"/>
      <c r="N228" s="2"/>
      <c r="O228" s="2"/>
      <c r="P228" s="2"/>
      <c r="Q228" s="2"/>
      <c r="R228" s="2"/>
      <c r="S228" s="2"/>
      <c r="T228" s="2"/>
      <c r="U228" s="264">
        <v>224</v>
      </c>
      <c r="V228" s="16" t="str">
        <f t="shared" si="174"/>
        <v/>
      </c>
      <c r="W228" s="16" t="str">
        <f t="shared" si="175"/>
        <v/>
      </c>
      <c r="X228" s="16" t="str">
        <f t="shared" si="169"/>
        <v/>
      </c>
      <c r="Y228" s="16" t="str">
        <f t="shared" si="170"/>
        <v/>
      </c>
      <c r="Z228" s="16" t="str">
        <f t="shared" si="171"/>
        <v/>
      </c>
      <c r="AA228" s="16" t="str">
        <f t="shared" si="176"/>
        <v/>
      </c>
      <c r="AB228" s="16" t="str">
        <f t="shared" si="177"/>
        <v/>
      </c>
      <c r="AC228" s="29" t="str">
        <f t="shared" si="172"/>
        <v/>
      </c>
      <c r="AD228" s="29" t="str">
        <f t="shared" si="173"/>
        <v/>
      </c>
      <c r="AE228" s="2"/>
      <c r="AF228" s="2"/>
      <c r="AG228" s="2"/>
      <c r="AH228" s="2"/>
      <c r="AI228" s="2"/>
      <c r="AJ228" s="2"/>
      <c r="AK228" s="2"/>
      <c r="AL228" s="2"/>
      <c r="AM228" s="2"/>
      <c r="AN228" s="2"/>
      <c r="AO228" s="2"/>
      <c r="AP228" s="2"/>
      <c r="AQ228" s="2"/>
    </row>
    <row r="229" spans="4:43" x14ac:dyDescent="0.25">
      <c r="D229" s="54"/>
      <c r="E229" s="54"/>
      <c r="F229" s="54"/>
      <c r="G229" s="54"/>
      <c r="H229" s="54"/>
      <c r="I229" s="54"/>
      <c r="J229" s="2"/>
      <c r="K229" s="2"/>
      <c r="L229" s="2"/>
      <c r="M229" s="2"/>
      <c r="N229" s="2"/>
      <c r="O229" s="2"/>
      <c r="P229" s="2"/>
      <c r="Q229" s="2"/>
      <c r="R229" s="2"/>
      <c r="S229" s="2"/>
      <c r="T229" s="2"/>
      <c r="U229" s="264">
        <v>225</v>
      </c>
      <c r="V229" s="16" t="str">
        <f t="shared" si="174"/>
        <v/>
      </c>
      <c r="W229" s="16" t="str">
        <f t="shared" si="175"/>
        <v/>
      </c>
      <c r="X229" s="16" t="str">
        <f t="shared" si="169"/>
        <v/>
      </c>
      <c r="Y229" s="16" t="str">
        <f t="shared" si="170"/>
        <v/>
      </c>
      <c r="Z229" s="16" t="str">
        <f t="shared" si="171"/>
        <v/>
      </c>
      <c r="AA229" s="16" t="str">
        <f t="shared" si="176"/>
        <v/>
      </c>
      <c r="AB229" s="16" t="str">
        <f t="shared" si="177"/>
        <v/>
      </c>
      <c r="AC229" s="29" t="str">
        <f t="shared" si="172"/>
        <v/>
      </c>
      <c r="AD229" s="29" t="str">
        <f t="shared" si="173"/>
        <v/>
      </c>
      <c r="AE229" s="2"/>
      <c r="AF229" s="2"/>
      <c r="AG229" s="2"/>
      <c r="AH229" s="2"/>
      <c r="AI229" s="2"/>
      <c r="AJ229" s="2"/>
      <c r="AK229" s="2"/>
      <c r="AL229" s="2"/>
      <c r="AM229" s="2"/>
      <c r="AN229" s="2"/>
      <c r="AO229" s="2"/>
      <c r="AP229" s="2"/>
      <c r="AQ229" s="2"/>
    </row>
    <row r="230" spans="4:43" x14ac:dyDescent="0.25">
      <c r="D230" s="54"/>
      <c r="E230" s="54"/>
      <c r="F230" s="54"/>
      <c r="G230" s="54"/>
      <c r="H230" s="54"/>
      <c r="I230" s="54"/>
      <c r="J230" s="2"/>
      <c r="K230" s="2"/>
      <c r="L230" s="2"/>
      <c r="M230" s="2"/>
      <c r="N230" s="2"/>
      <c r="O230" s="2"/>
      <c r="P230" s="2"/>
      <c r="Q230" s="2"/>
      <c r="R230" s="2"/>
      <c r="S230" s="2"/>
      <c r="T230" s="2"/>
      <c r="U230" s="264">
        <v>226</v>
      </c>
      <c r="V230" s="16" t="str">
        <f t="shared" si="174"/>
        <v/>
      </c>
      <c r="W230" s="16" t="str">
        <f t="shared" si="175"/>
        <v/>
      </c>
      <c r="X230" s="16" t="str">
        <f t="shared" si="169"/>
        <v/>
      </c>
      <c r="Y230" s="16" t="str">
        <f t="shared" si="170"/>
        <v/>
      </c>
      <c r="Z230" s="16" t="str">
        <f t="shared" si="171"/>
        <v/>
      </c>
      <c r="AA230" s="16" t="str">
        <f t="shared" si="176"/>
        <v/>
      </c>
      <c r="AB230" s="16" t="str">
        <f t="shared" si="177"/>
        <v/>
      </c>
      <c r="AC230" s="29" t="str">
        <f t="shared" si="172"/>
        <v/>
      </c>
      <c r="AD230" s="29" t="str">
        <f t="shared" si="173"/>
        <v/>
      </c>
      <c r="AE230" s="2"/>
      <c r="AF230" s="2"/>
      <c r="AG230" s="2"/>
      <c r="AH230" s="2"/>
      <c r="AI230" s="2"/>
      <c r="AJ230" s="2"/>
      <c r="AK230" s="2"/>
      <c r="AL230" s="2"/>
      <c r="AM230" s="2"/>
      <c r="AN230" s="2"/>
      <c r="AO230" s="2"/>
      <c r="AP230" s="2"/>
      <c r="AQ230" s="2"/>
    </row>
    <row r="231" spans="4:43" x14ac:dyDescent="0.25">
      <c r="D231" s="54"/>
      <c r="E231" s="54"/>
      <c r="F231" s="54"/>
      <c r="G231" s="54"/>
      <c r="H231" s="54"/>
      <c r="I231" s="54"/>
      <c r="J231" s="2"/>
      <c r="K231" s="2"/>
      <c r="L231" s="2"/>
      <c r="M231" s="2"/>
      <c r="N231" s="2"/>
      <c r="O231" s="2"/>
      <c r="P231" s="2"/>
      <c r="Q231" s="2"/>
      <c r="R231" s="2"/>
      <c r="S231" s="2"/>
      <c r="T231" s="2"/>
      <c r="U231" s="264">
        <v>227</v>
      </c>
      <c r="V231" s="16" t="str">
        <f t="shared" si="174"/>
        <v/>
      </c>
      <c r="W231" s="16" t="str">
        <f t="shared" si="175"/>
        <v/>
      </c>
      <c r="X231" s="16" t="str">
        <f t="shared" si="169"/>
        <v/>
      </c>
      <c r="Y231" s="16" t="str">
        <f t="shared" si="170"/>
        <v/>
      </c>
      <c r="Z231" s="16" t="str">
        <f t="shared" si="171"/>
        <v/>
      </c>
      <c r="AA231" s="16" t="str">
        <f t="shared" si="176"/>
        <v/>
      </c>
      <c r="AB231" s="16" t="str">
        <f t="shared" si="177"/>
        <v/>
      </c>
      <c r="AC231" s="29" t="str">
        <f t="shared" si="172"/>
        <v/>
      </c>
      <c r="AD231" s="29" t="str">
        <f t="shared" si="173"/>
        <v/>
      </c>
      <c r="AE231" s="2"/>
      <c r="AF231" s="2"/>
      <c r="AG231" s="2"/>
      <c r="AH231" s="2"/>
      <c r="AI231" s="2"/>
      <c r="AJ231" s="2"/>
      <c r="AK231" s="2"/>
      <c r="AL231" s="2"/>
      <c r="AM231" s="2"/>
      <c r="AN231" s="2"/>
      <c r="AO231" s="2"/>
      <c r="AP231" s="2"/>
      <c r="AQ231" s="2"/>
    </row>
    <row r="232" spans="4:43" x14ac:dyDescent="0.25">
      <c r="D232" s="54"/>
      <c r="E232" s="54"/>
      <c r="F232" s="54"/>
      <c r="G232" s="54"/>
      <c r="H232" s="54"/>
      <c r="I232" s="54"/>
      <c r="J232" s="2"/>
      <c r="K232" s="2"/>
      <c r="L232" s="2"/>
      <c r="M232" s="2"/>
      <c r="N232" s="2"/>
      <c r="O232" s="2"/>
      <c r="P232" s="2"/>
      <c r="Q232" s="2"/>
      <c r="R232" s="2"/>
      <c r="S232" s="2"/>
      <c r="T232" s="2"/>
      <c r="U232" s="264">
        <v>228</v>
      </c>
      <c r="V232" s="16" t="str">
        <f t="shared" si="174"/>
        <v/>
      </c>
      <c r="W232" s="16" t="str">
        <f t="shared" si="175"/>
        <v/>
      </c>
      <c r="X232" s="16" t="str">
        <f t="shared" si="169"/>
        <v/>
      </c>
      <c r="Y232" s="16" t="str">
        <f t="shared" si="170"/>
        <v/>
      </c>
      <c r="Z232" s="16" t="str">
        <f t="shared" si="171"/>
        <v/>
      </c>
      <c r="AA232" s="16" t="str">
        <f t="shared" si="176"/>
        <v/>
      </c>
      <c r="AB232" s="16" t="str">
        <f t="shared" si="177"/>
        <v/>
      </c>
      <c r="AC232" s="29" t="str">
        <f t="shared" si="172"/>
        <v/>
      </c>
      <c r="AD232" s="29" t="str">
        <f t="shared" si="173"/>
        <v/>
      </c>
      <c r="AE232" s="2"/>
      <c r="AF232" s="2"/>
      <c r="AG232" s="2"/>
      <c r="AH232" s="2"/>
      <c r="AI232" s="2"/>
      <c r="AJ232" s="2"/>
      <c r="AK232" s="2"/>
      <c r="AL232" s="2"/>
      <c r="AM232" s="2"/>
      <c r="AN232" s="2"/>
      <c r="AO232" s="2"/>
      <c r="AP232" s="2"/>
      <c r="AQ232" s="2"/>
    </row>
    <row r="233" spans="4:43" x14ac:dyDescent="0.25">
      <c r="D233" s="54"/>
      <c r="E233" s="54"/>
      <c r="F233" s="54"/>
      <c r="G233" s="54"/>
      <c r="H233" s="54"/>
      <c r="I233" s="54"/>
      <c r="J233" s="2"/>
      <c r="K233" s="2"/>
      <c r="L233" s="2"/>
      <c r="M233" s="2"/>
      <c r="N233" s="2"/>
      <c r="O233" s="2"/>
      <c r="P233" s="2"/>
      <c r="Q233" s="2"/>
      <c r="R233" s="2"/>
      <c r="S233" s="2"/>
      <c r="T233" s="2"/>
      <c r="U233" s="264">
        <v>229</v>
      </c>
      <c r="V233" s="16" t="str">
        <f t="shared" si="174"/>
        <v/>
      </c>
      <c r="W233" s="16" t="str">
        <f t="shared" si="175"/>
        <v/>
      </c>
      <c r="X233" s="16" t="str">
        <f t="shared" si="169"/>
        <v/>
      </c>
      <c r="Y233" s="16" t="str">
        <f t="shared" si="170"/>
        <v/>
      </c>
      <c r="Z233" s="16" t="str">
        <f t="shared" si="171"/>
        <v/>
      </c>
      <c r="AA233" s="16" t="str">
        <f t="shared" si="176"/>
        <v/>
      </c>
      <c r="AB233" s="16" t="str">
        <f t="shared" si="177"/>
        <v/>
      </c>
      <c r="AC233" s="29" t="str">
        <f t="shared" si="172"/>
        <v/>
      </c>
      <c r="AD233" s="29" t="str">
        <f t="shared" si="173"/>
        <v/>
      </c>
      <c r="AE233" s="2"/>
      <c r="AF233" s="2"/>
      <c r="AG233" s="2"/>
      <c r="AH233" s="2"/>
      <c r="AI233" s="2"/>
      <c r="AJ233" s="2"/>
      <c r="AK233" s="2"/>
      <c r="AL233" s="2"/>
      <c r="AM233" s="2"/>
      <c r="AN233" s="2"/>
      <c r="AO233" s="2"/>
      <c r="AP233" s="2"/>
      <c r="AQ233" s="2"/>
    </row>
    <row r="234" spans="4:43" x14ac:dyDescent="0.25">
      <c r="D234" s="54"/>
      <c r="E234" s="54"/>
      <c r="F234" s="54"/>
      <c r="G234" s="54"/>
      <c r="H234" s="54"/>
      <c r="I234" s="54"/>
      <c r="J234" s="2"/>
      <c r="K234" s="2"/>
      <c r="L234" s="2"/>
      <c r="M234" s="2"/>
      <c r="N234" s="2"/>
      <c r="O234" s="2"/>
      <c r="P234" s="2"/>
      <c r="Q234" s="2"/>
      <c r="R234" s="2"/>
      <c r="S234" s="2"/>
      <c r="T234" s="2"/>
      <c r="U234" s="264">
        <v>230</v>
      </c>
      <c r="V234" s="16" t="str">
        <f t="shared" si="174"/>
        <v/>
      </c>
      <c r="W234" s="16" t="str">
        <f t="shared" si="175"/>
        <v/>
      </c>
      <c r="X234" s="16" t="str">
        <f t="shared" si="169"/>
        <v/>
      </c>
      <c r="Y234" s="16" t="str">
        <f t="shared" si="170"/>
        <v/>
      </c>
      <c r="Z234" s="16" t="str">
        <f t="shared" si="171"/>
        <v/>
      </c>
      <c r="AA234" s="16" t="str">
        <f t="shared" si="176"/>
        <v/>
      </c>
      <c r="AB234" s="16" t="str">
        <f t="shared" si="177"/>
        <v/>
      </c>
      <c r="AC234" s="29" t="str">
        <f t="shared" si="172"/>
        <v/>
      </c>
      <c r="AD234" s="29" t="str">
        <f t="shared" si="173"/>
        <v/>
      </c>
      <c r="AE234" s="2"/>
      <c r="AF234" s="2"/>
      <c r="AG234" s="2"/>
      <c r="AH234" s="2"/>
      <c r="AI234" s="2"/>
      <c r="AJ234" s="2"/>
      <c r="AK234" s="2"/>
      <c r="AL234" s="2"/>
      <c r="AM234" s="2"/>
      <c r="AN234" s="2"/>
      <c r="AO234" s="2"/>
      <c r="AP234" s="2"/>
      <c r="AQ234" s="2"/>
    </row>
    <row r="235" spans="4:43" x14ac:dyDescent="0.25">
      <c r="D235" s="54"/>
      <c r="E235" s="54"/>
      <c r="F235" s="54"/>
      <c r="G235" s="54"/>
      <c r="H235" s="54"/>
      <c r="I235" s="54"/>
      <c r="J235" s="2"/>
      <c r="K235" s="2"/>
      <c r="L235" s="2"/>
      <c r="M235" s="2"/>
      <c r="N235" s="2"/>
      <c r="O235" s="2"/>
      <c r="P235" s="2"/>
      <c r="Q235" s="2"/>
      <c r="R235" s="2"/>
      <c r="S235" s="2"/>
      <c r="T235" s="2"/>
      <c r="U235" s="264">
        <v>231</v>
      </c>
      <c r="V235" s="16" t="str">
        <f t="shared" si="174"/>
        <v/>
      </c>
      <c r="W235" s="16" t="str">
        <f t="shared" si="175"/>
        <v/>
      </c>
      <c r="X235" s="16" t="str">
        <f t="shared" si="169"/>
        <v/>
      </c>
      <c r="Y235" s="16" t="str">
        <f t="shared" si="170"/>
        <v/>
      </c>
      <c r="Z235" s="16" t="str">
        <f t="shared" si="171"/>
        <v/>
      </c>
      <c r="AA235" s="16" t="str">
        <f t="shared" si="176"/>
        <v/>
      </c>
      <c r="AB235" s="16" t="str">
        <f t="shared" si="177"/>
        <v/>
      </c>
      <c r="AC235" s="29" t="str">
        <f t="shared" si="172"/>
        <v/>
      </c>
      <c r="AD235" s="29" t="str">
        <f t="shared" si="173"/>
        <v/>
      </c>
      <c r="AE235" s="2"/>
      <c r="AF235" s="2"/>
      <c r="AG235" s="2"/>
      <c r="AH235" s="2"/>
      <c r="AI235" s="2"/>
      <c r="AJ235" s="2"/>
      <c r="AK235" s="2"/>
      <c r="AL235" s="2"/>
      <c r="AM235" s="2"/>
      <c r="AN235" s="2"/>
      <c r="AO235" s="2"/>
      <c r="AP235" s="2"/>
      <c r="AQ235" s="2"/>
    </row>
    <row r="236" spans="4:43" x14ac:dyDescent="0.25">
      <c r="D236" s="54"/>
      <c r="E236" s="54"/>
      <c r="F236" s="54"/>
      <c r="G236" s="54"/>
      <c r="H236" s="54"/>
      <c r="I236" s="54"/>
      <c r="J236" s="2"/>
      <c r="K236" s="2"/>
      <c r="L236" s="2"/>
      <c r="M236" s="2"/>
      <c r="N236" s="2"/>
      <c r="O236" s="2"/>
      <c r="P236" s="2"/>
      <c r="Q236" s="2"/>
      <c r="R236" s="2"/>
      <c r="S236" s="2"/>
      <c r="T236" s="2"/>
      <c r="U236" s="264">
        <v>232</v>
      </c>
      <c r="V236" s="16" t="str">
        <f t="shared" si="174"/>
        <v/>
      </c>
      <c r="W236" s="16" t="str">
        <f t="shared" si="175"/>
        <v/>
      </c>
      <c r="X236" s="16" t="str">
        <f t="shared" si="169"/>
        <v/>
      </c>
      <c r="Y236" s="16" t="str">
        <f t="shared" si="170"/>
        <v/>
      </c>
      <c r="Z236" s="16" t="str">
        <f t="shared" si="171"/>
        <v/>
      </c>
      <c r="AA236" s="16" t="str">
        <f t="shared" si="176"/>
        <v/>
      </c>
      <c r="AB236" s="16" t="str">
        <f t="shared" si="177"/>
        <v/>
      </c>
      <c r="AC236" s="29" t="str">
        <f t="shared" si="172"/>
        <v/>
      </c>
      <c r="AD236" s="29" t="str">
        <f t="shared" si="173"/>
        <v/>
      </c>
      <c r="AE236" s="2"/>
      <c r="AF236" s="2"/>
      <c r="AG236" s="2"/>
      <c r="AH236" s="2"/>
      <c r="AI236" s="2"/>
      <c r="AJ236" s="2"/>
      <c r="AK236" s="2"/>
      <c r="AL236" s="2"/>
      <c r="AM236" s="2"/>
      <c r="AN236" s="2"/>
      <c r="AO236" s="2"/>
      <c r="AP236" s="2"/>
      <c r="AQ236" s="2"/>
    </row>
    <row r="237" spans="4:43" x14ac:dyDescent="0.25">
      <c r="D237" s="54"/>
      <c r="E237" s="54"/>
      <c r="F237" s="54"/>
      <c r="G237" s="54"/>
      <c r="H237" s="54"/>
      <c r="I237" s="54"/>
      <c r="J237" s="2"/>
      <c r="K237" s="2"/>
      <c r="L237" s="2"/>
      <c r="M237" s="2"/>
      <c r="N237" s="2"/>
      <c r="O237" s="2"/>
      <c r="P237" s="2"/>
      <c r="Q237" s="2"/>
      <c r="R237" s="2"/>
      <c r="S237" s="2"/>
      <c r="T237" s="2"/>
      <c r="U237" s="264">
        <v>233</v>
      </c>
      <c r="V237" s="16" t="str">
        <f t="shared" ref="V237:V254" si="178">IF($C$9&gt;=$U237,$O45+0.000001-$V$310,"")</f>
        <v/>
      </c>
      <c r="W237" s="16" t="str">
        <f t="shared" ref="W237:W254" si="179">IF($C$9&gt;=$U237,$N45+0.000001-$V$309,"")</f>
        <v/>
      </c>
      <c r="X237" s="16" t="str">
        <f t="shared" si="169"/>
        <v/>
      </c>
      <c r="Y237" s="16" t="str">
        <f t="shared" si="170"/>
        <v/>
      </c>
      <c r="Z237" s="16" t="str">
        <f t="shared" si="171"/>
        <v/>
      </c>
      <c r="AA237" s="16" t="str">
        <f t="shared" ref="AA237:AA254" si="180">IF($C$9&gt;=$U237,$N45-$V$309,"")</f>
        <v/>
      </c>
      <c r="AB237" s="16" t="str">
        <f t="shared" ref="AB237:AB254" si="181">IF($C$9&gt;=$U237,$O45-$V$310,"")</f>
        <v/>
      </c>
      <c r="AC237" s="29" t="str">
        <f t="shared" si="172"/>
        <v/>
      </c>
      <c r="AD237" s="29" t="str">
        <f t="shared" si="173"/>
        <v/>
      </c>
      <c r="AE237" s="2"/>
      <c r="AF237" s="2"/>
      <c r="AG237" s="2"/>
      <c r="AH237" s="2"/>
      <c r="AI237" s="2"/>
      <c r="AJ237" s="2"/>
      <c r="AK237" s="2"/>
      <c r="AL237" s="2"/>
      <c r="AM237" s="2"/>
      <c r="AN237" s="2"/>
      <c r="AO237" s="2"/>
      <c r="AP237" s="2"/>
      <c r="AQ237" s="2"/>
    </row>
    <row r="238" spans="4:43" x14ac:dyDescent="0.25">
      <c r="D238" s="54"/>
      <c r="E238" s="54"/>
      <c r="F238" s="54"/>
      <c r="G238" s="54"/>
      <c r="H238" s="54"/>
      <c r="I238" s="54"/>
      <c r="J238" s="2"/>
      <c r="K238" s="2"/>
      <c r="L238" s="2"/>
      <c r="M238" s="2"/>
      <c r="N238" s="2"/>
      <c r="O238" s="2"/>
      <c r="P238" s="2"/>
      <c r="Q238" s="2"/>
      <c r="R238" s="2"/>
      <c r="S238" s="2"/>
      <c r="T238" s="2"/>
      <c r="U238" s="264">
        <v>234</v>
      </c>
      <c r="V238" s="16" t="str">
        <f t="shared" si="178"/>
        <v/>
      </c>
      <c r="W238" s="16" t="str">
        <f t="shared" si="179"/>
        <v/>
      </c>
      <c r="X238" s="16" t="str">
        <f t="shared" si="169"/>
        <v/>
      </c>
      <c r="Y238" s="16" t="str">
        <f t="shared" si="170"/>
        <v/>
      </c>
      <c r="Z238" s="16" t="str">
        <f t="shared" si="171"/>
        <v/>
      </c>
      <c r="AA238" s="16" t="str">
        <f t="shared" si="180"/>
        <v/>
      </c>
      <c r="AB238" s="16" t="str">
        <f t="shared" si="181"/>
        <v/>
      </c>
      <c r="AC238" s="29" t="str">
        <f t="shared" si="172"/>
        <v/>
      </c>
      <c r="AD238" s="29" t="str">
        <f t="shared" si="173"/>
        <v/>
      </c>
      <c r="AE238" s="2"/>
      <c r="AF238" s="2"/>
      <c r="AG238" s="2"/>
      <c r="AH238" s="2"/>
      <c r="AI238" s="2"/>
      <c r="AJ238" s="2"/>
      <c r="AK238" s="2"/>
      <c r="AL238" s="2"/>
      <c r="AM238" s="2"/>
      <c r="AN238" s="2"/>
      <c r="AO238" s="2"/>
      <c r="AP238" s="2"/>
      <c r="AQ238" s="2"/>
    </row>
    <row r="239" spans="4:43" x14ac:dyDescent="0.25">
      <c r="D239" s="54"/>
      <c r="E239" s="54"/>
      <c r="F239" s="54"/>
      <c r="G239" s="54"/>
      <c r="H239" s="54"/>
      <c r="I239" s="54"/>
      <c r="J239" s="2"/>
      <c r="K239" s="2"/>
      <c r="L239" s="2"/>
      <c r="M239" s="2"/>
      <c r="N239" s="2"/>
      <c r="O239" s="2"/>
      <c r="P239" s="2"/>
      <c r="Q239" s="2"/>
      <c r="R239" s="2"/>
      <c r="S239" s="2"/>
      <c r="T239" s="2"/>
      <c r="U239" s="264">
        <v>235</v>
      </c>
      <c r="V239" s="16" t="str">
        <f t="shared" si="178"/>
        <v/>
      </c>
      <c r="W239" s="16" t="str">
        <f t="shared" si="179"/>
        <v/>
      </c>
      <c r="X239" s="16" t="str">
        <f t="shared" si="169"/>
        <v/>
      </c>
      <c r="Y239" s="16" t="str">
        <f t="shared" si="170"/>
        <v/>
      </c>
      <c r="Z239" s="16" t="str">
        <f t="shared" si="171"/>
        <v/>
      </c>
      <c r="AA239" s="16" t="str">
        <f t="shared" si="180"/>
        <v/>
      </c>
      <c r="AB239" s="16" t="str">
        <f t="shared" si="181"/>
        <v/>
      </c>
      <c r="AC239" s="29" t="str">
        <f t="shared" si="172"/>
        <v/>
      </c>
      <c r="AD239" s="29" t="str">
        <f t="shared" si="173"/>
        <v/>
      </c>
      <c r="AE239" s="2"/>
      <c r="AF239" s="2"/>
      <c r="AG239" s="2"/>
      <c r="AH239" s="2"/>
      <c r="AI239" s="2"/>
      <c r="AJ239" s="2"/>
      <c r="AK239" s="2"/>
      <c r="AL239" s="2"/>
      <c r="AM239" s="2"/>
      <c r="AN239" s="2"/>
      <c r="AO239" s="2"/>
      <c r="AP239" s="2"/>
      <c r="AQ239" s="2"/>
    </row>
    <row r="240" spans="4:43" x14ac:dyDescent="0.25">
      <c r="D240" s="54"/>
      <c r="E240" s="54"/>
      <c r="F240" s="54"/>
      <c r="G240" s="54"/>
      <c r="H240" s="54"/>
      <c r="I240" s="54"/>
      <c r="J240" s="2"/>
      <c r="K240" s="2"/>
      <c r="L240" s="2"/>
      <c r="M240" s="2"/>
      <c r="N240" s="2"/>
      <c r="O240" s="2"/>
      <c r="P240" s="2"/>
      <c r="Q240" s="2"/>
      <c r="R240" s="2"/>
      <c r="S240" s="2"/>
      <c r="T240" s="2"/>
      <c r="U240" s="264">
        <v>236</v>
      </c>
      <c r="V240" s="16" t="str">
        <f t="shared" si="178"/>
        <v/>
      </c>
      <c r="W240" s="16" t="str">
        <f t="shared" si="179"/>
        <v/>
      </c>
      <c r="X240" s="16" t="str">
        <f t="shared" si="169"/>
        <v/>
      </c>
      <c r="Y240" s="16" t="str">
        <f t="shared" si="170"/>
        <v/>
      </c>
      <c r="Z240" s="16" t="str">
        <f t="shared" si="171"/>
        <v/>
      </c>
      <c r="AA240" s="16" t="str">
        <f t="shared" si="180"/>
        <v/>
      </c>
      <c r="AB240" s="16" t="str">
        <f t="shared" si="181"/>
        <v/>
      </c>
      <c r="AC240" s="29" t="str">
        <f t="shared" si="172"/>
        <v/>
      </c>
      <c r="AD240" s="29" t="str">
        <f t="shared" si="173"/>
        <v/>
      </c>
      <c r="AE240" s="2"/>
      <c r="AF240" s="2"/>
      <c r="AG240" s="2"/>
      <c r="AH240" s="2"/>
      <c r="AI240" s="2"/>
      <c r="AJ240" s="2"/>
      <c r="AK240" s="2"/>
      <c r="AL240" s="2"/>
      <c r="AM240" s="2"/>
      <c r="AN240" s="2"/>
      <c r="AO240" s="2"/>
      <c r="AP240" s="2"/>
      <c r="AQ240" s="2"/>
    </row>
    <row r="241" spans="4:43" x14ac:dyDescent="0.25">
      <c r="D241" s="54"/>
      <c r="E241" s="54"/>
      <c r="F241" s="54"/>
      <c r="G241" s="54"/>
      <c r="H241" s="54"/>
      <c r="I241" s="54"/>
      <c r="J241" s="2"/>
      <c r="K241" s="2"/>
      <c r="L241" s="2"/>
      <c r="M241" s="2"/>
      <c r="N241" s="2"/>
      <c r="O241" s="2"/>
      <c r="P241" s="2"/>
      <c r="Q241" s="2"/>
      <c r="R241" s="2"/>
      <c r="S241" s="2"/>
      <c r="T241" s="2"/>
      <c r="U241" s="264">
        <v>237</v>
      </c>
      <c r="V241" s="16" t="str">
        <f t="shared" si="178"/>
        <v/>
      </c>
      <c r="W241" s="16" t="str">
        <f t="shared" si="179"/>
        <v/>
      </c>
      <c r="X241" s="16" t="str">
        <f t="shared" si="169"/>
        <v/>
      </c>
      <c r="Y241" s="16" t="str">
        <f t="shared" si="170"/>
        <v/>
      </c>
      <c r="Z241" s="16" t="str">
        <f t="shared" si="171"/>
        <v/>
      </c>
      <c r="AA241" s="16" t="str">
        <f t="shared" si="180"/>
        <v/>
      </c>
      <c r="AB241" s="16" t="str">
        <f t="shared" si="181"/>
        <v/>
      </c>
      <c r="AC241" s="29" t="str">
        <f t="shared" si="172"/>
        <v/>
      </c>
      <c r="AD241" s="29" t="str">
        <f t="shared" si="173"/>
        <v/>
      </c>
      <c r="AE241" s="2"/>
      <c r="AF241" s="2"/>
      <c r="AG241" s="2"/>
      <c r="AH241" s="2"/>
      <c r="AI241" s="2"/>
      <c r="AJ241" s="2"/>
      <c r="AK241" s="2"/>
      <c r="AL241" s="2"/>
      <c r="AM241" s="2"/>
      <c r="AN241" s="2"/>
      <c r="AO241" s="2"/>
      <c r="AP241" s="2"/>
      <c r="AQ241" s="2"/>
    </row>
    <row r="242" spans="4:43" x14ac:dyDescent="0.25">
      <c r="D242" s="54"/>
      <c r="E242" s="54"/>
      <c r="F242" s="54"/>
      <c r="G242" s="54"/>
      <c r="H242" s="54"/>
      <c r="I242" s="54"/>
      <c r="J242" s="2"/>
      <c r="K242" s="2"/>
      <c r="L242" s="2"/>
      <c r="M242" s="2"/>
      <c r="N242" s="2"/>
      <c r="O242" s="2"/>
      <c r="P242" s="2"/>
      <c r="Q242" s="2"/>
      <c r="R242" s="2"/>
      <c r="S242" s="2"/>
      <c r="T242" s="2"/>
      <c r="U242" s="264">
        <v>238</v>
      </c>
      <c r="V242" s="16" t="str">
        <f t="shared" si="178"/>
        <v/>
      </c>
      <c r="W242" s="16" t="str">
        <f t="shared" si="179"/>
        <v/>
      </c>
      <c r="X242" s="16" t="str">
        <f t="shared" si="169"/>
        <v/>
      </c>
      <c r="Y242" s="16" t="str">
        <f t="shared" si="170"/>
        <v/>
      </c>
      <c r="Z242" s="16" t="str">
        <f t="shared" si="171"/>
        <v/>
      </c>
      <c r="AA242" s="16" t="str">
        <f t="shared" si="180"/>
        <v/>
      </c>
      <c r="AB242" s="16" t="str">
        <f t="shared" si="181"/>
        <v/>
      </c>
      <c r="AC242" s="29" t="str">
        <f t="shared" si="172"/>
        <v/>
      </c>
      <c r="AD242" s="29" t="str">
        <f t="shared" si="173"/>
        <v/>
      </c>
      <c r="AE242" s="2"/>
      <c r="AF242" s="2"/>
      <c r="AG242" s="2"/>
      <c r="AH242" s="2"/>
      <c r="AI242" s="2"/>
      <c r="AJ242" s="2"/>
      <c r="AK242" s="2"/>
      <c r="AL242" s="2"/>
      <c r="AM242" s="2"/>
      <c r="AN242" s="2"/>
      <c r="AO242" s="2"/>
      <c r="AP242" s="2"/>
      <c r="AQ242" s="2"/>
    </row>
    <row r="243" spans="4:43" x14ac:dyDescent="0.25">
      <c r="D243" s="54"/>
      <c r="E243" s="54"/>
      <c r="F243" s="54"/>
      <c r="G243" s="54"/>
      <c r="H243" s="54"/>
      <c r="I243" s="54"/>
      <c r="J243" s="2"/>
      <c r="K243" s="2"/>
      <c r="L243" s="2"/>
      <c r="M243" s="2"/>
      <c r="N243" s="2"/>
      <c r="O243" s="2"/>
      <c r="P243" s="2"/>
      <c r="Q243" s="2"/>
      <c r="R243" s="2"/>
      <c r="S243" s="2"/>
      <c r="T243" s="2"/>
      <c r="U243" s="264">
        <v>239</v>
      </c>
      <c r="V243" s="16" t="str">
        <f t="shared" si="178"/>
        <v/>
      </c>
      <c r="W243" s="16" t="str">
        <f t="shared" si="179"/>
        <v/>
      </c>
      <c r="X243" s="16" t="str">
        <f t="shared" si="169"/>
        <v/>
      </c>
      <c r="Y243" s="16" t="str">
        <f t="shared" si="170"/>
        <v/>
      </c>
      <c r="Z243" s="16" t="str">
        <f t="shared" si="171"/>
        <v/>
      </c>
      <c r="AA243" s="16" t="str">
        <f t="shared" si="180"/>
        <v/>
      </c>
      <c r="AB243" s="16" t="str">
        <f t="shared" si="181"/>
        <v/>
      </c>
      <c r="AC243" s="29" t="str">
        <f t="shared" si="172"/>
        <v/>
      </c>
      <c r="AD243" s="29" t="str">
        <f t="shared" si="173"/>
        <v/>
      </c>
      <c r="AE243" s="2"/>
      <c r="AF243" s="2"/>
      <c r="AG243" s="2"/>
      <c r="AH243" s="2"/>
      <c r="AI243" s="2"/>
      <c r="AJ243" s="2"/>
      <c r="AK243" s="2"/>
      <c r="AL243" s="2"/>
      <c r="AM243" s="2"/>
      <c r="AN243" s="2"/>
      <c r="AO243" s="2"/>
      <c r="AP243" s="2"/>
      <c r="AQ243" s="2"/>
    </row>
    <row r="244" spans="4:43" x14ac:dyDescent="0.25">
      <c r="D244" s="54"/>
      <c r="E244" s="54"/>
      <c r="F244" s="54"/>
      <c r="G244" s="54"/>
      <c r="H244" s="54"/>
      <c r="I244" s="54"/>
      <c r="J244" s="2"/>
      <c r="K244" s="2"/>
      <c r="L244" s="2"/>
      <c r="M244" s="2"/>
      <c r="N244" s="2"/>
      <c r="O244" s="2"/>
      <c r="P244" s="2"/>
      <c r="Q244" s="2"/>
      <c r="R244" s="2"/>
      <c r="S244" s="2"/>
      <c r="T244" s="2"/>
      <c r="U244" s="264">
        <v>240</v>
      </c>
      <c r="V244" s="16" t="str">
        <f t="shared" si="178"/>
        <v/>
      </c>
      <c r="W244" s="16" t="str">
        <f t="shared" si="179"/>
        <v/>
      </c>
      <c r="X244" s="16" t="str">
        <f t="shared" si="169"/>
        <v/>
      </c>
      <c r="Y244" s="16" t="str">
        <f t="shared" si="170"/>
        <v/>
      </c>
      <c r="Z244" s="16" t="str">
        <f t="shared" si="171"/>
        <v/>
      </c>
      <c r="AA244" s="16" t="str">
        <f t="shared" si="180"/>
        <v/>
      </c>
      <c r="AB244" s="16" t="str">
        <f t="shared" si="181"/>
        <v/>
      </c>
      <c r="AC244" s="29" t="str">
        <f t="shared" si="172"/>
        <v/>
      </c>
      <c r="AD244" s="29" t="str">
        <f t="shared" si="173"/>
        <v/>
      </c>
      <c r="AE244" s="2"/>
      <c r="AF244" s="2"/>
      <c r="AG244" s="2"/>
      <c r="AH244" s="2"/>
      <c r="AI244" s="2"/>
      <c r="AJ244" s="2"/>
      <c r="AK244" s="2"/>
      <c r="AL244" s="2"/>
      <c r="AM244" s="2"/>
      <c r="AN244" s="2"/>
      <c r="AO244" s="2"/>
      <c r="AP244" s="2"/>
      <c r="AQ244" s="2"/>
    </row>
    <row r="245" spans="4:43" x14ac:dyDescent="0.25">
      <c r="D245" s="54"/>
      <c r="E245" s="54"/>
      <c r="F245" s="54"/>
      <c r="G245" s="54"/>
      <c r="H245" s="54"/>
      <c r="I245" s="54"/>
      <c r="J245" s="2"/>
      <c r="K245" s="2"/>
      <c r="L245" s="2"/>
      <c r="M245" s="2"/>
      <c r="N245" s="2"/>
      <c r="O245" s="2"/>
      <c r="P245" s="2"/>
      <c r="Q245" s="2"/>
      <c r="R245" s="2"/>
      <c r="S245" s="2"/>
      <c r="T245" s="2"/>
      <c r="U245" s="264">
        <v>241</v>
      </c>
      <c r="V245" s="16" t="str">
        <f t="shared" si="178"/>
        <v/>
      </c>
      <c r="W245" s="16" t="str">
        <f t="shared" si="179"/>
        <v/>
      </c>
      <c r="X245" s="16" t="str">
        <f t="shared" si="169"/>
        <v/>
      </c>
      <c r="Y245" s="16" t="str">
        <f t="shared" si="170"/>
        <v/>
      </c>
      <c r="Z245" s="16" t="str">
        <f t="shared" si="171"/>
        <v/>
      </c>
      <c r="AA245" s="16" t="str">
        <f t="shared" si="180"/>
        <v/>
      </c>
      <c r="AB245" s="16" t="str">
        <f t="shared" si="181"/>
        <v/>
      </c>
      <c r="AC245" s="29" t="str">
        <f t="shared" si="172"/>
        <v/>
      </c>
      <c r="AD245" s="29" t="str">
        <f t="shared" si="173"/>
        <v/>
      </c>
      <c r="AE245" s="2"/>
      <c r="AF245" s="2"/>
      <c r="AG245" s="2"/>
      <c r="AH245" s="2"/>
      <c r="AI245" s="2"/>
      <c r="AJ245" s="2"/>
      <c r="AK245" s="2"/>
      <c r="AL245" s="2"/>
      <c r="AM245" s="2"/>
      <c r="AN245" s="2"/>
      <c r="AO245" s="2"/>
      <c r="AP245" s="2"/>
      <c r="AQ245" s="2"/>
    </row>
    <row r="246" spans="4:43" x14ac:dyDescent="0.25">
      <c r="D246" s="54"/>
      <c r="E246" s="54"/>
      <c r="F246" s="54"/>
      <c r="G246" s="54"/>
      <c r="H246" s="54"/>
      <c r="I246" s="54"/>
      <c r="J246" s="2"/>
      <c r="K246" s="2"/>
      <c r="L246" s="2"/>
      <c r="M246" s="2"/>
      <c r="N246" s="2"/>
      <c r="O246" s="2"/>
      <c r="P246" s="2"/>
      <c r="Q246" s="2"/>
      <c r="R246" s="2"/>
      <c r="S246" s="2"/>
      <c r="T246" s="2"/>
      <c r="U246" s="264">
        <v>242</v>
      </c>
      <c r="V246" s="16" t="str">
        <f t="shared" si="178"/>
        <v/>
      </c>
      <c r="W246" s="16" t="str">
        <f t="shared" si="179"/>
        <v/>
      </c>
      <c r="X246" s="16" t="str">
        <f t="shared" si="169"/>
        <v/>
      </c>
      <c r="Y246" s="16" t="str">
        <f t="shared" si="170"/>
        <v/>
      </c>
      <c r="Z246" s="16" t="str">
        <f t="shared" si="171"/>
        <v/>
      </c>
      <c r="AA246" s="16" t="str">
        <f t="shared" si="180"/>
        <v/>
      </c>
      <c r="AB246" s="16" t="str">
        <f t="shared" si="181"/>
        <v/>
      </c>
      <c r="AC246" s="29" t="str">
        <f t="shared" si="172"/>
        <v/>
      </c>
      <c r="AD246" s="29" t="str">
        <f t="shared" si="173"/>
        <v/>
      </c>
      <c r="AE246" s="2"/>
      <c r="AF246" s="2"/>
      <c r="AG246" s="2"/>
      <c r="AH246" s="2"/>
      <c r="AI246" s="2"/>
      <c r="AJ246" s="2"/>
      <c r="AK246" s="2"/>
      <c r="AL246" s="2"/>
      <c r="AM246" s="2"/>
      <c r="AN246" s="2"/>
      <c r="AO246" s="2"/>
      <c r="AP246" s="2"/>
      <c r="AQ246" s="2"/>
    </row>
    <row r="247" spans="4:43" x14ac:dyDescent="0.25">
      <c r="D247" s="54"/>
      <c r="E247" s="54"/>
      <c r="F247" s="54"/>
      <c r="G247" s="54"/>
      <c r="H247" s="54"/>
      <c r="I247" s="54"/>
      <c r="J247" s="2"/>
      <c r="K247" s="2"/>
      <c r="L247" s="2"/>
      <c r="M247" s="2"/>
      <c r="N247" s="2"/>
      <c r="O247" s="2"/>
      <c r="P247" s="2"/>
      <c r="Q247" s="2"/>
      <c r="R247" s="2"/>
      <c r="S247" s="2"/>
      <c r="T247" s="2"/>
      <c r="U247" s="264">
        <v>243</v>
      </c>
      <c r="V247" s="16" t="str">
        <f t="shared" si="178"/>
        <v/>
      </c>
      <c r="W247" s="16" t="str">
        <f t="shared" si="179"/>
        <v/>
      </c>
      <c r="X247" s="16" t="str">
        <f t="shared" si="169"/>
        <v/>
      </c>
      <c r="Y247" s="16" t="str">
        <f t="shared" si="170"/>
        <v/>
      </c>
      <c r="Z247" s="16" t="str">
        <f t="shared" si="171"/>
        <v/>
      </c>
      <c r="AA247" s="16" t="str">
        <f t="shared" si="180"/>
        <v/>
      </c>
      <c r="AB247" s="16" t="str">
        <f t="shared" si="181"/>
        <v/>
      </c>
      <c r="AC247" s="29" t="str">
        <f t="shared" si="172"/>
        <v/>
      </c>
      <c r="AD247" s="29" t="str">
        <f t="shared" si="173"/>
        <v/>
      </c>
      <c r="AE247" s="2"/>
      <c r="AF247" s="2"/>
      <c r="AG247" s="2"/>
      <c r="AH247" s="2"/>
      <c r="AI247" s="2"/>
      <c r="AJ247" s="2"/>
      <c r="AK247" s="2"/>
      <c r="AL247" s="2"/>
      <c r="AM247" s="2"/>
      <c r="AN247" s="2"/>
      <c r="AO247" s="2"/>
      <c r="AP247" s="2"/>
      <c r="AQ247" s="2"/>
    </row>
    <row r="248" spans="4:43" x14ac:dyDescent="0.25">
      <c r="D248" s="54"/>
      <c r="E248" s="54"/>
      <c r="F248" s="54"/>
      <c r="G248" s="54"/>
      <c r="H248" s="54"/>
      <c r="I248" s="54"/>
      <c r="J248" s="2"/>
      <c r="K248" s="2"/>
      <c r="L248" s="2"/>
      <c r="M248" s="2"/>
      <c r="N248" s="2"/>
      <c r="O248" s="2"/>
      <c r="P248" s="2"/>
      <c r="Q248" s="2"/>
      <c r="R248" s="2"/>
      <c r="S248" s="2"/>
      <c r="T248" s="2"/>
      <c r="U248" s="264">
        <v>244</v>
      </c>
      <c r="V248" s="16" t="str">
        <f t="shared" si="178"/>
        <v/>
      </c>
      <c r="W248" s="16" t="str">
        <f t="shared" si="179"/>
        <v/>
      </c>
      <c r="X248" s="16" t="str">
        <f t="shared" si="169"/>
        <v/>
      </c>
      <c r="Y248" s="16" t="str">
        <f t="shared" si="170"/>
        <v/>
      </c>
      <c r="Z248" s="16" t="str">
        <f t="shared" si="171"/>
        <v/>
      </c>
      <c r="AA248" s="16" t="str">
        <f t="shared" si="180"/>
        <v/>
      </c>
      <c r="AB248" s="16" t="str">
        <f t="shared" si="181"/>
        <v/>
      </c>
      <c r="AC248" s="29" t="str">
        <f t="shared" si="172"/>
        <v/>
      </c>
      <c r="AD248" s="29" t="str">
        <f t="shared" si="173"/>
        <v/>
      </c>
      <c r="AE248" s="2"/>
      <c r="AF248" s="2"/>
      <c r="AG248" s="2"/>
      <c r="AH248" s="2"/>
      <c r="AI248" s="2"/>
      <c r="AJ248" s="2"/>
      <c r="AK248" s="2"/>
      <c r="AL248" s="2"/>
      <c r="AM248" s="2"/>
      <c r="AN248" s="2"/>
      <c r="AO248" s="2"/>
      <c r="AP248" s="2"/>
      <c r="AQ248" s="2"/>
    </row>
    <row r="249" spans="4:43" x14ac:dyDescent="0.25">
      <c r="D249" s="54"/>
      <c r="E249" s="54"/>
      <c r="F249" s="54"/>
      <c r="G249" s="54"/>
      <c r="H249" s="54"/>
      <c r="I249" s="54"/>
      <c r="J249" s="2"/>
      <c r="K249" s="2"/>
      <c r="L249" s="2"/>
      <c r="M249" s="2"/>
      <c r="N249" s="2"/>
      <c r="O249" s="2"/>
      <c r="P249" s="2"/>
      <c r="Q249" s="2"/>
      <c r="R249" s="2"/>
      <c r="S249" s="2"/>
      <c r="T249" s="2"/>
      <c r="U249" s="264">
        <v>245</v>
      </c>
      <c r="V249" s="16" t="str">
        <f t="shared" si="178"/>
        <v/>
      </c>
      <c r="W249" s="16" t="str">
        <f t="shared" si="179"/>
        <v/>
      </c>
      <c r="X249" s="16" t="str">
        <f t="shared" si="169"/>
        <v/>
      </c>
      <c r="Y249" s="16" t="str">
        <f t="shared" si="170"/>
        <v/>
      </c>
      <c r="Z249" s="16" t="str">
        <f t="shared" si="171"/>
        <v/>
      </c>
      <c r="AA249" s="16" t="str">
        <f t="shared" si="180"/>
        <v/>
      </c>
      <c r="AB249" s="16" t="str">
        <f t="shared" si="181"/>
        <v/>
      </c>
      <c r="AC249" s="29" t="str">
        <f t="shared" si="172"/>
        <v/>
      </c>
      <c r="AD249" s="29" t="str">
        <f t="shared" si="173"/>
        <v/>
      </c>
      <c r="AE249" s="2"/>
      <c r="AF249" s="2"/>
      <c r="AG249" s="2"/>
      <c r="AH249" s="2"/>
      <c r="AI249" s="2"/>
      <c r="AJ249" s="2"/>
      <c r="AK249" s="2"/>
      <c r="AL249" s="2"/>
      <c r="AM249" s="2"/>
      <c r="AN249" s="2"/>
      <c r="AO249" s="2"/>
      <c r="AP249" s="2"/>
      <c r="AQ249" s="2"/>
    </row>
    <row r="250" spans="4:43" x14ac:dyDescent="0.25">
      <c r="D250" s="54"/>
      <c r="E250" s="54"/>
      <c r="F250" s="54"/>
      <c r="G250" s="54"/>
      <c r="H250" s="54"/>
      <c r="I250" s="54"/>
      <c r="J250" s="2"/>
      <c r="K250" s="2"/>
      <c r="L250" s="2"/>
      <c r="M250" s="2"/>
      <c r="N250" s="2"/>
      <c r="O250" s="2"/>
      <c r="P250" s="2"/>
      <c r="Q250" s="2"/>
      <c r="R250" s="2"/>
      <c r="S250" s="2"/>
      <c r="T250" s="2"/>
      <c r="U250" s="264">
        <v>246</v>
      </c>
      <c r="V250" s="16" t="str">
        <f t="shared" si="178"/>
        <v/>
      </c>
      <c r="W250" s="16" t="str">
        <f t="shared" si="179"/>
        <v/>
      </c>
      <c r="X250" s="16" t="str">
        <f t="shared" si="169"/>
        <v/>
      </c>
      <c r="Y250" s="16" t="str">
        <f t="shared" si="170"/>
        <v/>
      </c>
      <c r="Z250" s="16" t="str">
        <f t="shared" si="171"/>
        <v/>
      </c>
      <c r="AA250" s="16" t="str">
        <f t="shared" si="180"/>
        <v/>
      </c>
      <c r="AB250" s="16" t="str">
        <f t="shared" si="181"/>
        <v/>
      </c>
      <c r="AC250" s="29" t="str">
        <f t="shared" si="172"/>
        <v/>
      </c>
      <c r="AD250" s="29" t="str">
        <f t="shared" si="173"/>
        <v/>
      </c>
      <c r="AE250" s="2"/>
      <c r="AF250" s="2"/>
      <c r="AG250" s="2"/>
      <c r="AH250" s="2"/>
      <c r="AI250" s="2"/>
      <c r="AJ250" s="2"/>
      <c r="AK250" s="2"/>
      <c r="AL250" s="2"/>
      <c r="AM250" s="2"/>
      <c r="AN250" s="2"/>
      <c r="AO250" s="2"/>
      <c r="AP250" s="2"/>
      <c r="AQ250" s="2"/>
    </row>
    <row r="251" spans="4:43" x14ac:dyDescent="0.25">
      <c r="D251" s="54"/>
      <c r="E251" s="54"/>
      <c r="F251" s="54"/>
      <c r="G251" s="54"/>
      <c r="H251" s="54"/>
      <c r="I251" s="54"/>
      <c r="J251" s="2"/>
      <c r="K251" s="2"/>
      <c r="L251" s="2"/>
      <c r="M251" s="2"/>
      <c r="N251" s="2"/>
      <c r="O251" s="2"/>
      <c r="P251" s="2"/>
      <c r="Q251" s="2"/>
      <c r="R251" s="2"/>
      <c r="S251" s="2"/>
      <c r="T251" s="2"/>
      <c r="U251" s="264">
        <v>247</v>
      </c>
      <c r="V251" s="16" t="str">
        <f t="shared" si="178"/>
        <v/>
      </c>
      <c r="W251" s="16" t="str">
        <f t="shared" si="179"/>
        <v/>
      </c>
      <c r="X251" s="16" t="str">
        <f t="shared" si="169"/>
        <v/>
      </c>
      <c r="Y251" s="16" t="str">
        <f t="shared" si="170"/>
        <v/>
      </c>
      <c r="Z251" s="16" t="str">
        <f t="shared" si="171"/>
        <v/>
      </c>
      <c r="AA251" s="16" t="str">
        <f t="shared" si="180"/>
        <v/>
      </c>
      <c r="AB251" s="16" t="str">
        <f t="shared" si="181"/>
        <v/>
      </c>
      <c r="AC251" s="29" t="str">
        <f t="shared" si="172"/>
        <v/>
      </c>
      <c r="AD251" s="29" t="str">
        <f t="shared" si="173"/>
        <v/>
      </c>
      <c r="AE251" s="2"/>
      <c r="AF251" s="2"/>
      <c r="AG251" s="2"/>
      <c r="AH251" s="2"/>
      <c r="AI251" s="2"/>
      <c r="AJ251" s="2"/>
      <c r="AK251" s="2"/>
      <c r="AL251" s="2"/>
      <c r="AM251" s="2"/>
      <c r="AN251" s="2"/>
      <c r="AO251" s="2"/>
      <c r="AP251" s="2"/>
      <c r="AQ251" s="2"/>
    </row>
    <row r="252" spans="4:43" x14ac:dyDescent="0.25">
      <c r="D252" s="54"/>
      <c r="E252" s="54"/>
      <c r="F252" s="54"/>
      <c r="G252" s="54"/>
      <c r="H252" s="54"/>
      <c r="I252" s="54"/>
      <c r="J252" s="2"/>
      <c r="K252" s="2"/>
      <c r="L252" s="2"/>
      <c r="M252" s="2"/>
      <c r="N252" s="2"/>
      <c r="O252" s="2"/>
      <c r="P252" s="2"/>
      <c r="Q252" s="2"/>
      <c r="R252" s="2"/>
      <c r="S252" s="2"/>
      <c r="T252" s="2"/>
      <c r="U252" s="264">
        <v>248</v>
      </c>
      <c r="V252" s="16" t="str">
        <f t="shared" si="178"/>
        <v/>
      </c>
      <c r="W252" s="16" t="str">
        <f t="shared" si="179"/>
        <v/>
      </c>
      <c r="X252" s="16" t="str">
        <f t="shared" si="169"/>
        <v/>
      </c>
      <c r="Y252" s="16" t="str">
        <f t="shared" si="170"/>
        <v/>
      </c>
      <c r="Z252" s="16" t="str">
        <f t="shared" si="171"/>
        <v/>
      </c>
      <c r="AA252" s="16" t="str">
        <f t="shared" si="180"/>
        <v/>
      </c>
      <c r="AB252" s="16" t="str">
        <f t="shared" si="181"/>
        <v/>
      </c>
      <c r="AC252" s="29" t="str">
        <f t="shared" si="172"/>
        <v/>
      </c>
      <c r="AD252" s="29" t="str">
        <f t="shared" si="173"/>
        <v/>
      </c>
      <c r="AE252" s="2"/>
      <c r="AF252" s="2"/>
      <c r="AG252" s="2"/>
      <c r="AH252" s="2"/>
      <c r="AI252" s="2"/>
      <c r="AJ252" s="2"/>
      <c r="AK252" s="2"/>
      <c r="AL252" s="2"/>
      <c r="AM252" s="2"/>
      <c r="AN252" s="2"/>
      <c r="AO252" s="2"/>
      <c r="AP252" s="2"/>
      <c r="AQ252" s="2"/>
    </row>
    <row r="253" spans="4:43" x14ac:dyDescent="0.25">
      <c r="D253" s="54"/>
      <c r="E253" s="54"/>
      <c r="F253" s="54"/>
      <c r="G253" s="54"/>
      <c r="H253" s="54"/>
      <c r="I253" s="54"/>
      <c r="J253" s="2"/>
      <c r="K253" s="2"/>
      <c r="L253" s="2"/>
      <c r="M253" s="2"/>
      <c r="N253" s="2"/>
      <c r="O253" s="2"/>
      <c r="P253" s="2"/>
      <c r="Q253" s="2"/>
      <c r="R253" s="2"/>
      <c r="S253" s="2"/>
      <c r="T253" s="2"/>
      <c r="U253" s="264">
        <v>249</v>
      </c>
      <c r="V253" s="16" t="str">
        <f t="shared" si="178"/>
        <v/>
      </c>
      <c r="W253" s="16" t="str">
        <f t="shared" si="179"/>
        <v/>
      </c>
      <c r="X253" s="16" t="str">
        <f t="shared" si="169"/>
        <v/>
      </c>
      <c r="Y253" s="16" t="str">
        <f t="shared" si="170"/>
        <v/>
      </c>
      <c r="Z253" s="16" t="str">
        <f t="shared" si="171"/>
        <v/>
      </c>
      <c r="AA253" s="16" t="str">
        <f t="shared" si="180"/>
        <v/>
      </c>
      <c r="AB253" s="16" t="str">
        <f t="shared" si="181"/>
        <v/>
      </c>
      <c r="AC253" s="29" t="str">
        <f t="shared" si="172"/>
        <v/>
      </c>
      <c r="AD253" s="29" t="str">
        <f t="shared" si="173"/>
        <v/>
      </c>
      <c r="AE253" s="2"/>
      <c r="AF253" s="2"/>
      <c r="AG253" s="2"/>
      <c r="AH253" s="2"/>
      <c r="AI253" s="2"/>
      <c r="AJ253" s="2"/>
      <c r="AK253" s="2"/>
      <c r="AL253" s="2"/>
      <c r="AM253" s="2"/>
      <c r="AN253" s="2"/>
      <c r="AO253" s="2"/>
      <c r="AP253" s="2"/>
      <c r="AQ253" s="2"/>
    </row>
    <row r="254" spans="4:43" x14ac:dyDescent="0.25">
      <c r="D254" s="54"/>
      <c r="E254" s="54"/>
      <c r="F254" s="54"/>
      <c r="G254" s="54"/>
      <c r="H254" s="54"/>
      <c r="I254" s="54"/>
      <c r="J254" s="2"/>
      <c r="K254" s="2"/>
      <c r="L254" s="2"/>
      <c r="M254" s="2"/>
      <c r="N254" s="2"/>
      <c r="O254" s="2"/>
      <c r="P254" s="2"/>
      <c r="Q254" s="2"/>
      <c r="R254" s="2"/>
      <c r="S254" s="2"/>
      <c r="T254" s="2"/>
      <c r="U254" s="264">
        <v>250</v>
      </c>
      <c r="V254" s="16" t="str">
        <f t="shared" si="178"/>
        <v/>
      </c>
      <c r="W254" s="16" t="str">
        <f t="shared" si="179"/>
        <v/>
      </c>
      <c r="X254" s="16" t="str">
        <f t="shared" si="169"/>
        <v/>
      </c>
      <c r="Y254" s="16" t="str">
        <f t="shared" si="170"/>
        <v/>
      </c>
      <c r="Z254" s="16" t="str">
        <f t="shared" si="171"/>
        <v/>
      </c>
      <c r="AA254" s="16" t="str">
        <f t="shared" si="180"/>
        <v/>
      </c>
      <c r="AB254" s="16" t="str">
        <f t="shared" si="181"/>
        <v/>
      </c>
      <c r="AC254" s="29" t="str">
        <f t="shared" si="172"/>
        <v/>
      </c>
      <c r="AD254" s="29" t="str">
        <f t="shared" si="173"/>
        <v/>
      </c>
      <c r="AE254" s="2"/>
      <c r="AF254" s="2"/>
      <c r="AG254" s="2"/>
      <c r="AH254" s="2"/>
      <c r="AI254" s="2"/>
      <c r="AJ254" s="2"/>
      <c r="AK254" s="2"/>
      <c r="AL254" s="2"/>
      <c r="AM254" s="2"/>
      <c r="AN254" s="2"/>
      <c r="AO254" s="2"/>
      <c r="AP254" s="2"/>
      <c r="AQ254" s="2"/>
    </row>
    <row r="255" spans="4:43" x14ac:dyDescent="0.25">
      <c r="D255" s="54"/>
      <c r="E255" s="54"/>
      <c r="F255" s="54"/>
      <c r="G255" s="54"/>
      <c r="H255" s="54"/>
      <c r="I255" s="54"/>
      <c r="J255" s="2"/>
      <c r="K255" s="2"/>
      <c r="L255" s="2"/>
      <c r="M255" s="2"/>
      <c r="N255" s="2"/>
      <c r="O255" s="2"/>
      <c r="P255" s="2"/>
      <c r="Q255" s="2"/>
      <c r="R255" s="2"/>
      <c r="S255" s="2"/>
      <c r="T255" s="2"/>
      <c r="U255" s="264">
        <v>251</v>
      </c>
      <c r="V255" s="16" t="str">
        <f t="shared" ref="V255:V286" si="182">IF($C$9&gt;=$U255,$R13+0.000001-$V$310,"")</f>
        <v/>
      </c>
      <c r="W255" s="16" t="str">
        <f t="shared" ref="W255:W286" si="183">IF($C$9&gt;=$U255,$Q13+0.000001-$V$309,"")</f>
        <v/>
      </c>
      <c r="X255" s="16" t="str">
        <f t="shared" si="169"/>
        <v/>
      </c>
      <c r="Y255" s="16" t="str">
        <f t="shared" si="170"/>
        <v/>
      </c>
      <c r="Z255" s="16" t="str">
        <f t="shared" si="171"/>
        <v/>
      </c>
      <c r="AA255" s="16" t="str">
        <f t="shared" ref="AA255:AA286" si="184">IF($C$9&gt;=$U255,$Q13-$V$309,"")</f>
        <v/>
      </c>
      <c r="AB255" s="16" t="str">
        <f t="shared" ref="AB255:AB286" si="185">IF($C$9&gt;=$U255,$R13-$V$310,"")</f>
        <v/>
      </c>
      <c r="AC255" s="29" t="str">
        <f t="shared" si="172"/>
        <v/>
      </c>
      <c r="AD255" s="29" t="str">
        <f t="shared" si="173"/>
        <v/>
      </c>
      <c r="AE255" s="2"/>
      <c r="AF255" s="2"/>
      <c r="AG255" s="2"/>
      <c r="AH255" s="2"/>
      <c r="AI255" s="2"/>
      <c r="AJ255" s="2"/>
      <c r="AK255" s="2"/>
      <c r="AL255" s="2"/>
      <c r="AM255" s="2"/>
      <c r="AN255" s="2"/>
      <c r="AO255" s="2"/>
      <c r="AP255" s="2"/>
      <c r="AQ255" s="2"/>
    </row>
    <row r="256" spans="4:43" x14ac:dyDescent="0.25">
      <c r="D256" s="54"/>
      <c r="E256" s="54"/>
      <c r="F256" s="54"/>
      <c r="G256" s="54"/>
      <c r="H256" s="54"/>
      <c r="I256" s="54"/>
      <c r="J256" s="2"/>
      <c r="K256" s="2"/>
      <c r="L256" s="2"/>
      <c r="M256" s="2"/>
      <c r="N256" s="2"/>
      <c r="O256" s="2"/>
      <c r="P256" s="2"/>
      <c r="Q256" s="2"/>
      <c r="R256" s="2"/>
      <c r="S256" s="2"/>
      <c r="T256" s="2"/>
      <c r="U256" s="264">
        <v>252</v>
      </c>
      <c r="V256" s="16" t="str">
        <f t="shared" si="182"/>
        <v/>
      </c>
      <c r="W256" s="16" t="str">
        <f t="shared" si="183"/>
        <v/>
      </c>
      <c r="X256" s="16" t="str">
        <f t="shared" si="169"/>
        <v/>
      </c>
      <c r="Y256" s="16" t="str">
        <f t="shared" si="170"/>
        <v/>
      </c>
      <c r="Z256" s="16" t="str">
        <f t="shared" si="171"/>
        <v/>
      </c>
      <c r="AA256" s="16" t="str">
        <f t="shared" si="184"/>
        <v/>
      </c>
      <c r="AB256" s="16" t="str">
        <f t="shared" si="185"/>
        <v/>
      </c>
      <c r="AC256" s="29" t="str">
        <f t="shared" si="172"/>
        <v/>
      </c>
      <c r="AD256" s="29" t="str">
        <f t="shared" si="173"/>
        <v/>
      </c>
      <c r="AE256" s="2"/>
      <c r="AF256" s="2"/>
      <c r="AG256" s="2"/>
      <c r="AH256" s="2"/>
      <c r="AI256" s="2"/>
      <c r="AJ256" s="2"/>
      <c r="AK256" s="2"/>
      <c r="AL256" s="2"/>
      <c r="AM256" s="2"/>
      <c r="AN256" s="2"/>
      <c r="AO256" s="2"/>
      <c r="AP256" s="2"/>
      <c r="AQ256" s="2"/>
    </row>
    <row r="257" spans="4:43" x14ac:dyDescent="0.25">
      <c r="D257" s="54"/>
      <c r="E257" s="54"/>
      <c r="F257" s="54"/>
      <c r="G257" s="54"/>
      <c r="H257" s="54"/>
      <c r="I257" s="54"/>
      <c r="J257" s="2"/>
      <c r="K257" s="2"/>
      <c r="L257" s="2"/>
      <c r="M257" s="2"/>
      <c r="N257" s="2"/>
      <c r="O257" s="2"/>
      <c r="P257" s="2"/>
      <c r="Q257" s="2"/>
      <c r="R257" s="2"/>
      <c r="S257" s="2"/>
      <c r="T257" s="2"/>
      <c r="U257" s="264">
        <v>253</v>
      </c>
      <c r="V257" s="16" t="str">
        <f t="shared" si="182"/>
        <v/>
      </c>
      <c r="W257" s="16" t="str">
        <f t="shared" si="183"/>
        <v/>
      </c>
      <c r="X257" s="16" t="str">
        <f t="shared" si="169"/>
        <v/>
      </c>
      <c r="Y257" s="16" t="str">
        <f t="shared" si="170"/>
        <v/>
      </c>
      <c r="Z257" s="16" t="str">
        <f t="shared" si="171"/>
        <v/>
      </c>
      <c r="AA257" s="16" t="str">
        <f t="shared" si="184"/>
        <v/>
      </c>
      <c r="AB257" s="16" t="str">
        <f t="shared" si="185"/>
        <v/>
      </c>
      <c r="AC257" s="29" t="str">
        <f t="shared" si="172"/>
        <v/>
      </c>
      <c r="AD257" s="29" t="str">
        <f t="shared" si="173"/>
        <v/>
      </c>
      <c r="AE257" s="2"/>
      <c r="AF257" s="2"/>
      <c r="AG257" s="2"/>
      <c r="AH257" s="2"/>
      <c r="AI257" s="2"/>
      <c r="AJ257" s="2"/>
      <c r="AK257" s="2"/>
      <c r="AL257" s="2"/>
      <c r="AM257" s="2"/>
      <c r="AN257" s="2"/>
      <c r="AO257" s="2"/>
      <c r="AP257" s="2"/>
      <c r="AQ257" s="2"/>
    </row>
    <row r="258" spans="4:43" x14ac:dyDescent="0.25">
      <c r="D258" s="54"/>
      <c r="E258" s="54"/>
      <c r="F258" s="54"/>
      <c r="G258" s="54"/>
      <c r="H258" s="54"/>
      <c r="I258" s="54"/>
      <c r="J258" s="2"/>
      <c r="K258" s="2"/>
      <c r="L258" s="2"/>
      <c r="M258" s="2"/>
      <c r="N258" s="2"/>
      <c r="O258" s="2"/>
      <c r="P258" s="2"/>
      <c r="Q258" s="2"/>
      <c r="R258" s="2"/>
      <c r="S258" s="2"/>
      <c r="T258" s="2"/>
      <c r="U258" s="264">
        <v>254</v>
      </c>
      <c r="V258" s="16" t="str">
        <f t="shared" si="182"/>
        <v/>
      </c>
      <c r="W258" s="16" t="str">
        <f t="shared" si="183"/>
        <v/>
      </c>
      <c r="X258" s="16" t="str">
        <f t="shared" si="169"/>
        <v/>
      </c>
      <c r="Y258" s="16" t="str">
        <f t="shared" si="170"/>
        <v/>
      </c>
      <c r="Z258" s="16" t="str">
        <f t="shared" si="171"/>
        <v/>
      </c>
      <c r="AA258" s="16" t="str">
        <f t="shared" si="184"/>
        <v/>
      </c>
      <c r="AB258" s="16" t="str">
        <f t="shared" si="185"/>
        <v/>
      </c>
      <c r="AC258" s="29" t="str">
        <f t="shared" si="172"/>
        <v/>
      </c>
      <c r="AD258" s="29" t="str">
        <f t="shared" si="173"/>
        <v/>
      </c>
      <c r="AE258" s="2"/>
      <c r="AF258" s="2"/>
      <c r="AG258" s="2"/>
      <c r="AH258" s="2"/>
      <c r="AI258" s="2"/>
      <c r="AJ258" s="2"/>
      <c r="AK258" s="2"/>
      <c r="AL258" s="2"/>
      <c r="AM258" s="2"/>
      <c r="AN258" s="2"/>
      <c r="AO258" s="2"/>
      <c r="AP258" s="2"/>
      <c r="AQ258" s="2"/>
    </row>
    <row r="259" spans="4:43" x14ac:dyDescent="0.25">
      <c r="D259" s="54"/>
      <c r="E259" s="54"/>
      <c r="F259" s="54"/>
      <c r="G259" s="54"/>
      <c r="H259" s="54"/>
      <c r="I259" s="54"/>
      <c r="J259" s="2"/>
      <c r="K259" s="2"/>
      <c r="L259" s="2"/>
      <c r="M259" s="2"/>
      <c r="N259" s="2"/>
      <c r="O259" s="2"/>
      <c r="P259" s="2"/>
      <c r="Q259" s="2"/>
      <c r="R259" s="2"/>
      <c r="S259" s="2"/>
      <c r="T259" s="2"/>
      <c r="U259" s="264">
        <v>255</v>
      </c>
      <c r="V259" s="16" t="str">
        <f t="shared" si="182"/>
        <v/>
      </c>
      <c r="W259" s="16" t="str">
        <f t="shared" si="183"/>
        <v/>
      </c>
      <c r="X259" s="16" t="str">
        <f t="shared" si="169"/>
        <v/>
      </c>
      <c r="Y259" s="16" t="str">
        <f t="shared" si="170"/>
        <v/>
      </c>
      <c r="Z259" s="16" t="str">
        <f t="shared" si="171"/>
        <v/>
      </c>
      <c r="AA259" s="16" t="str">
        <f t="shared" si="184"/>
        <v/>
      </c>
      <c r="AB259" s="16" t="str">
        <f t="shared" si="185"/>
        <v/>
      </c>
      <c r="AC259" s="29" t="str">
        <f t="shared" si="172"/>
        <v/>
      </c>
      <c r="AD259" s="29" t="str">
        <f t="shared" si="173"/>
        <v/>
      </c>
      <c r="AE259" s="2"/>
      <c r="AF259" s="2"/>
      <c r="AG259" s="2"/>
      <c r="AH259" s="2"/>
      <c r="AI259" s="2"/>
      <c r="AJ259" s="2"/>
      <c r="AK259" s="2"/>
      <c r="AL259" s="2"/>
      <c r="AM259" s="2"/>
      <c r="AN259" s="2"/>
      <c r="AO259" s="2"/>
      <c r="AP259" s="2"/>
      <c r="AQ259" s="2"/>
    </row>
    <row r="260" spans="4:43" x14ac:dyDescent="0.25">
      <c r="D260" s="54"/>
      <c r="E260" s="54"/>
      <c r="F260" s="54"/>
      <c r="G260" s="54"/>
      <c r="H260" s="54"/>
      <c r="I260" s="54"/>
      <c r="J260" s="2"/>
      <c r="K260" s="2"/>
      <c r="L260" s="2"/>
      <c r="M260" s="2"/>
      <c r="N260" s="2"/>
      <c r="O260" s="2"/>
      <c r="P260" s="2"/>
      <c r="Q260" s="2"/>
      <c r="R260" s="2"/>
      <c r="S260" s="2"/>
      <c r="T260" s="2"/>
      <c r="U260" s="264">
        <v>256</v>
      </c>
      <c r="V260" s="16" t="str">
        <f t="shared" si="182"/>
        <v/>
      </c>
      <c r="W260" s="16" t="str">
        <f t="shared" si="183"/>
        <v/>
      </c>
      <c r="X260" s="16" t="str">
        <f t="shared" si="169"/>
        <v/>
      </c>
      <c r="Y260" s="16" t="str">
        <f t="shared" si="170"/>
        <v/>
      </c>
      <c r="Z260" s="16" t="str">
        <f t="shared" si="171"/>
        <v/>
      </c>
      <c r="AA260" s="16" t="str">
        <f t="shared" si="184"/>
        <v/>
      </c>
      <c r="AB260" s="16" t="str">
        <f t="shared" si="185"/>
        <v/>
      </c>
      <c r="AC260" s="29" t="str">
        <f t="shared" si="172"/>
        <v/>
      </c>
      <c r="AD260" s="29" t="str">
        <f t="shared" si="173"/>
        <v/>
      </c>
      <c r="AE260" s="2"/>
      <c r="AF260" s="2"/>
      <c r="AG260" s="2"/>
      <c r="AH260" s="2"/>
      <c r="AI260" s="2"/>
      <c r="AJ260" s="2"/>
      <c r="AK260" s="2"/>
      <c r="AL260" s="2"/>
      <c r="AM260" s="2"/>
      <c r="AN260" s="2"/>
      <c r="AO260" s="2"/>
      <c r="AP260" s="2"/>
      <c r="AQ260" s="2"/>
    </row>
    <row r="261" spans="4:43" x14ac:dyDescent="0.25">
      <c r="D261" s="54"/>
      <c r="E261" s="54"/>
      <c r="F261" s="54"/>
      <c r="G261" s="54"/>
      <c r="H261" s="54"/>
      <c r="I261" s="54"/>
      <c r="J261" s="2"/>
      <c r="K261" s="2"/>
      <c r="L261" s="2"/>
      <c r="M261" s="2"/>
      <c r="N261" s="2"/>
      <c r="O261" s="2"/>
      <c r="P261" s="2"/>
      <c r="Q261" s="2"/>
      <c r="R261" s="2"/>
      <c r="S261" s="2"/>
      <c r="T261" s="2"/>
      <c r="U261" s="264">
        <v>257</v>
      </c>
      <c r="V261" s="16" t="str">
        <f t="shared" si="182"/>
        <v/>
      </c>
      <c r="W261" s="16" t="str">
        <f t="shared" si="183"/>
        <v/>
      </c>
      <c r="X261" s="16" t="str">
        <f t="shared" ref="X261:X304" si="186">IF($C$9&gt;=$U261,$V261^2,"")</f>
        <v/>
      </c>
      <c r="Y261" s="16" t="str">
        <f t="shared" ref="Y261:Y304" si="187">IF($C$9&gt;=$U261,$W261^2,"")</f>
        <v/>
      </c>
      <c r="Z261" s="16" t="str">
        <f t="shared" ref="Z261:Z304" si="188">IF($C$9&gt;=$U261,$V261*$W261,"")</f>
        <v/>
      </c>
      <c r="AA261" s="16" t="str">
        <f t="shared" si="184"/>
        <v/>
      </c>
      <c r="AB261" s="16" t="str">
        <f t="shared" si="185"/>
        <v/>
      </c>
      <c r="AC261" s="29" t="str">
        <f t="shared" ref="AC261:AC304" si="189">IF($C$9&gt;=$U261,(-$Z$318/$C$9+($Z$322*$V$311--$Z$321*$V$314)/($V$311*$V$312-$V$314^2)*$AA261+(-$Z$321*$V$312-$Z$322*$V$314)/($V$311*$V$312-$V$314^2)*$AB261),"")</f>
        <v/>
      </c>
      <c r="AD261" s="29" t="str">
        <f t="shared" ref="AD261:AD304" si="190">IF($C$9&gt;=$U261,((($Z$319/$C$9+$Z$323*-$AB261/$V$313)^2+($Z$320/$C$9+$Z$323*$AA261/$V$313)^2)^(1/2)),"")</f>
        <v/>
      </c>
      <c r="AE261" s="2"/>
      <c r="AF261" s="2"/>
      <c r="AG261" s="2"/>
      <c r="AH261" s="2"/>
      <c r="AI261" s="2"/>
      <c r="AJ261" s="2"/>
      <c r="AK261" s="2"/>
      <c r="AL261" s="2"/>
      <c r="AM261" s="2"/>
      <c r="AN261" s="2"/>
      <c r="AO261" s="2"/>
      <c r="AP261" s="2"/>
      <c r="AQ261" s="2"/>
    </row>
    <row r="262" spans="4:43" x14ac:dyDescent="0.25">
      <c r="D262" s="54"/>
      <c r="E262" s="54"/>
      <c r="F262" s="54"/>
      <c r="G262" s="54"/>
      <c r="H262" s="54"/>
      <c r="I262" s="54"/>
      <c r="J262" s="2"/>
      <c r="K262" s="2"/>
      <c r="L262" s="2"/>
      <c r="M262" s="2"/>
      <c r="N262" s="2"/>
      <c r="O262" s="2"/>
      <c r="P262" s="2"/>
      <c r="Q262" s="2"/>
      <c r="R262" s="2"/>
      <c r="S262" s="2"/>
      <c r="T262" s="2"/>
      <c r="U262" s="264">
        <v>258</v>
      </c>
      <c r="V262" s="16" t="str">
        <f t="shared" si="182"/>
        <v/>
      </c>
      <c r="W262" s="16" t="str">
        <f t="shared" si="183"/>
        <v/>
      </c>
      <c r="X262" s="16" t="str">
        <f t="shared" si="186"/>
        <v/>
      </c>
      <c r="Y262" s="16" t="str">
        <f t="shared" si="187"/>
        <v/>
      </c>
      <c r="Z262" s="16" t="str">
        <f t="shared" si="188"/>
        <v/>
      </c>
      <c r="AA262" s="16" t="str">
        <f t="shared" si="184"/>
        <v/>
      </c>
      <c r="AB262" s="16" t="str">
        <f t="shared" si="185"/>
        <v/>
      </c>
      <c r="AC262" s="29" t="str">
        <f t="shared" si="189"/>
        <v/>
      </c>
      <c r="AD262" s="29" t="str">
        <f t="shared" si="190"/>
        <v/>
      </c>
      <c r="AE262" s="2"/>
      <c r="AF262" s="2"/>
      <c r="AG262" s="2"/>
      <c r="AH262" s="2"/>
      <c r="AI262" s="2"/>
      <c r="AJ262" s="2"/>
      <c r="AK262" s="2"/>
      <c r="AL262" s="2"/>
      <c r="AM262" s="2"/>
      <c r="AN262" s="2"/>
      <c r="AO262" s="2"/>
      <c r="AP262" s="2"/>
      <c r="AQ262" s="2"/>
    </row>
    <row r="263" spans="4:43" x14ac:dyDescent="0.25">
      <c r="D263" s="54"/>
      <c r="E263" s="54"/>
      <c r="F263" s="54"/>
      <c r="G263" s="54"/>
      <c r="H263" s="54"/>
      <c r="I263" s="54"/>
      <c r="J263" s="2"/>
      <c r="K263" s="2"/>
      <c r="L263" s="2"/>
      <c r="M263" s="2"/>
      <c r="N263" s="2"/>
      <c r="O263" s="2"/>
      <c r="P263" s="2"/>
      <c r="Q263" s="2"/>
      <c r="R263" s="2"/>
      <c r="S263" s="2"/>
      <c r="T263" s="2"/>
      <c r="U263" s="264">
        <v>259</v>
      </c>
      <c r="V263" s="16" t="str">
        <f t="shared" si="182"/>
        <v/>
      </c>
      <c r="W263" s="16" t="str">
        <f t="shared" si="183"/>
        <v/>
      </c>
      <c r="X263" s="16" t="str">
        <f t="shared" si="186"/>
        <v/>
      </c>
      <c r="Y263" s="16" t="str">
        <f t="shared" si="187"/>
        <v/>
      </c>
      <c r="Z263" s="16" t="str">
        <f t="shared" si="188"/>
        <v/>
      </c>
      <c r="AA263" s="16" t="str">
        <f t="shared" si="184"/>
        <v/>
      </c>
      <c r="AB263" s="16" t="str">
        <f t="shared" si="185"/>
        <v/>
      </c>
      <c r="AC263" s="29" t="str">
        <f t="shared" si="189"/>
        <v/>
      </c>
      <c r="AD263" s="29" t="str">
        <f t="shared" si="190"/>
        <v/>
      </c>
      <c r="AE263" s="2"/>
      <c r="AF263" s="2"/>
      <c r="AG263" s="2"/>
      <c r="AH263" s="2"/>
      <c r="AI263" s="2"/>
      <c r="AJ263" s="2"/>
      <c r="AK263" s="2"/>
      <c r="AL263" s="2"/>
      <c r="AM263" s="2"/>
      <c r="AN263" s="2"/>
      <c r="AO263" s="2"/>
      <c r="AP263" s="2"/>
      <c r="AQ263" s="2"/>
    </row>
    <row r="264" spans="4:43" x14ac:dyDescent="0.25">
      <c r="D264" s="54"/>
      <c r="E264" s="54"/>
      <c r="F264" s="54"/>
      <c r="G264" s="54"/>
      <c r="H264" s="54"/>
      <c r="I264" s="54"/>
      <c r="J264" s="2"/>
      <c r="K264" s="2"/>
      <c r="L264" s="2"/>
      <c r="M264" s="2"/>
      <c r="N264" s="2"/>
      <c r="O264" s="2"/>
      <c r="P264" s="2"/>
      <c r="Q264" s="2"/>
      <c r="R264" s="2"/>
      <c r="S264" s="2"/>
      <c r="T264" s="2"/>
      <c r="U264" s="264">
        <v>260</v>
      </c>
      <c r="V264" s="16" t="str">
        <f t="shared" si="182"/>
        <v/>
      </c>
      <c r="W264" s="16" t="str">
        <f t="shared" si="183"/>
        <v/>
      </c>
      <c r="X264" s="16" t="str">
        <f t="shared" si="186"/>
        <v/>
      </c>
      <c r="Y264" s="16" t="str">
        <f t="shared" si="187"/>
        <v/>
      </c>
      <c r="Z264" s="16" t="str">
        <f t="shared" si="188"/>
        <v/>
      </c>
      <c r="AA264" s="16" t="str">
        <f t="shared" si="184"/>
        <v/>
      </c>
      <c r="AB264" s="16" t="str">
        <f t="shared" si="185"/>
        <v/>
      </c>
      <c r="AC264" s="29" t="str">
        <f t="shared" si="189"/>
        <v/>
      </c>
      <c r="AD264" s="29" t="str">
        <f t="shared" si="190"/>
        <v/>
      </c>
      <c r="AE264" s="2"/>
      <c r="AF264" s="2"/>
      <c r="AG264" s="2"/>
      <c r="AH264" s="2"/>
      <c r="AI264" s="2"/>
      <c r="AJ264" s="2"/>
      <c r="AK264" s="2"/>
      <c r="AL264" s="2"/>
      <c r="AM264" s="2"/>
      <c r="AN264" s="2"/>
      <c r="AO264" s="2"/>
      <c r="AP264" s="2"/>
      <c r="AQ264" s="2"/>
    </row>
    <row r="265" spans="4:43" x14ac:dyDescent="0.25">
      <c r="D265" s="54"/>
      <c r="E265" s="54"/>
      <c r="F265" s="54"/>
      <c r="G265" s="54"/>
      <c r="H265" s="54"/>
      <c r="I265" s="54"/>
      <c r="J265" s="2"/>
      <c r="K265" s="2"/>
      <c r="L265" s="2"/>
      <c r="M265" s="2"/>
      <c r="N265" s="2"/>
      <c r="O265" s="2"/>
      <c r="P265" s="2"/>
      <c r="Q265" s="2"/>
      <c r="R265" s="2"/>
      <c r="S265" s="2"/>
      <c r="T265" s="2"/>
      <c r="U265" s="264">
        <v>261</v>
      </c>
      <c r="V265" s="16" t="str">
        <f t="shared" si="182"/>
        <v/>
      </c>
      <c r="W265" s="16" t="str">
        <f t="shared" si="183"/>
        <v/>
      </c>
      <c r="X265" s="16" t="str">
        <f t="shared" si="186"/>
        <v/>
      </c>
      <c r="Y265" s="16" t="str">
        <f t="shared" si="187"/>
        <v/>
      </c>
      <c r="Z265" s="16" t="str">
        <f t="shared" si="188"/>
        <v/>
      </c>
      <c r="AA265" s="16" t="str">
        <f t="shared" si="184"/>
        <v/>
      </c>
      <c r="AB265" s="16" t="str">
        <f t="shared" si="185"/>
        <v/>
      </c>
      <c r="AC265" s="29" t="str">
        <f t="shared" si="189"/>
        <v/>
      </c>
      <c r="AD265" s="29" t="str">
        <f t="shared" si="190"/>
        <v/>
      </c>
      <c r="AE265" s="2"/>
      <c r="AF265" s="2"/>
      <c r="AG265" s="2"/>
      <c r="AH265" s="2"/>
      <c r="AI265" s="2"/>
      <c r="AJ265" s="2"/>
      <c r="AK265" s="2"/>
      <c r="AL265" s="2"/>
      <c r="AM265" s="2"/>
      <c r="AN265" s="2"/>
      <c r="AO265" s="2"/>
      <c r="AP265" s="2"/>
      <c r="AQ265" s="2"/>
    </row>
    <row r="266" spans="4:43" x14ac:dyDescent="0.25">
      <c r="D266" s="54"/>
      <c r="E266" s="54"/>
      <c r="F266" s="54"/>
      <c r="G266" s="54"/>
      <c r="H266" s="54"/>
      <c r="I266" s="54"/>
      <c r="J266" s="2"/>
      <c r="K266" s="2"/>
      <c r="L266" s="2"/>
      <c r="M266" s="2"/>
      <c r="N266" s="2"/>
      <c r="O266" s="2"/>
      <c r="P266" s="2"/>
      <c r="Q266" s="2"/>
      <c r="R266" s="2"/>
      <c r="S266" s="2"/>
      <c r="T266" s="2"/>
      <c r="U266" s="264">
        <v>262</v>
      </c>
      <c r="V266" s="16" t="str">
        <f t="shared" si="182"/>
        <v/>
      </c>
      <c r="W266" s="16" t="str">
        <f t="shared" si="183"/>
        <v/>
      </c>
      <c r="X266" s="16" t="str">
        <f t="shared" si="186"/>
        <v/>
      </c>
      <c r="Y266" s="16" t="str">
        <f t="shared" si="187"/>
        <v/>
      </c>
      <c r="Z266" s="16" t="str">
        <f t="shared" si="188"/>
        <v/>
      </c>
      <c r="AA266" s="16" t="str">
        <f t="shared" si="184"/>
        <v/>
      </c>
      <c r="AB266" s="16" t="str">
        <f t="shared" si="185"/>
        <v/>
      </c>
      <c r="AC266" s="29" t="str">
        <f t="shared" si="189"/>
        <v/>
      </c>
      <c r="AD266" s="29" t="str">
        <f t="shared" si="190"/>
        <v/>
      </c>
      <c r="AE266" s="2"/>
      <c r="AF266" s="2"/>
      <c r="AG266" s="2"/>
      <c r="AH266" s="2"/>
      <c r="AI266" s="2"/>
      <c r="AJ266" s="2"/>
      <c r="AK266" s="2"/>
      <c r="AL266" s="2"/>
      <c r="AM266" s="2"/>
      <c r="AN266" s="2"/>
      <c r="AO266" s="2"/>
      <c r="AP266" s="2"/>
      <c r="AQ266" s="2"/>
    </row>
    <row r="267" spans="4:43" x14ac:dyDescent="0.25">
      <c r="D267" s="54"/>
      <c r="E267" s="54"/>
      <c r="F267" s="54"/>
      <c r="G267" s="54"/>
      <c r="H267" s="54"/>
      <c r="I267" s="54"/>
      <c r="J267" s="2"/>
      <c r="K267" s="2"/>
      <c r="L267" s="2"/>
      <c r="M267" s="2"/>
      <c r="N267" s="2"/>
      <c r="O267" s="2"/>
      <c r="P267" s="2"/>
      <c r="Q267" s="2"/>
      <c r="R267" s="2"/>
      <c r="S267" s="2"/>
      <c r="T267" s="2"/>
      <c r="U267" s="264">
        <v>263</v>
      </c>
      <c r="V267" s="16" t="str">
        <f t="shared" si="182"/>
        <v/>
      </c>
      <c r="W267" s="16" t="str">
        <f t="shared" si="183"/>
        <v/>
      </c>
      <c r="X267" s="16" t="str">
        <f t="shared" si="186"/>
        <v/>
      </c>
      <c r="Y267" s="16" t="str">
        <f t="shared" si="187"/>
        <v/>
      </c>
      <c r="Z267" s="16" t="str">
        <f t="shared" si="188"/>
        <v/>
      </c>
      <c r="AA267" s="16" t="str">
        <f t="shared" si="184"/>
        <v/>
      </c>
      <c r="AB267" s="16" t="str">
        <f t="shared" si="185"/>
        <v/>
      </c>
      <c r="AC267" s="29" t="str">
        <f t="shared" si="189"/>
        <v/>
      </c>
      <c r="AD267" s="29" t="str">
        <f t="shared" si="190"/>
        <v/>
      </c>
      <c r="AE267" s="2"/>
      <c r="AF267" s="2"/>
      <c r="AG267" s="2"/>
      <c r="AH267" s="2"/>
      <c r="AI267" s="2"/>
      <c r="AJ267" s="2"/>
      <c r="AK267" s="2"/>
      <c r="AL267" s="2"/>
      <c r="AM267" s="2"/>
      <c r="AN267" s="2"/>
      <c r="AO267" s="2"/>
      <c r="AP267" s="2"/>
      <c r="AQ267" s="2"/>
    </row>
    <row r="268" spans="4:43" x14ac:dyDescent="0.25">
      <c r="D268" s="54"/>
      <c r="E268" s="54"/>
      <c r="F268" s="54"/>
      <c r="G268" s="54"/>
      <c r="H268" s="54"/>
      <c r="I268" s="54"/>
      <c r="J268" s="2"/>
      <c r="K268" s="2"/>
      <c r="L268" s="2"/>
      <c r="M268" s="2"/>
      <c r="N268" s="2"/>
      <c r="O268" s="2"/>
      <c r="P268" s="2"/>
      <c r="Q268" s="2"/>
      <c r="R268" s="2"/>
      <c r="S268" s="2"/>
      <c r="T268" s="2"/>
      <c r="U268" s="264">
        <v>264</v>
      </c>
      <c r="V268" s="16" t="str">
        <f t="shared" si="182"/>
        <v/>
      </c>
      <c r="W268" s="16" t="str">
        <f t="shared" si="183"/>
        <v/>
      </c>
      <c r="X268" s="16" t="str">
        <f t="shared" si="186"/>
        <v/>
      </c>
      <c r="Y268" s="16" t="str">
        <f t="shared" si="187"/>
        <v/>
      </c>
      <c r="Z268" s="16" t="str">
        <f t="shared" si="188"/>
        <v/>
      </c>
      <c r="AA268" s="16" t="str">
        <f t="shared" si="184"/>
        <v/>
      </c>
      <c r="AB268" s="16" t="str">
        <f t="shared" si="185"/>
        <v/>
      </c>
      <c r="AC268" s="29" t="str">
        <f t="shared" si="189"/>
        <v/>
      </c>
      <c r="AD268" s="29" t="str">
        <f t="shared" si="190"/>
        <v/>
      </c>
      <c r="AE268" s="2"/>
      <c r="AF268" s="2"/>
      <c r="AG268" s="2"/>
      <c r="AH268" s="2"/>
      <c r="AI268" s="2"/>
      <c r="AJ268" s="2"/>
      <c r="AK268" s="2"/>
      <c r="AL268" s="2"/>
      <c r="AM268" s="2"/>
      <c r="AN268" s="2"/>
      <c r="AO268" s="2"/>
      <c r="AP268" s="2"/>
      <c r="AQ268" s="2"/>
    </row>
    <row r="269" spans="4:43" x14ac:dyDescent="0.25">
      <c r="D269" s="54"/>
      <c r="E269" s="54"/>
      <c r="F269" s="54"/>
      <c r="G269" s="54"/>
      <c r="H269" s="54"/>
      <c r="I269" s="54"/>
      <c r="J269" s="2"/>
      <c r="K269" s="2"/>
      <c r="L269" s="2"/>
      <c r="M269" s="2"/>
      <c r="N269" s="2"/>
      <c r="O269" s="2"/>
      <c r="P269" s="2"/>
      <c r="Q269" s="2"/>
      <c r="R269" s="2"/>
      <c r="S269" s="2"/>
      <c r="T269" s="2"/>
      <c r="U269" s="264">
        <v>265</v>
      </c>
      <c r="V269" s="16" t="str">
        <f t="shared" si="182"/>
        <v/>
      </c>
      <c r="W269" s="16" t="str">
        <f t="shared" si="183"/>
        <v/>
      </c>
      <c r="X269" s="16" t="str">
        <f t="shared" si="186"/>
        <v/>
      </c>
      <c r="Y269" s="16" t="str">
        <f t="shared" si="187"/>
        <v/>
      </c>
      <c r="Z269" s="16" t="str">
        <f t="shared" si="188"/>
        <v/>
      </c>
      <c r="AA269" s="16" t="str">
        <f t="shared" si="184"/>
        <v/>
      </c>
      <c r="AB269" s="16" t="str">
        <f t="shared" si="185"/>
        <v/>
      </c>
      <c r="AC269" s="29" t="str">
        <f t="shared" si="189"/>
        <v/>
      </c>
      <c r="AD269" s="29" t="str">
        <f t="shared" si="190"/>
        <v/>
      </c>
      <c r="AE269" s="2"/>
      <c r="AF269" s="2"/>
      <c r="AG269" s="2"/>
      <c r="AH269" s="2"/>
      <c r="AI269" s="2"/>
      <c r="AJ269" s="2"/>
      <c r="AK269" s="2"/>
      <c r="AL269" s="2"/>
      <c r="AM269" s="2"/>
      <c r="AN269" s="2"/>
      <c r="AO269" s="2"/>
      <c r="AP269" s="2"/>
      <c r="AQ269" s="2"/>
    </row>
    <row r="270" spans="4:43" x14ac:dyDescent="0.25">
      <c r="D270" s="54"/>
      <c r="E270" s="54"/>
      <c r="F270" s="54"/>
      <c r="G270" s="54"/>
      <c r="H270" s="54"/>
      <c r="I270" s="54"/>
      <c r="J270" s="2"/>
      <c r="K270" s="2"/>
      <c r="L270" s="2"/>
      <c r="M270" s="2"/>
      <c r="N270" s="2"/>
      <c r="O270" s="2"/>
      <c r="P270" s="2"/>
      <c r="Q270" s="2"/>
      <c r="R270" s="2"/>
      <c r="S270" s="2"/>
      <c r="T270" s="2"/>
      <c r="U270" s="264">
        <v>266</v>
      </c>
      <c r="V270" s="16" t="str">
        <f t="shared" si="182"/>
        <v/>
      </c>
      <c r="W270" s="16" t="str">
        <f t="shared" si="183"/>
        <v/>
      </c>
      <c r="X270" s="16" t="str">
        <f t="shared" si="186"/>
        <v/>
      </c>
      <c r="Y270" s="16" t="str">
        <f t="shared" si="187"/>
        <v/>
      </c>
      <c r="Z270" s="16" t="str">
        <f t="shared" si="188"/>
        <v/>
      </c>
      <c r="AA270" s="16" t="str">
        <f t="shared" si="184"/>
        <v/>
      </c>
      <c r="AB270" s="16" t="str">
        <f t="shared" si="185"/>
        <v/>
      </c>
      <c r="AC270" s="29" t="str">
        <f t="shared" si="189"/>
        <v/>
      </c>
      <c r="AD270" s="29" t="str">
        <f t="shared" si="190"/>
        <v/>
      </c>
      <c r="AE270" s="2"/>
      <c r="AF270" s="2"/>
      <c r="AG270" s="2"/>
      <c r="AH270" s="2"/>
      <c r="AI270" s="2"/>
      <c r="AJ270" s="2"/>
      <c r="AK270" s="2"/>
      <c r="AL270" s="2"/>
      <c r="AM270" s="2"/>
      <c r="AN270" s="2"/>
      <c r="AO270" s="2"/>
      <c r="AP270" s="2"/>
      <c r="AQ270" s="2"/>
    </row>
    <row r="271" spans="4:43" x14ac:dyDescent="0.25">
      <c r="D271" s="54"/>
      <c r="E271" s="54"/>
      <c r="F271" s="54"/>
      <c r="G271" s="54"/>
      <c r="H271" s="54"/>
      <c r="I271" s="54"/>
      <c r="J271" s="2"/>
      <c r="K271" s="2"/>
      <c r="L271" s="2"/>
      <c r="M271" s="2"/>
      <c r="N271" s="2"/>
      <c r="O271" s="2"/>
      <c r="P271" s="2"/>
      <c r="Q271" s="2"/>
      <c r="R271" s="2"/>
      <c r="S271" s="2"/>
      <c r="T271" s="2"/>
      <c r="U271" s="264">
        <v>267</v>
      </c>
      <c r="V271" s="16" t="str">
        <f t="shared" si="182"/>
        <v/>
      </c>
      <c r="W271" s="16" t="str">
        <f t="shared" si="183"/>
        <v/>
      </c>
      <c r="X271" s="16" t="str">
        <f t="shared" si="186"/>
        <v/>
      </c>
      <c r="Y271" s="16" t="str">
        <f t="shared" si="187"/>
        <v/>
      </c>
      <c r="Z271" s="16" t="str">
        <f t="shared" si="188"/>
        <v/>
      </c>
      <c r="AA271" s="16" t="str">
        <f t="shared" si="184"/>
        <v/>
      </c>
      <c r="AB271" s="16" t="str">
        <f t="shared" si="185"/>
        <v/>
      </c>
      <c r="AC271" s="29" t="str">
        <f t="shared" si="189"/>
        <v/>
      </c>
      <c r="AD271" s="29" t="str">
        <f t="shared" si="190"/>
        <v/>
      </c>
      <c r="AE271" s="2"/>
      <c r="AF271" s="2"/>
      <c r="AG271" s="2"/>
      <c r="AH271" s="2"/>
      <c r="AI271" s="2"/>
      <c r="AJ271" s="2"/>
      <c r="AK271" s="2"/>
      <c r="AL271" s="2"/>
      <c r="AM271" s="2"/>
      <c r="AN271" s="2"/>
      <c r="AO271" s="2"/>
      <c r="AP271" s="2"/>
      <c r="AQ271" s="2"/>
    </row>
    <row r="272" spans="4:43" x14ac:dyDescent="0.25">
      <c r="D272" s="54"/>
      <c r="E272" s="54"/>
      <c r="F272" s="54"/>
      <c r="G272" s="54"/>
      <c r="H272" s="54"/>
      <c r="I272" s="54"/>
      <c r="J272" s="2"/>
      <c r="K272" s="2"/>
      <c r="L272" s="2"/>
      <c r="M272" s="2"/>
      <c r="N272" s="2"/>
      <c r="O272" s="2"/>
      <c r="P272" s="2"/>
      <c r="Q272" s="2"/>
      <c r="R272" s="2"/>
      <c r="S272" s="2"/>
      <c r="T272" s="2"/>
      <c r="U272" s="264">
        <v>268</v>
      </c>
      <c r="V272" s="16" t="str">
        <f t="shared" si="182"/>
        <v/>
      </c>
      <c r="W272" s="16" t="str">
        <f t="shared" si="183"/>
        <v/>
      </c>
      <c r="X272" s="16" t="str">
        <f t="shared" si="186"/>
        <v/>
      </c>
      <c r="Y272" s="16" t="str">
        <f t="shared" si="187"/>
        <v/>
      </c>
      <c r="Z272" s="16" t="str">
        <f t="shared" si="188"/>
        <v/>
      </c>
      <c r="AA272" s="16" t="str">
        <f t="shared" si="184"/>
        <v/>
      </c>
      <c r="AB272" s="16" t="str">
        <f t="shared" si="185"/>
        <v/>
      </c>
      <c r="AC272" s="29" t="str">
        <f t="shared" si="189"/>
        <v/>
      </c>
      <c r="AD272" s="29" t="str">
        <f t="shared" si="190"/>
        <v/>
      </c>
      <c r="AE272" s="2"/>
      <c r="AF272" s="2"/>
      <c r="AG272" s="2"/>
      <c r="AH272" s="2"/>
      <c r="AI272" s="2"/>
      <c r="AJ272" s="2"/>
      <c r="AK272" s="2"/>
      <c r="AL272" s="2"/>
      <c r="AM272" s="2"/>
      <c r="AN272" s="2"/>
      <c r="AO272" s="2"/>
      <c r="AP272" s="2"/>
      <c r="AQ272" s="2"/>
    </row>
    <row r="273" spans="4:43" x14ac:dyDescent="0.25">
      <c r="D273" s="54"/>
      <c r="E273" s="54"/>
      <c r="F273" s="54"/>
      <c r="G273" s="54"/>
      <c r="H273" s="54"/>
      <c r="I273" s="54"/>
      <c r="J273" s="2"/>
      <c r="K273" s="2"/>
      <c r="L273" s="2"/>
      <c r="M273" s="2"/>
      <c r="N273" s="2"/>
      <c r="O273" s="2"/>
      <c r="P273" s="2"/>
      <c r="Q273" s="2"/>
      <c r="R273" s="2"/>
      <c r="S273" s="2"/>
      <c r="T273" s="2"/>
      <c r="U273" s="264">
        <v>269</v>
      </c>
      <c r="V273" s="16" t="str">
        <f t="shared" si="182"/>
        <v/>
      </c>
      <c r="W273" s="16" t="str">
        <f t="shared" si="183"/>
        <v/>
      </c>
      <c r="X273" s="16" t="str">
        <f t="shared" si="186"/>
        <v/>
      </c>
      <c r="Y273" s="16" t="str">
        <f t="shared" si="187"/>
        <v/>
      </c>
      <c r="Z273" s="16" t="str">
        <f t="shared" si="188"/>
        <v/>
      </c>
      <c r="AA273" s="16" t="str">
        <f t="shared" si="184"/>
        <v/>
      </c>
      <c r="AB273" s="16" t="str">
        <f t="shared" si="185"/>
        <v/>
      </c>
      <c r="AC273" s="29" t="str">
        <f t="shared" si="189"/>
        <v/>
      </c>
      <c r="AD273" s="29" t="str">
        <f t="shared" si="190"/>
        <v/>
      </c>
      <c r="AE273" s="2"/>
      <c r="AF273" s="2"/>
      <c r="AG273" s="2"/>
      <c r="AH273" s="2"/>
      <c r="AI273" s="2"/>
      <c r="AJ273" s="2"/>
      <c r="AK273" s="2"/>
      <c r="AL273" s="2"/>
      <c r="AM273" s="2"/>
      <c r="AN273" s="2"/>
      <c r="AO273" s="2"/>
      <c r="AP273" s="2"/>
      <c r="AQ273" s="2"/>
    </row>
    <row r="274" spans="4:43" x14ac:dyDescent="0.25">
      <c r="D274" s="54"/>
      <c r="E274" s="54"/>
      <c r="F274" s="54"/>
      <c r="G274" s="54"/>
      <c r="H274" s="54"/>
      <c r="I274" s="54"/>
      <c r="J274" s="2"/>
      <c r="K274" s="2"/>
      <c r="L274" s="2"/>
      <c r="M274" s="2"/>
      <c r="N274" s="2"/>
      <c r="O274" s="2"/>
      <c r="P274" s="2"/>
      <c r="Q274" s="2"/>
      <c r="R274" s="2"/>
      <c r="S274" s="2"/>
      <c r="T274" s="2"/>
      <c r="U274" s="264">
        <v>270</v>
      </c>
      <c r="V274" s="16" t="str">
        <f t="shared" si="182"/>
        <v/>
      </c>
      <c r="W274" s="16" t="str">
        <f t="shared" si="183"/>
        <v/>
      </c>
      <c r="X274" s="16" t="str">
        <f t="shared" si="186"/>
        <v/>
      </c>
      <c r="Y274" s="16" t="str">
        <f t="shared" si="187"/>
        <v/>
      </c>
      <c r="Z274" s="16" t="str">
        <f t="shared" si="188"/>
        <v/>
      </c>
      <c r="AA274" s="16" t="str">
        <f t="shared" si="184"/>
        <v/>
      </c>
      <c r="AB274" s="16" t="str">
        <f t="shared" si="185"/>
        <v/>
      </c>
      <c r="AC274" s="29" t="str">
        <f t="shared" si="189"/>
        <v/>
      </c>
      <c r="AD274" s="29" t="str">
        <f t="shared" si="190"/>
        <v/>
      </c>
      <c r="AE274" s="2"/>
      <c r="AF274" s="2"/>
      <c r="AG274" s="2"/>
      <c r="AH274" s="2"/>
      <c r="AI274" s="2"/>
      <c r="AJ274" s="2"/>
      <c r="AK274" s="2"/>
      <c r="AL274" s="2"/>
      <c r="AM274" s="2"/>
      <c r="AN274" s="2"/>
      <c r="AO274" s="2"/>
      <c r="AP274" s="2"/>
      <c r="AQ274" s="2"/>
    </row>
    <row r="275" spans="4:43" x14ac:dyDescent="0.25">
      <c r="D275" s="54"/>
      <c r="E275" s="54"/>
      <c r="F275" s="54"/>
      <c r="G275" s="54"/>
      <c r="H275" s="54"/>
      <c r="I275" s="54"/>
      <c r="J275" s="2"/>
      <c r="K275" s="2"/>
      <c r="L275" s="2"/>
      <c r="M275" s="2"/>
      <c r="N275" s="2"/>
      <c r="O275" s="2"/>
      <c r="P275" s="2"/>
      <c r="Q275" s="2"/>
      <c r="R275" s="2"/>
      <c r="S275" s="2"/>
      <c r="T275" s="2"/>
      <c r="U275" s="264">
        <v>271</v>
      </c>
      <c r="V275" s="16" t="str">
        <f t="shared" si="182"/>
        <v/>
      </c>
      <c r="W275" s="16" t="str">
        <f t="shared" si="183"/>
        <v/>
      </c>
      <c r="X275" s="16" t="str">
        <f t="shared" si="186"/>
        <v/>
      </c>
      <c r="Y275" s="16" t="str">
        <f t="shared" si="187"/>
        <v/>
      </c>
      <c r="Z275" s="16" t="str">
        <f t="shared" si="188"/>
        <v/>
      </c>
      <c r="AA275" s="16" t="str">
        <f t="shared" si="184"/>
        <v/>
      </c>
      <c r="AB275" s="16" t="str">
        <f t="shared" si="185"/>
        <v/>
      </c>
      <c r="AC275" s="29" t="str">
        <f t="shared" si="189"/>
        <v/>
      </c>
      <c r="AD275" s="29" t="str">
        <f t="shared" si="190"/>
        <v/>
      </c>
      <c r="AE275" s="2"/>
      <c r="AF275" s="2"/>
      <c r="AG275" s="2"/>
      <c r="AH275" s="2"/>
      <c r="AI275" s="2"/>
      <c r="AJ275" s="2"/>
      <c r="AK275" s="2"/>
      <c r="AL275" s="2"/>
      <c r="AM275" s="2"/>
      <c r="AN275" s="2"/>
      <c r="AO275" s="2"/>
      <c r="AP275" s="2"/>
      <c r="AQ275" s="2"/>
    </row>
    <row r="276" spans="4:43" x14ac:dyDescent="0.25">
      <c r="D276" s="54"/>
      <c r="E276" s="54"/>
      <c r="F276" s="54"/>
      <c r="G276" s="54"/>
      <c r="H276" s="54"/>
      <c r="I276" s="54"/>
      <c r="J276" s="2"/>
      <c r="K276" s="2"/>
      <c r="L276" s="2"/>
      <c r="M276" s="2"/>
      <c r="N276" s="2"/>
      <c r="O276" s="2"/>
      <c r="P276" s="2"/>
      <c r="Q276" s="2"/>
      <c r="R276" s="2"/>
      <c r="S276" s="2"/>
      <c r="T276" s="2"/>
      <c r="U276" s="264">
        <v>272</v>
      </c>
      <c r="V276" s="16" t="str">
        <f t="shared" si="182"/>
        <v/>
      </c>
      <c r="W276" s="16" t="str">
        <f t="shared" si="183"/>
        <v/>
      </c>
      <c r="X276" s="16" t="str">
        <f t="shared" si="186"/>
        <v/>
      </c>
      <c r="Y276" s="16" t="str">
        <f t="shared" si="187"/>
        <v/>
      </c>
      <c r="Z276" s="16" t="str">
        <f t="shared" si="188"/>
        <v/>
      </c>
      <c r="AA276" s="16" t="str">
        <f t="shared" si="184"/>
        <v/>
      </c>
      <c r="AB276" s="16" t="str">
        <f t="shared" si="185"/>
        <v/>
      </c>
      <c r="AC276" s="29" t="str">
        <f t="shared" si="189"/>
        <v/>
      </c>
      <c r="AD276" s="29" t="str">
        <f t="shared" si="190"/>
        <v/>
      </c>
      <c r="AE276" s="2"/>
      <c r="AF276" s="2"/>
      <c r="AG276" s="2"/>
      <c r="AH276" s="2"/>
      <c r="AI276" s="2"/>
      <c r="AJ276" s="2"/>
      <c r="AK276" s="2"/>
      <c r="AL276" s="2"/>
      <c r="AM276" s="2"/>
      <c r="AN276" s="2"/>
      <c r="AO276" s="2"/>
      <c r="AP276" s="2"/>
      <c r="AQ276" s="2"/>
    </row>
    <row r="277" spans="4:43" x14ac:dyDescent="0.25">
      <c r="D277" s="54"/>
      <c r="E277" s="54"/>
      <c r="F277" s="54"/>
      <c r="G277" s="54"/>
      <c r="H277" s="54"/>
      <c r="I277" s="54"/>
      <c r="J277" s="2"/>
      <c r="K277" s="2"/>
      <c r="L277" s="2"/>
      <c r="M277" s="2"/>
      <c r="N277" s="2"/>
      <c r="O277" s="2"/>
      <c r="P277" s="2"/>
      <c r="Q277" s="2"/>
      <c r="R277" s="2"/>
      <c r="S277" s="2"/>
      <c r="T277" s="2"/>
      <c r="U277" s="264">
        <v>273</v>
      </c>
      <c r="V277" s="16" t="str">
        <f t="shared" si="182"/>
        <v/>
      </c>
      <c r="W277" s="16" t="str">
        <f t="shared" si="183"/>
        <v/>
      </c>
      <c r="X277" s="16" t="str">
        <f t="shared" si="186"/>
        <v/>
      </c>
      <c r="Y277" s="16" t="str">
        <f t="shared" si="187"/>
        <v/>
      </c>
      <c r="Z277" s="16" t="str">
        <f t="shared" si="188"/>
        <v/>
      </c>
      <c r="AA277" s="16" t="str">
        <f t="shared" si="184"/>
        <v/>
      </c>
      <c r="AB277" s="16" t="str">
        <f t="shared" si="185"/>
        <v/>
      </c>
      <c r="AC277" s="29" t="str">
        <f t="shared" si="189"/>
        <v/>
      </c>
      <c r="AD277" s="29" t="str">
        <f t="shared" si="190"/>
        <v/>
      </c>
      <c r="AE277" s="2"/>
      <c r="AF277" s="2"/>
      <c r="AG277" s="2"/>
      <c r="AH277" s="2"/>
      <c r="AI277" s="2"/>
      <c r="AJ277" s="2"/>
      <c r="AK277" s="2"/>
      <c r="AL277" s="2"/>
      <c r="AM277" s="2"/>
      <c r="AN277" s="2"/>
      <c r="AO277" s="2"/>
      <c r="AP277" s="2"/>
      <c r="AQ277" s="2"/>
    </row>
    <row r="278" spans="4:43" x14ac:dyDescent="0.25">
      <c r="D278" s="54"/>
      <c r="E278" s="54"/>
      <c r="F278" s="54"/>
      <c r="G278" s="54"/>
      <c r="H278" s="54"/>
      <c r="I278" s="54"/>
      <c r="J278" s="2"/>
      <c r="K278" s="2"/>
      <c r="L278" s="2"/>
      <c r="M278" s="2"/>
      <c r="N278" s="2"/>
      <c r="O278" s="2"/>
      <c r="P278" s="2"/>
      <c r="Q278" s="2"/>
      <c r="R278" s="2"/>
      <c r="S278" s="2"/>
      <c r="T278" s="2"/>
      <c r="U278" s="264">
        <v>274</v>
      </c>
      <c r="V278" s="16" t="str">
        <f t="shared" si="182"/>
        <v/>
      </c>
      <c r="W278" s="16" t="str">
        <f t="shared" si="183"/>
        <v/>
      </c>
      <c r="X278" s="16" t="str">
        <f t="shared" si="186"/>
        <v/>
      </c>
      <c r="Y278" s="16" t="str">
        <f t="shared" si="187"/>
        <v/>
      </c>
      <c r="Z278" s="16" t="str">
        <f t="shared" si="188"/>
        <v/>
      </c>
      <c r="AA278" s="16" t="str">
        <f t="shared" si="184"/>
        <v/>
      </c>
      <c r="AB278" s="16" t="str">
        <f t="shared" si="185"/>
        <v/>
      </c>
      <c r="AC278" s="29" t="str">
        <f t="shared" si="189"/>
        <v/>
      </c>
      <c r="AD278" s="29" t="str">
        <f t="shared" si="190"/>
        <v/>
      </c>
      <c r="AE278" s="2"/>
      <c r="AF278" s="2"/>
      <c r="AG278" s="2"/>
      <c r="AH278" s="2"/>
      <c r="AI278" s="2"/>
      <c r="AJ278" s="2"/>
      <c r="AK278" s="2"/>
      <c r="AL278" s="2"/>
      <c r="AM278" s="2"/>
      <c r="AN278" s="2"/>
      <c r="AO278" s="2"/>
      <c r="AP278" s="2"/>
      <c r="AQ278" s="2"/>
    </row>
    <row r="279" spans="4:43" x14ac:dyDescent="0.25">
      <c r="D279" s="54"/>
      <c r="E279" s="54"/>
      <c r="F279" s="54"/>
      <c r="G279" s="54"/>
      <c r="H279" s="54"/>
      <c r="I279" s="54"/>
      <c r="J279" s="2"/>
      <c r="K279" s="2"/>
      <c r="L279" s="2"/>
      <c r="M279" s="2"/>
      <c r="N279" s="2"/>
      <c r="O279" s="2"/>
      <c r="P279" s="2"/>
      <c r="Q279" s="2"/>
      <c r="R279" s="2"/>
      <c r="S279" s="2"/>
      <c r="T279" s="2"/>
      <c r="U279" s="264">
        <v>275</v>
      </c>
      <c r="V279" s="16" t="str">
        <f t="shared" si="182"/>
        <v/>
      </c>
      <c r="W279" s="16" t="str">
        <f t="shared" si="183"/>
        <v/>
      </c>
      <c r="X279" s="16" t="str">
        <f t="shared" si="186"/>
        <v/>
      </c>
      <c r="Y279" s="16" t="str">
        <f t="shared" si="187"/>
        <v/>
      </c>
      <c r="Z279" s="16" t="str">
        <f t="shared" si="188"/>
        <v/>
      </c>
      <c r="AA279" s="16" t="str">
        <f t="shared" si="184"/>
        <v/>
      </c>
      <c r="AB279" s="16" t="str">
        <f t="shared" si="185"/>
        <v/>
      </c>
      <c r="AC279" s="29" t="str">
        <f t="shared" si="189"/>
        <v/>
      </c>
      <c r="AD279" s="29" t="str">
        <f t="shared" si="190"/>
        <v/>
      </c>
      <c r="AE279" s="2"/>
      <c r="AF279" s="2"/>
      <c r="AG279" s="2"/>
      <c r="AH279" s="2"/>
      <c r="AI279" s="2"/>
      <c r="AJ279" s="2"/>
      <c r="AK279" s="2"/>
      <c r="AL279" s="2"/>
      <c r="AM279" s="2"/>
      <c r="AN279" s="2"/>
      <c r="AO279" s="2"/>
      <c r="AP279" s="2"/>
      <c r="AQ279" s="2"/>
    </row>
    <row r="280" spans="4:43" x14ac:dyDescent="0.25">
      <c r="D280" s="54"/>
      <c r="E280" s="54"/>
      <c r="F280" s="54"/>
      <c r="G280" s="54"/>
      <c r="H280" s="54"/>
      <c r="I280" s="54"/>
      <c r="J280" s="2"/>
      <c r="K280" s="2"/>
      <c r="L280" s="2"/>
      <c r="M280" s="2"/>
      <c r="N280" s="2"/>
      <c r="O280" s="2"/>
      <c r="P280" s="2"/>
      <c r="Q280" s="2"/>
      <c r="R280" s="2"/>
      <c r="S280" s="2"/>
      <c r="T280" s="2"/>
      <c r="U280" s="264">
        <v>276</v>
      </c>
      <c r="V280" s="16" t="str">
        <f t="shared" si="182"/>
        <v/>
      </c>
      <c r="W280" s="16" t="str">
        <f t="shared" si="183"/>
        <v/>
      </c>
      <c r="X280" s="16" t="str">
        <f t="shared" si="186"/>
        <v/>
      </c>
      <c r="Y280" s="16" t="str">
        <f t="shared" si="187"/>
        <v/>
      </c>
      <c r="Z280" s="16" t="str">
        <f t="shared" si="188"/>
        <v/>
      </c>
      <c r="AA280" s="16" t="str">
        <f t="shared" si="184"/>
        <v/>
      </c>
      <c r="AB280" s="16" t="str">
        <f t="shared" si="185"/>
        <v/>
      </c>
      <c r="AC280" s="29" t="str">
        <f t="shared" si="189"/>
        <v/>
      </c>
      <c r="AD280" s="29" t="str">
        <f t="shared" si="190"/>
        <v/>
      </c>
      <c r="AE280" s="2"/>
      <c r="AF280" s="2"/>
      <c r="AG280" s="2"/>
      <c r="AH280" s="2"/>
      <c r="AI280" s="2"/>
      <c r="AJ280" s="2"/>
      <c r="AK280" s="2"/>
      <c r="AL280" s="2"/>
      <c r="AM280" s="2"/>
      <c r="AN280" s="2"/>
      <c r="AO280" s="2"/>
      <c r="AP280" s="2"/>
      <c r="AQ280" s="2"/>
    </row>
    <row r="281" spans="4:43" x14ac:dyDescent="0.25">
      <c r="D281" s="54"/>
      <c r="E281" s="54"/>
      <c r="F281" s="54"/>
      <c r="G281" s="54"/>
      <c r="H281" s="54"/>
      <c r="I281" s="54"/>
      <c r="J281" s="2"/>
      <c r="K281" s="2"/>
      <c r="L281" s="2"/>
      <c r="M281" s="2"/>
      <c r="N281" s="2"/>
      <c r="O281" s="2"/>
      <c r="P281" s="2"/>
      <c r="Q281" s="2"/>
      <c r="R281" s="2"/>
      <c r="S281" s="2"/>
      <c r="T281" s="2"/>
      <c r="U281" s="264">
        <v>277</v>
      </c>
      <c r="V281" s="16" t="str">
        <f t="shared" si="182"/>
        <v/>
      </c>
      <c r="W281" s="16" t="str">
        <f t="shared" si="183"/>
        <v/>
      </c>
      <c r="X281" s="16" t="str">
        <f t="shared" si="186"/>
        <v/>
      </c>
      <c r="Y281" s="16" t="str">
        <f t="shared" si="187"/>
        <v/>
      </c>
      <c r="Z281" s="16" t="str">
        <f t="shared" si="188"/>
        <v/>
      </c>
      <c r="AA281" s="16" t="str">
        <f t="shared" si="184"/>
        <v/>
      </c>
      <c r="AB281" s="16" t="str">
        <f t="shared" si="185"/>
        <v/>
      </c>
      <c r="AC281" s="29" t="str">
        <f t="shared" si="189"/>
        <v/>
      </c>
      <c r="AD281" s="29" t="str">
        <f t="shared" si="190"/>
        <v/>
      </c>
      <c r="AE281" s="2"/>
      <c r="AF281" s="2"/>
      <c r="AG281" s="2"/>
      <c r="AH281" s="2"/>
      <c r="AI281" s="2"/>
      <c r="AJ281" s="2"/>
      <c r="AK281" s="2"/>
      <c r="AL281" s="2"/>
      <c r="AM281" s="2"/>
      <c r="AN281" s="2"/>
      <c r="AO281" s="2"/>
      <c r="AP281" s="2"/>
      <c r="AQ281" s="2"/>
    </row>
    <row r="282" spans="4:43" x14ac:dyDescent="0.25">
      <c r="D282" s="54"/>
      <c r="E282" s="54"/>
      <c r="F282" s="54"/>
      <c r="G282" s="54"/>
      <c r="H282" s="54"/>
      <c r="I282" s="54"/>
      <c r="J282" s="2"/>
      <c r="K282" s="2"/>
      <c r="L282" s="2"/>
      <c r="M282" s="2"/>
      <c r="N282" s="2"/>
      <c r="O282" s="2"/>
      <c r="P282" s="2"/>
      <c r="Q282" s="2"/>
      <c r="R282" s="2"/>
      <c r="S282" s="2"/>
      <c r="T282" s="2"/>
      <c r="U282" s="264">
        <v>278</v>
      </c>
      <c r="V282" s="16" t="str">
        <f t="shared" si="182"/>
        <v/>
      </c>
      <c r="W282" s="16" t="str">
        <f t="shared" si="183"/>
        <v/>
      </c>
      <c r="X282" s="16" t="str">
        <f t="shared" si="186"/>
        <v/>
      </c>
      <c r="Y282" s="16" t="str">
        <f t="shared" si="187"/>
        <v/>
      </c>
      <c r="Z282" s="16" t="str">
        <f t="shared" si="188"/>
        <v/>
      </c>
      <c r="AA282" s="16" t="str">
        <f t="shared" si="184"/>
        <v/>
      </c>
      <c r="AB282" s="16" t="str">
        <f t="shared" si="185"/>
        <v/>
      </c>
      <c r="AC282" s="29" t="str">
        <f t="shared" si="189"/>
        <v/>
      </c>
      <c r="AD282" s="29" t="str">
        <f t="shared" si="190"/>
        <v/>
      </c>
      <c r="AE282" s="2"/>
      <c r="AF282" s="2"/>
      <c r="AG282" s="2"/>
      <c r="AH282" s="2"/>
      <c r="AI282" s="2"/>
      <c r="AJ282" s="2"/>
      <c r="AK282" s="2"/>
      <c r="AL282" s="2"/>
      <c r="AM282" s="2"/>
      <c r="AN282" s="2"/>
      <c r="AO282" s="2"/>
      <c r="AP282" s="2"/>
      <c r="AQ282" s="2"/>
    </row>
    <row r="283" spans="4:43" x14ac:dyDescent="0.25">
      <c r="D283" s="54"/>
      <c r="E283" s="54"/>
      <c r="F283" s="54"/>
      <c r="G283" s="54"/>
      <c r="H283" s="54"/>
      <c r="I283" s="54"/>
      <c r="J283" s="2"/>
      <c r="K283" s="2"/>
      <c r="L283" s="2"/>
      <c r="M283" s="2"/>
      <c r="N283" s="2"/>
      <c r="O283" s="2"/>
      <c r="P283" s="2"/>
      <c r="Q283" s="2"/>
      <c r="R283" s="2"/>
      <c r="S283" s="2"/>
      <c r="T283" s="2"/>
      <c r="U283" s="264">
        <v>279</v>
      </c>
      <c r="V283" s="16" t="str">
        <f t="shared" si="182"/>
        <v/>
      </c>
      <c r="W283" s="16" t="str">
        <f t="shared" si="183"/>
        <v/>
      </c>
      <c r="X283" s="16" t="str">
        <f t="shared" si="186"/>
        <v/>
      </c>
      <c r="Y283" s="16" t="str">
        <f t="shared" si="187"/>
        <v/>
      </c>
      <c r="Z283" s="16" t="str">
        <f t="shared" si="188"/>
        <v/>
      </c>
      <c r="AA283" s="16" t="str">
        <f t="shared" si="184"/>
        <v/>
      </c>
      <c r="AB283" s="16" t="str">
        <f t="shared" si="185"/>
        <v/>
      </c>
      <c r="AC283" s="29" t="str">
        <f t="shared" si="189"/>
        <v/>
      </c>
      <c r="AD283" s="29" t="str">
        <f t="shared" si="190"/>
        <v/>
      </c>
      <c r="AE283" s="2"/>
      <c r="AF283" s="2"/>
      <c r="AG283" s="2"/>
      <c r="AH283" s="2"/>
      <c r="AI283" s="2"/>
      <c r="AJ283" s="2"/>
      <c r="AK283" s="2"/>
      <c r="AL283" s="2"/>
      <c r="AM283" s="2"/>
      <c r="AN283" s="2"/>
      <c r="AO283" s="2"/>
      <c r="AP283" s="2"/>
      <c r="AQ283" s="2"/>
    </row>
    <row r="284" spans="4:43" x14ac:dyDescent="0.25">
      <c r="D284" s="54"/>
      <c r="E284" s="54"/>
      <c r="F284" s="54"/>
      <c r="G284" s="54"/>
      <c r="H284" s="54"/>
      <c r="I284" s="54"/>
      <c r="J284" s="2"/>
      <c r="K284" s="2"/>
      <c r="L284" s="2"/>
      <c r="M284" s="2"/>
      <c r="N284" s="2"/>
      <c r="O284" s="2"/>
      <c r="P284" s="2"/>
      <c r="Q284" s="2"/>
      <c r="R284" s="2"/>
      <c r="S284" s="2"/>
      <c r="T284" s="2"/>
      <c r="U284" s="264">
        <v>280</v>
      </c>
      <c r="V284" s="16" t="str">
        <f t="shared" si="182"/>
        <v/>
      </c>
      <c r="W284" s="16" t="str">
        <f t="shared" si="183"/>
        <v/>
      </c>
      <c r="X284" s="16" t="str">
        <f t="shared" si="186"/>
        <v/>
      </c>
      <c r="Y284" s="16" t="str">
        <f t="shared" si="187"/>
        <v/>
      </c>
      <c r="Z284" s="16" t="str">
        <f t="shared" si="188"/>
        <v/>
      </c>
      <c r="AA284" s="16" t="str">
        <f t="shared" si="184"/>
        <v/>
      </c>
      <c r="AB284" s="16" t="str">
        <f t="shared" si="185"/>
        <v/>
      </c>
      <c r="AC284" s="29" t="str">
        <f t="shared" si="189"/>
        <v/>
      </c>
      <c r="AD284" s="29" t="str">
        <f t="shared" si="190"/>
        <v/>
      </c>
      <c r="AE284" s="2"/>
      <c r="AF284" s="2"/>
      <c r="AG284" s="2"/>
      <c r="AH284" s="2"/>
      <c r="AI284" s="2"/>
      <c r="AJ284" s="2"/>
      <c r="AK284" s="2"/>
      <c r="AL284" s="2"/>
      <c r="AM284" s="2"/>
      <c r="AN284" s="2"/>
      <c r="AO284" s="2"/>
      <c r="AP284" s="2"/>
      <c r="AQ284" s="2"/>
    </row>
    <row r="285" spans="4:43" x14ac:dyDescent="0.25">
      <c r="D285" s="54"/>
      <c r="E285" s="54"/>
      <c r="F285" s="54"/>
      <c r="G285" s="54"/>
      <c r="H285" s="54"/>
      <c r="I285" s="54"/>
      <c r="J285" s="2"/>
      <c r="K285" s="2"/>
      <c r="L285" s="2"/>
      <c r="M285" s="2"/>
      <c r="N285" s="2"/>
      <c r="O285" s="2"/>
      <c r="P285" s="2"/>
      <c r="Q285" s="2"/>
      <c r="R285" s="2"/>
      <c r="S285" s="2"/>
      <c r="T285" s="2"/>
      <c r="U285" s="264">
        <v>281</v>
      </c>
      <c r="V285" s="16" t="str">
        <f t="shared" si="182"/>
        <v/>
      </c>
      <c r="W285" s="16" t="str">
        <f t="shared" si="183"/>
        <v/>
      </c>
      <c r="X285" s="16" t="str">
        <f t="shared" si="186"/>
        <v/>
      </c>
      <c r="Y285" s="16" t="str">
        <f t="shared" si="187"/>
        <v/>
      </c>
      <c r="Z285" s="16" t="str">
        <f t="shared" si="188"/>
        <v/>
      </c>
      <c r="AA285" s="16" t="str">
        <f t="shared" si="184"/>
        <v/>
      </c>
      <c r="AB285" s="16" t="str">
        <f t="shared" si="185"/>
        <v/>
      </c>
      <c r="AC285" s="29" t="str">
        <f t="shared" si="189"/>
        <v/>
      </c>
      <c r="AD285" s="29" t="str">
        <f t="shared" si="190"/>
        <v/>
      </c>
      <c r="AE285" s="2"/>
      <c r="AF285" s="2"/>
      <c r="AG285" s="2"/>
      <c r="AH285" s="2"/>
      <c r="AI285" s="2"/>
      <c r="AJ285" s="2"/>
      <c r="AK285" s="2"/>
      <c r="AL285" s="2"/>
      <c r="AM285" s="2"/>
      <c r="AN285" s="2"/>
      <c r="AO285" s="2"/>
      <c r="AP285" s="2"/>
      <c r="AQ285" s="2"/>
    </row>
    <row r="286" spans="4:43" x14ac:dyDescent="0.25">
      <c r="D286" s="54"/>
      <c r="E286" s="54"/>
      <c r="F286" s="54"/>
      <c r="G286" s="54"/>
      <c r="H286" s="54"/>
      <c r="I286" s="54"/>
      <c r="J286" s="2"/>
      <c r="K286" s="2"/>
      <c r="L286" s="2"/>
      <c r="M286" s="2"/>
      <c r="N286" s="2"/>
      <c r="O286" s="2"/>
      <c r="P286" s="2"/>
      <c r="Q286" s="2"/>
      <c r="R286" s="2"/>
      <c r="S286" s="2"/>
      <c r="T286" s="2"/>
      <c r="U286" s="264">
        <v>282</v>
      </c>
      <c r="V286" s="16" t="str">
        <f t="shared" si="182"/>
        <v/>
      </c>
      <c r="W286" s="16" t="str">
        <f t="shared" si="183"/>
        <v/>
      </c>
      <c r="X286" s="16" t="str">
        <f t="shared" si="186"/>
        <v/>
      </c>
      <c r="Y286" s="16" t="str">
        <f t="shared" si="187"/>
        <v/>
      </c>
      <c r="Z286" s="16" t="str">
        <f t="shared" si="188"/>
        <v/>
      </c>
      <c r="AA286" s="16" t="str">
        <f t="shared" si="184"/>
        <v/>
      </c>
      <c r="AB286" s="16" t="str">
        <f t="shared" si="185"/>
        <v/>
      </c>
      <c r="AC286" s="29" t="str">
        <f t="shared" si="189"/>
        <v/>
      </c>
      <c r="AD286" s="29" t="str">
        <f t="shared" si="190"/>
        <v/>
      </c>
      <c r="AE286" s="2"/>
      <c r="AF286" s="2"/>
      <c r="AG286" s="2"/>
      <c r="AH286" s="2"/>
      <c r="AI286" s="2"/>
      <c r="AJ286" s="2"/>
      <c r="AK286" s="2"/>
      <c r="AL286" s="2"/>
      <c r="AM286" s="2"/>
      <c r="AN286" s="2"/>
      <c r="AO286" s="2"/>
      <c r="AP286" s="2"/>
      <c r="AQ286" s="2"/>
    </row>
    <row r="287" spans="4:43" x14ac:dyDescent="0.25">
      <c r="D287" s="54"/>
      <c r="E287" s="54"/>
      <c r="F287" s="54"/>
      <c r="G287" s="54"/>
      <c r="H287" s="54"/>
      <c r="I287" s="54"/>
      <c r="J287" s="2"/>
      <c r="K287" s="2"/>
      <c r="L287" s="2"/>
      <c r="M287" s="2"/>
      <c r="N287" s="2"/>
      <c r="O287" s="2"/>
      <c r="P287" s="2"/>
      <c r="Q287" s="2"/>
      <c r="R287" s="2"/>
      <c r="S287" s="2"/>
      <c r="T287" s="2"/>
      <c r="U287" s="264">
        <v>283</v>
      </c>
      <c r="V287" s="16" t="str">
        <f t="shared" ref="V287:V304" si="191">IF($C$9&gt;=$U287,$R45+0.000001-$V$310,"")</f>
        <v/>
      </c>
      <c r="W287" s="16" t="str">
        <f t="shared" ref="W287:W304" si="192">IF($C$9&gt;=$U287,$Q45+0.000001-$V$309,"")</f>
        <v/>
      </c>
      <c r="X287" s="16" t="str">
        <f t="shared" si="186"/>
        <v/>
      </c>
      <c r="Y287" s="16" t="str">
        <f t="shared" si="187"/>
        <v/>
      </c>
      <c r="Z287" s="16" t="str">
        <f t="shared" si="188"/>
        <v/>
      </c>
      <c r="AA287" s="16" t="str">
        <f t="shared" ref="AA287:AA304" si="193">IF($C$9&gt;=$U287,$Q45-$V$309,"")</f>
        <v/>
      </c>
      <c r="AB287" s="16" t="str">
        <f t="shared" ref="AB287:AB304" si="194">IF($C$9&gt;=$U287,$R45-$V$310,"")</f>
        <v/>
      </c>
      <c r="AC287" s="29" t="str">
        <f t="shared" si="189"/>
        <v/>
      </c>
      <c r="AD287" s="29" t="str">
        <f t="shared" si="190"/>
        <v/>
      </c>
      <c r="AE287" s="2"/>
      <c r="AF287" s="2"/>
      <c r="AG287" s="2"/>
      <c r="AH287" s="2"/>
      <c r="AI287" s="2"/>
      <c r="AJ287" s="2"/>
      <c r="AK287" s="2"/>
      <c r="AL287" s="2"/>
      <c r="AM287" s="2"/>
      <c r="AN287" s="2"/>
      <c r="AO287" s="2"/>
      <c r="AP287" s="2"/>
      <c r="AQ287" s="2"/>
    </row>
    <row r="288" spans="4:43" x14ac:dyDescent="0.25">
      <c r="D288" s="54"/>
      <c r="E288" s="54"/>
      <c r="F288" s="54"/>
      <c r="G288" s="54"/>
      <c r="H288" s="54"/>
      <c r="I288" s="54"/>
      <c r="J288" s="2"/>
      <c r="K288" s="2"/>
      <c r="L288" s="2"/>
      <c r="M288" s="2"/>
      <c r="N288" s="2"/>
      <c r="O288" s="2"/>
      <c r="P288" s="2"/>
      <c r="Q288" s="2"/>
      <c r="R288" s="2"/>
      <c r="S288" s="2"/>
      <c r="T288" s="2"/>
      <c r="U288" s="264">
        <v>284</v>
      </c>
      <c r="V288" s="16" t="str">
        <f t="shared" si="191"/>
        <v/>
      </c>
      <c r="W288" s="16" t="str">
        <f t="shared" si="192"/>
        <v/>
      </c>
      <c r="X288" s="16" t="str">
        <f t="shared" si="186"/>
        <v/>
      </c>
      <c r="Y288" s="16" t="str">
        <f t="shared" si="187"/>
        <v/>
      </c>
      <c r="Z288" s="16" t="str">
        <f t="shared" si="188"/>
        <v/>
      </c>
      <c r="AA288" s="16" t="str">
        <f t="shared" si="193"/>
        <v/>
      </c>
      <c r="AB288" s="16" t="str">
        <f t="shared" si="194"/>
        <v/>
      </c>
      <c r="AC288" s="29" t="str">
        <f t="shared" si="189"/>
        <v/>
      </c>
      <c r="AD288" s="29" t="str">
        <f t="shared" si="190"/>
        <v/>
      </c>
      <c r="AE288" s="2"/>
      <c r="AF288" s="2"/>
      <c r="AG288" s="2"/>
      <c r="AH288" s="2"/>
      <c r="AI288" s="2"/>
      <c r="AJ288" s="2"/>
      <c r="AK288" s="2"/>
      <c r="AL288" s="2"/>
      <c r="AM288" s="2"/>
      <c r="AN288" s="2"/>
      <c r="AO288" s="2"/>
      <c r="AP288" s="2"/>
      <c r="AQ288" s="2"/>
    </row>
    <row r="289" spans="4:43" x14ac:dyDescent="0.25">
      <c r="D289" s="54"/>
      <c r="E289" s="54"/>
      <c r="F289" s="54"/>
      <c r="G289" s="54"/>
      <c r="H289" s="54"/>
      <c r="I289" s="54"/>
      <c r="J289" s="2"/>
      <c r="K289" s="2"/>
      <c r="L289" s="2"/>
      <c r="M289" s="2"/>
      <c r="N289" s="2"/>
      <c r="O289" s="2"/>
      <c r="P289" s="2"/>
      <c r="Q289" s="2"/>
      <c r="R289" s="2"/>
      <c r="S289" s="2"/>
      <c r="T289" s="2"/>
      <c r="U289" s="264">
        <v>285</v>
      </c>
      <c r="V289" s="16" t="str">
        <f t="shared" si="191"/>
        <v/>
      </c>
      <c r="W289" s="16" t="str">
        <f t="shared" si="192"/>
        <v/>
      </c>
      <c r="X289" s="16" t="str">
        <f t="shared" si="186"/>
        <v/>
      </c>
      <c r="Y289" s="16" t="str">
        <f t="shared" si="187"/>
        <v/>
      </c>
      <c r="Z289" s="16" t="str">
        <f t="shared" si="188"/>
        <v/>
      </c>
      <c r="AA289" s="16" t="str">
        <f t="shared" si="193"/>
        <v/>
      </c>
      <c r="AB289" s="16" t="str">
        <f t="shared" si="194"/>
        <v/>
      </c>
      <c r="AC289" s="29" t="str">
        <f t="shared" si="189"/>
        <v/>
      </c>
      <c r="AD289" s="29" t="str">
        <f t="shared" si="190"/>
        <v/>
      </c>
      <c r="AE289" s="2"/>
      <c r="AF289" s="2"/>
      <c r="AG289" s="2"/>
      <c r="AH289" s="2"/>
      <c r="AI289" s="2"/>
      <c r="AJ289" s="2"/>
      <c r="AK289" s="2"/>
      <c r="AL289" s="2"/>
      <c r="AM289" s="2"/>
      <c r="AN289" s="2"/>
      <c r="AO289" s="2"/>
      <c r="AP289" s="2"/>
      <c r="AQ289" s="2"/>
    </row>
    <row r="290" spans="4:43" x14ac:dyDescent="0.25">
      <c r="D290" s="54"/>
      <c r="E290" s="54"/>
      <c r="F290" s="54"/>
      <c r="G290" s="54"/>
      <c r="H290" s="54"/>
      <c r="I290" s="54"/>
      <c r="J290" s="2"/>
      <c r="K290" s="2"/>
      <c r="L290" s="2"/>
      <c r="M290" s="2"/>
      <c r="N290" s="2"/>
      <c r="O290" s="2"/>
      <c r="P290" s="2"/>
      <c r="Q290" s="2"/>
      <c r="R290" s="2"/>
      <c r="S290" s="2"/>
      <c r="T290" s="2"/>
      <c r="U290" s="264">
        <v>286</v>
      </c>
      <c r="V290" s="16" t="str">
        <f t="shared" si="191"/>
        <v/>
      </c>
      <c r="W290" s="16" t="str">
        <f t="shared" si="192"/>
        <v/>
      </c>
      <c r="X290" s="16" t="str">
        <f t="shared" si="186"/>
        <v/>
      </c>
      <c r="Y290" s="16" t="str">
        <f t="shared" si="187"/>
        <v/>
      </c>
      <c r="Z290" s="16" t="str">
        <f t="shared" si="188"/>
        <v/>
      </c>
      <c r="AA290" s="16" t="str">
        <f t="shared" si="193"/>
        <v/>
      </c>
      <c r="AB290" s="16" t="str">
        <f t="shared" si="194"/>
        <v/>
      </c>
      <c r="AC290" s="29" t="str">
        <f t="shared" si="189"/>
        <v/>
      </c>
      <c r="AD290" s="29" t="str">
        <f t="shared" si="190"/>
        <v/>
      </c>
      <c r="AE290" s="2"/>
      <c r="AF290" s="2"/>
      <c r="AG290" s="2"/>
      <c r="AH290" s="2"/>
      <c r="AI290" s="2"/>
      <c r="AJ290" s="2"/>
      <c r="AK290" s="2"/>
      <c r="AL290" s="2"/>
      <c r="AM290" s="2"/>
      <c r="AN290" s="2"/>
      <c r="AO290" s="2"/>
      <c r="AP290" s="2"/>
      <c r="AQ290" s="2"/>
    </row>
    <row r="291" spans="4:43" x14ac:dyDescent="0.25">
      <c r="D291" s="54"/>
      <c r="E291" s="54"/>
      <c r="F291" s="54"/>
      <c r="G291" s="54"/>
      <c r="H291" s="54"/>
      <c r="I291" s="54"/>
      <c r="J291" s="2"/>
      <c r="K291" s="2"/>
      <c r="L291" s="2"/>
      <c r="M291" s="2"/>
      <c r="N291" s="2"/>
      <c r="O291" s="2"/>
      <c r="P291" s="2"/>
      <c r="Q291" s="2"/>
      <c r="R291" s="2"/>
      <c r="S291" s="2"/>
      <c r="T291" s="2"/>
      <c r="U291" s="264">
        <v>287</v>
      </c>
      <c r="V291" s="16" t="str">
        <f t="shared" si="191"/>
        <v/>
      </c>
      <c r="W291" s="16" t="str">
        <f t="shared" si="192"/>
        <v/>
      </c>
      <c r="X291" s="16" t="str">
        <f t="shared" si="186"/>
        <v/>
      </c>
      <c r="Y291" s="16" t="str">
        <f t="shared" si="187"/>
        <v/>
      </c>
      <c r="Z291" s="16" t="str">
        <f t="shared" si="188"/>
        <v/>
      </c>
      <c r="AA291" s="16" t="str">
        <f t="shared" si="193"/>
        <v/>
      </c>
      <c r="AB291" s="16" t="str">
        <f t="shared" si="194"/>
        <v/>
      </c>
      <c r="AC291" s="29" t="str">
        <f t="shared" si="189"/>
        <v/>
      </c>
      <c r="AD291" s="29" t="str">
        <f t="shared" si="190"/>
        <v/>
      </c>
      <c r="AE291" s="2"/>
      <c r="AF291" s="2"/>
      <c r="AG291" s="2"/>
      <c r="AH291" s="2"/>
      <c r="AI291" s="2"/>
      <c r="AJ291" s="2"/>
      <c r="AK291" s="2"/>
      <c r="AL291" s="2"/>
      <c r="AM291" s="2"/>
      <c r="AN291" s="2"/>
      <c r="AO291" s="2"/>
      <c r="AP291" s="2"/>
      <c r="AQ291" s="2"/>
    </row>
    <row r="292" spans="4:43" x14ac:dyDescent="0.25">
      <c r="D292" s="54"/>
      <c r="E292" s="54"/>
      <c r="F292" s="54"/>
      <c r="G292" s="54"/>
      <c r="H292" s="54"/>
      <c r="I292" s="54"/>
      <c r="J292" s="2"/>
      <c r="K292" s="2"/>
      <c r="L292" s="2"/>
      <c r="M292" s="2"/>
      <c r="N292" s="2"/>
      <c r="O292" s="2"/>
      <c r="P292" s="2"/>
      <c r="Q292" s="2"/>
      <c r="R292" s="2"/>
      <c r="S292" s="2"/>
      <c r="T292" s="2"/>
      <c r="U292" s="264">
        <v>288</v>
      </c>
      <c r="V292" s="16" t="str">
        <f t="shared" si="191"/>
        <v/>
      </c>
      <c r="W292" s="16" t="str">
        <f t="shared" si="192"/>
        <v/>
      </c>
      <c r="X292" s="16" t="str">
        <f t="shared" si="186"/>
        <v/>
      </c>
      <c r="Y292" s="16" t="str">
        <f t="shared" si="187"/>
        <v/>
      </c>
      <c r="Z292" s="16" t="str">
        <f t="shared" si="188"/>
        <v/>
      </c>
      <c r="AA292" s="16" t="str">
        <f t="shared" si="193"/>
        <v/>
      </c>
      <c r="AB292" s="16" t="str">
        <f t="shared" si="194"/>
        <v/>
      </c>
      <c r="AC292" s="29" t="str">
        <f t="shared" si="189"/>
        <v/>
      </c>
      <c r="AD292" s="29" t="str">
        <f t="shared" si="190"/>
        <v/>
      </c>
      <c r="AE292" s="2"/>
      <c r="AF292" s="2"/>
      <c r="AG292" s="2"/>
      <c r="AH292" s="2"/>
      <c r="AI292" s="2"/>
      <c r="AJ292" s="2"/>
      <c r="AK292" s="2"/>
      <c r="AL292" s="2"/>
      <c r="AM292" s="2"/>
      <c r="AN292" s="2"/>
      <c r="AO292" s="2"/>
      <c r="AP292" s="2"/>
      <c r="AQ292" s="2"/>
    </row>
    <row r="293" spans="4:43" x14ac:dyDescent="0.25">
      <c r="D293" s="54"/>
      <c r="E293" s="54"/>
      <c r="F293" s="54"/>
      <c r="G293" s="54"/>
      <c r="H293" s="54"/>
      <c r="I293" s="54"/>
      <c r="J293" s="2"/>
      <c r="K293" s="2"/>
      <c r="L293" s="2"/>
      <c r="M293" s="2"/>
      <c r="N293" s="2"/>
      <c r="O293" s="2"/>
      <c r="P293" s="2"/>
      <c r="Q293" s="2"/>
      <c r="R293" s="2"/>
      <c r="S293" s="2"/>
      <c r="T293" s="2"/>
      <c r="U293" s="264">
        <v>289</v>
      </c>
      <c r="V293" s="16" t="str">
        <f t="shared" si="191"/>
        <v/>
      </c>
      <c r="W293" s="16" t="str">
        <f t="shared" si="192"/>
        <v/>
      </c>
      <c r="X293" s="16" t="str">
        <f t="shared" si="186"/>
        <v/>
      </c>
      <c r="Y293" s="16" t="str">
        <f t="shared" si="187"/>
        <v/>
      </c>
      <c r="Z293" s="16" t="str">
        <f t="shared" si="188"/>
        <v/>
      </c>
      <c r="AA293" s="16" t="str">
        <f t="shared" si="193"/>
        <v/>
      </c>
      <c r="AB293" s="16" t="str">
        <f t="shared" si="194"/>
        <v/>
      </c>
      <c r="AC293" s="29" t="str">
        <f t="shared" si="189"/>
        <v/>
      </c>
      <c r="AD293" s="29" t="str">
        <f t="shared" si="190"/>
        <v/>
      </c>
      <c r="AE293" s="2"/>
      <c r="AF293" s="2"/>
      <c r="AG293" s="2"/>
      <c r="AH293" s="2"/>
      <c r="AI293" s="2"/>
      <c r="AJ293" s="2"/>
      <c r="AK293" s="2"/>
      <c r="AL293" s="2"/>
      <c r="AM293" s="2"/>
      <c r="AN293" s="2"/>
      <c r="AO293" s="2"/>
      <c r="AP293" s="2"/>
      <c r="AQ293" s="2"/>
    </row>
    <row r="294" spans="4:43" x14ac:dyDescent="0.25">
      <c r="D294" s="54"/>
      <c r="E294" s="54"/>
      <c r="F294" s="54"/>
      <c r="G294" s="54"/>
      <c r="H294" s="54"/>
      <c r="I294" s="54"/>
      <c r="J294" s="2"/>
      <c r="K294" s="2"/>
      <c r="L294" s="2"/>
      <c r="M294" s="2"/>
      <c r="N294" s="2"/>
      <c r="O294" s="2"/>
      <c r="P294" s="2"/>
      <c r="Q294" s="2"/>
      <c r="R294" s="2"/>
      <c r="S294" s="2"/>
      <c r="T294" s="2"/>
      <c r="U294" s="264">
        <v>290</v>
      </c>
      <c r="V294" s="16" t="str">
        <f t="shared" si="191"/>
        <v/>
      </c>
      <c r="W294" s="16" t="str">
        <f t="shared" si="192"/>
        <v/>
      </c>
      <c r="X294" s="16" t="str">
        <f t="shared" si="186"/>
        <v/>
      </c>
      <c r="Y294" s="16" t="str">
        <f t="shared" si="187"/>
        <v/>
      </c>
      <c r="Z294" s="16" t="str">
        <f t="shared" si="188"/>
        <v/>
      </c>
      <c r="AA294" s="16" t="str">
        <f t="shared" si="193"/>
        <v/>
      </c>
      <c r="AB294" s="16" t="str">
        <f t="shared" si="194"/>
        <v/>
      </c>
      <c r="AC294" s="29" t="str">
        <f t="shared" si="189"/>
        <v/>
      </c>
      <c r="AD294" s="29" t="str">
        <f t="shared" si="190"/>
        <v/>
      </c>
      <c r="AE294" s="2"/>
      <c r="AF294" s="2"/>
      <c r="AG294" s="2"/>
      <c r="AH294" s="2"/>
      <c r="AI294" s="2"/>
      <c r="AJ294" s="2"/>
      <c r="AK294" s="2"/>
      <c r="AL294" s="2"/>
      <c r="AM294" s="2"/>
      <c r="AN294" s="2"/>
      <c r="AO294" s="2"/>
      <c r="AP294" s="2"/>
      <c r="AQ294" s="2"/>
    </row>
    <row r="295" spans="4:43" x14ac:dyDescent="0.25">
      <c r="D295" s="54"/>
      <c r="E295" s="54"/>
      <c r="F295" s="54"/>
      <c r="G295" s="54"/>
      <c r="H295" s="54"/>
      <c r="I295" s="54"/>
      <c r="J295" s="2"/>
      <c r="K295" s="2"/>
      <c r="L295" s="2"/>
      <c r="M295" s="2"/>
      <c r="N295" s="2"/>
      <c r="O295" s="2"/>
      <c r="P295" s="2"/>
      <c r="Q295" s="2"/>
      <c r="R295" s="2"/>
      <c r="S295" s="2"/>
      <c r="T295" s="2"/>
      <c r="U295" s="264">
        <v>291</v>
      </c>
      <c r="V295" s="16" t="str">
        <f t="shared" si="191"/>
        <v/>
      </c>
      <c r="W295" s="16" t="str">
        <f t="shared" si="192"/>
        <v/>
      </c>
      <c r="X295" s="16" t="str">
        <f t="shared" si="186"/>
        <v/>
      </c>
      <c r="Y295" s="16" t="str">
        <f t="shared" si="187"/>
        <v/>
      </c>
      <c r="Z295" s="16" t="str">
        <f t="shared" si="188"/>
        <v/>
      </c>
      <c r="AA295" s="16" t="str">
        <f t="shared" si="193"/>
        <v/>
      </c>
      <c r="AB295" s="16" t="str">
        <f t="shared" si="194"/>
        <v/>
      </c>
      <c r="AC295" s="29" t="str">
        <f t="shared" si="189"/>
        <v/>
      </c>
      <c r="AD295" s="29" t="str">
        <f t="shared" si="190"/>
        <v/>
      </c>
      <c r="AE295" s="2"/>
      <c r="AF295" s="2"/>
      <c r="AG295" s="2"/>
      <c r="AH295" s="2"/>
      <c r="AI295" s="2"/>
      <c r="AJ295" s="2"/>
      <c r="AK295" s="2"/>
      <c r="AL295" s="2"/>
      <c r="AM295" s="2"/>
      <c r="AN295" s="2"/>
      <c r="AO295" s="2"/>
      <c r="AP295" s="2"/>
      <c r="AQ295" s="2"/>
    </row>
    <row r="296" spans="4:43" x14ac:dyDescent="0.25">
      <c r="D296" s="54"/>
      <c r="E296" s="54"/>
      <c r="F296" s="54"/>
      <c r="G296" s="54"/>
      <c r="H296" s="54"/>
      <c r="I296" s="54"/>
      <c r="J296" s="2"/>
      <c r="K296" s="2"/>
      <c r="L296" s="2"/>
      <c r="M296" s="2"/>
      <c r="N296" s="2"/>
      <c r="O296" s="2"/>
      <c r="P296" s="2"/>
      <c r="Q296" s="2"/>
      <c r="R296" s="2"/>
      <c r="S296" s="2"/>
      <c r="T296" s="2"/>
      <c r="U296" s="264">
        <v>292</v>
      </c>
      <c r="V296" s="16" t="str">
        <f t="shared" si="191"/>
        <v/>
      </c>
      <c r="W296" s="16" t="str">
        <f t="shared" si="192"/>
        <v/>
      </c>
      <c r="X296" s="16" t="str">
        <f t="shared" si="186"/>
        <v/>
      </c>
      <c r="Y296" s="16" t="str">
        <f t="shared" si="187"/>
        <v/>
      </c>
      <c r="Z296" s="16" t="str">
        <f t="shared" si="188"/>
        <v/>
      </c>
      <c r="AA296" s="16" t="str">
        <f t="shared" si="193"/>
        <v/>
      </c>
      <c r="AB296" s="16" t="str">
        <f t="shared" si="194"/>
        <v/>
      </c>
      <c r="AC296" s="29" t="str">
        <f t="shared" si="189"/>
        <v/>
      </c>
      <c r="AD296" s="29" t="str">
        <f t="shared" si="190"/>
        <v/>
      </c>
      <c r="AE296" s="2"/>
      <c r="AF296" s="2"/>
      <c r="AG296" s="2"/>
      <c r="AH296" s="2"/>
      <c r="AI296" s="2"/>
      <c r="AJ296" s="2"/>
      <c r="AK296" s="2"/>
      <c r="AL296" s="2"/>
      <c r="AM296" s="2"/>
      <c r="AN296" s="2"/>
      <c r="AO296" s="2"/>
      <c r="AP296" s="2"/>
      <c r="AQ296" s="2"/>
    </row>
    <row r="297" spans="4:43" x14ac:dyDescent="0.25">
      <c r="D297" s="54"/>
      <c r="E297" s="54"/>
      <c r="F297" s="54"/>
      <c r="G297" s="54"/>
      <c r="H297" s="54"/>
      <c r="I297" s="54"/>
      <c r="J297" s="2"/>
      <c r="K297" s="2"/>
      <c r="L297" s="2"/>
      <c r="M297" s="2"/>
      <c r="N297" s="2"/>
      <c r="O297" s="2"/>
      <c r="P297" s="2"/>
      <c r="Q297" s="2"/>
      <c r="R297" s="2"/>
      <c r="S297" s="2"/>
      <c r="T297" s="2"/>
      <c r="U297" s="264">
        <v>293</v>
      </c>
      <c r="V297" s="16" t="str">
        <f t="shared" si="191"/>
        <v/>
      </c>
      <c r="W297" s="16" t="str">
        <f t="shared" si="192"/>
        <v/>
      </c>
      <c r="X297" s="16" t="str">
        <f t="shared" si="186"/>
        <v/>
      </c>
      <c r="Y297" s="16" t="str">
        <f t="shared" si="187"/>
        <v/>
      </c>
      <c r="Z297" s="16" t="str">
        <f t="shared" si="188"/>
        <v/>
      </c>
      <c r="AA297" s="16" t="str">
        <f t="shared" si="193"/>
        <v/>
      </c>
      <c r="AB297" s="16" t="str">
        <f t="shared" si="194"/>
        <v/>
      </c>
      <c r="AC297" s="29" t="str">
        <f t="shared" si="189"/>
        <v/>
      </c>
      <c r="AD297" s="29" t="str">
        <f t="shared" si="190"/>
        <v/>
      </c>
      <c r="AE297" s="2"/>
      <c r="AF297" s="2"/>
      <c r="AG297" s="2"/>
      <c r="AH297" s="2"/>
      <c r="AI297" s="2"/>
      <c r="AJ297" s="2"/>
      <c r="AK297" s="2"/>
      <c r="AL297" s="2"/>
      <c r="AM297" s="2"/>
      <c r="AN297" s="2"/>
      <c r="AO297" s="2"/>
      <c r="AP297" s="2"/>
      <c r="AQ297" s="2"/>
    </row>
    <row r="298" spans="4:43" x14ac:dyDescent="0.25">
      <c r="D298" s="54"/>
      <c r="E298" s="54"/>
      <c r="F298" s="54"/>
      <c r="G298" s="54"/>
      <c r="H298" s="54"/>
      <c r="I298" s="54"/>
      <c r="J298" s="2"/>
      <c r="K298" s="2"/>
      <c r="L298" s="2"/>
      <c r="M298" s="2"/>
      <c r="N298" s="2"/>
      <c r="O298" s="2"/>
      <c r="P298" s="2"/>
      <c r="Q298" s="2"/>
      <c r="R298" s="2"/>
      <c r="S298" s="2"/>
      <c r="T298" s="2"/>
      <c r="U298" s="264">
        <v>294</v>
      </c>
      <c r="V298" s="16" t="str">
        <f t="shared" si="191"/>
        <v/>
      </c>
      <c r="W298" s="16" t="str">
        <f t="shared" si="192"/>
        <v/>
      </c>
      <c r="X298" s="16" t="str">
        <f t="shared" si="186"/>
        <v/>
      </c>
      <c r="Y298" s="16" t="str">
        <f t="shared" si="187"/>
        <v/>
      </c>
      <c r="Z298" s="16" t="str">
        <f t="shared" si="188"/>
        <v/>
      </c>
      <c r="AA298" s="16" t="str">
        <f t="shared" si="193"/>
        <v/>
      </c>
      <c r="AB298" s="16" t="str">
        <f t="shared" si="194"/>
        <v/>
      </c>
      <c r="AC298" s="29" t="str">
        <f t="shared" si="189"/>
        <v/>
      </c>
      <c r="AD298" s="29" t="str">
        <f t="shared" si="190"/>
        <v/>
      </c>
      <c r="AE298" s="2"/>
      <c r="AF298" s="2"/>
      <c r="AG298" s="2"/>
      <c r="AH298" s="2"/>
      <c r="AI298" s="2"/>
      <c r="AJ298" s="2"/>
      <c r="AK298" s="2"/>
      <c r="AL298" s="2"/>
      <c r="AM298" s="2"/>
      <c r="AN298" s="2"/>
      <c r="AO298" s="2"/>
      <c r="AP298" s="2"/>
      <c r="AQ298" s="2"/>
    </row>
    <row r="299" spans="4:43" x14ac:dyDescent="0.25">
      <c r="D299" s="54"/>
      <c r="E299" s="54"/>
      <c r="F299" s="54"/>
      <c r="G299" s="54"/>
      <c r="H299" s="54"/>
      <c r="I299" s="54"/>
      <c r="J299" s="2"/>
      <c r="K299" s="2"/>
      <c r="L299" s="2"/>
      <c r="M299" s="2"/>
      <c r="N299" s="2"/>
      <c r="O299" s="2"/>
      <c r="P299" s="2"/>
      <c r="Q299" s="2"/>
      <c r="R299" s="2"/>
      <c r="S299" s="2"/>
      <c r="T299" s="2"/>
      <c r="U299" s="264">
        <v>295</v>
      </c>
      <c r="V299" s="16" t="str">
        <f t="shared" si="191"/>
        <v/>
      </c>
      <c r="W299" s="16" t="str">
        <f t="shared" si="192"/>
        <v/>
      </c>
      <c r="X299" s="16" t="str">
        <f t="shared" si="186"/>
        <v/>
      </c>
      <c r="Y299" s="16" t="str">
        <f t="shared" si="187"/>
        <v/>
      </c>
      <c r="Z299" s="16" t="str">
        <f t="shared" si="188"/>
        <v/>
      </c>
      <c r="AA299" s="16" t="str">
        <f t="shared" si="193"/>
        <v/>
      </c>
      <c r="AB299" s="16" t="str">
        <f t="shared" si="194"/>
        <v/>
      </c>
      <c r="AC299" s="29" t="str">
        <f t="shared" si="189"/>
        <v/>
      </c>
      <c r="AD299" s="29" t="str">
        <f t="shared" si="190"/>
        <v/>
      </c>
      <c r="AE299" s="2"/>
      <c r="AF299" s="2"/>
      <c r="AG299" s="2"/>
      <c r="AH299" s="2"/>
      <c r="AI299" s="2"/>
      <c r="AJ299" s="2"/>
      <c r="AK299" s="2"/>
      <c r="AL299" s="2"/>
      <c r="AM299" s="2"/>
      <c r="AN299" s="2"/>
      <c r="AO299" s="2"/>
      <c r="AP299" s="2"/>
      <c r="AQ299" s="2"/>
    </row>
    <row r="300" spans="4:43" x14ac:dyDescent="0.25">
      <c r="D300" s="54"/>
      <c r="E300" s="54"/>
      <c r="F300" s="54"/>
      <c r="G300" s="54"/>
      <c r="H300" s="54"/>
      <c r="I300" s="54"/>
      <c r="J300" s="2"/>
      <c r="K300" s="2"/>
      <c r="L300" s="2"/>
      <c r="M300" s="2"/>
      <c r="N300" s="2"/>
      <c r="O300" s="2"/>
      <c r="P300" s="2"/>
      <c r="Q300" s="2"/>
      <c r="R300" s="2"/>
      <c r="S300" s="2"/>
      <c r="T300" s="2"/>
      <c r="U300" s="264">
        <v>296</v>
      </c>
      <c r="V300" s="16" t="str">
        <f t="shared" si="191"/>
        <v/>
      </c>
      <c r="W300" s="16" t="str">
        <f t="shared" si="192"/>
        <v/>
      </c>
      <c r="X300" s="16" t="str">
        <f t="shared" si="186"/>
        <v/>
      </c>
      <c r="Y300" s="16" t="str">
        <f t="shared" si="187"/>
        <v/>
      </c>
      <c r="Z300" s="16" t="str">
        <f t="shared" si="188"/>
        <v/>
      </c>
      <c r="AA300" s="16" t="str">
        <f t="shared" si="193"/>
        <v/>
      </c>
      <c r="AB300" s="16" t="str">
        <f t="shared" si="194"/>
        <v/>
      </c>
      <c r="AC300" s="29" t="str">
        <f t="shared" si="189"/>
        <v/>
      </c>
      <c r="AD300" s="29" t="str">
        <f t="shared" si="190"/>
        <v/>
      </c>
      <c r="AE300" s="2"/>
      <c r="AF300" s="2"/>
      <c r="AG300" s="2"/>
      <c r="AH300" s="2"/>
      <c r="AI300" s="2"/>
      <c r="AJ300" s="2"/>
      <c r="AK300" s="2"/>
      <c r="AL300" s="2"/>
      <c r="AM300" s="2"/>
      <c r="AN300" s="2"/>
      <c r="AO300" s="2"/>
      <c r="AP300" s="2"/>
      <c r="AQ300" s="2"/>
    </row>
    <row r="301" spans="4:43" x14ac:dyDescent="0.25">
      <c r="D301" s="54"/>
      <c r="E301" s="54"/>
      <c r="F301" s="54"/>
      <c r="G301" s="54"/>
      <c r="H301" s="54"/>
      <c r="I301" s="54"/>
      <c r="J301" s="2"/>
      <c r="K301" s="2"/>
      <c r="L301" s="2"/>
      <c r="M301" s="2"/>
      <c r="N301" s="2"/>
      <c r="O301" s="2"/>
      <c r="P301" s="2"/>
      <c r="Q301" s="2"/>
      <c r="R301" s="2"/>
      <c r="S301" s="2"/>
      <c r="T301" s="2"/>
      <c r="U301" s="264">
        <v>297</v>
      </c>
      <c r="V301" s="16" t="str">
        <f t="shared" si="191"/>
        <v/>
      </c>
      <c r="W301" s="16" t="str">
        <f t="shared" si="192"/>
        <v/>
      </c>
      <c r="X301" s="16" t="str">
        <f t="shared" si="186"/>
        <v/>
      </c>
      <c r="Y301" s="16" t="str">
        <f t="shared" si="187"/>
        <v/>
      </c>
      <c r="Z301" s="16" t="str">
        <f t="shared" si="188"/>
        <v/>
      </c>
      <c r="AA301" s="16" t="str">
        <f t="shared" si="193"/>
        <v/>
      </c>
      <c r="AB301" s="16" t="str">
        <f t="shared" si="194"/>
        <v/>
      </c>
      <c r="AC301" s="29" t="str">
        <f t="shared" si="189"/>
        <v/>
      </c>
      <c r="AD301" s="29" t="str">
        <f t="shared" si="190"/>
        <v/>
      </c>
      <c r="AE301" s="2"/>
      <c r="AF301" s="2"/>
      <c r="AG301" s="2"/>
      <c r="AH301" s="2"/>
      <c r="AI301" s="2"/>
      <c r="AJ301" s="2"/>
      <c r="AK301" s="2"/>
      <c r="AL301" s="2"/>
      <c r="AM301" s="2"/>
      <c r="AN301" s="2"/>
      <c r="AO301" s="2"/>
      <c r="AP301" s="2"/>
      <c r="AQ301" s="2"/>
    </row>
    <row r="302" spans="4:43" x14ac:dyDescent="0.25">
      <c r="D302" s="54"/>
      <c r="E302" s="54"/>
      <c r="F302" s="54"/>
      <c r="G302" s="54"/>
      <c r="H302" s="54"/>
      <c r="I302" s="54"/>
      <c r="J302" s="2"/>
      <c r="K302" s="2"/>
      <c r="L302" s="2"/>
      <c r="M302" s="2"/>
      <c r="N302" s="2"/>
      <c r="O302" s="2"/>
      <c r="P302" s="2"/>
      <c r="Q302" s="2"/>
      <c r="R302" s="2"/>
      <c r="S302" s="2"/>
      <c r="T302" s="2"/>
      <c r="U302" s="264">
        <v>298</v>
      </c>
      <c r="V302" s="16" t="str">
        <f t="shared" si="191"/>
        <v/>
      </c>
      <c r="W302" s="16" t="str">
        <f t="shared" si="192"/>
        <v/>
      </c>
      <c r="X302" s="16" t="str">
        <f t="shared" si="186"/>
        <v/>
      </c>
      <c r="Y302" s="16" t="str">
        <f t="shared" si="187"/>
        <v/>
      </c>
      <c r="Z302" s="16" t="str">
        <f t="shared" si="188"/>
        <v/>
      </c>
      <c r="AA302" s="16" t="str">
        <f t="shared" si="193"/>
        <v/>
      </c>
      <c r="AB302" s="16" t="str">
        <f t="shared" si="194"/>
        <v/>
      </c>
      <c r="AC302" s="29" t="str">
        <f t="shared" si="189"/>
        <v/>
      </c>
      <c r="AD302" s="29" t="str">
        <f t="shared" si="190"/>
        <v/>
      </c>
      <c r="AE302" s="2"/>
      <c r="AF302" s="2"/>
      <c r="AG302" s="2"/>
      <c r="AH302" s="2"/>
      <c r="AI302" s="2"/>
      <c r="AJ302" s="2"/>
      <c r="AK302" s="2"/>
      <c r="AL302" s="2"/>
      <c r="AM302" s="2"/>
      <c r="AN302" s="2"/>
      <c r="AO302" s="2"/>
      <c r="AP302" s="2"/>
      <c r="AQ302" s="2"/>
    </row>
    <row r="303" spans="4:43" x14ac:dyDescent="0.25">
      <c r="D303" s="54"/>
      <c r="E303" s="54"/>
      <c r="F303" s="54"/>
      <c r="G303" s="54"/>
      <c r="H303" s="54"/>
      <c r="I303" s="54"/>
      <c r="J303" s="2"/>
      <c r="K303" s="2"/>
      <c r="L303" s="2"/>
      <c r="M303" s="2"/>
      <c r="N303" s="2"/>
      <c r="O303" s="2"/>
      <c r="P303" s="2"/>
      <c r="Q303" s="2"/>
      <c r="R303" s="2"/>
      <c r="S303" s="2"/>
      <c r="T303" s="2"/>
      <c r="U303" s="264">
        <v>299</v>
      </c>
      <c r="V303" s="16" t="str">
        <f t="shared" si="191"/>
        <v/>
      </c>
      <c r="W303" s="16" t="str">
        <f t="shared" si="192"/>
        <v/>
      </c>
      <c r="X303" s="16" t="str">
        <f t="shared" si="186"/>
        <v/>
      </c>
      <c r="Y303" s="16" t="str">
        <f t="shared" si="187"/>
        <v/>
      </c>
      <c r="Z303" s="16" t="str">
        <f t="shared" si="188"/>
        <v/>
      </c>
      <c r="AA303" s="16" t="str">
        <f t="shared" si="193"/>
        <v/>
      </c>
      <c r="AB303" s="16" t="str">
        <f t="shared" si="194"/>
        <v/>
      </c>
      <c r="AC303" s="29" t="str">
        <f t="shared" si="189"/>
        <v/>
      </c>
      <c r="AD303" s="29" t="str">
        <f t="shared" si="190"/>
        <v/>
      </c>
      <c r="AE303" s="2"/>
      <c r="AF303" s="2"/>
      <c r="AG303" s="2"/>
      <c r="AH303" s="2"/>
      <c r="AI303" s="2"/>
      <c r="AJ303" s="2"/>
      <c r="AK303" s="2"/>
      <c r="AL303" s="2"/>
      <c r="AM303" s="2"/>
      <c r="AN303" s="2"/>
      <c r="AO303" s="2"/>
      <c r="AP303" s="2"/>
      <c r="AQ303" s="2"/>
    </row>
    <row r="304" spans="4:43" x14ac:dyDescent="0.25">
      <c r="D304" s="54"/>
      <c r="E304" s="54"/>
      <c r="F304" s="54"/>
      <c r="G304" s="54"/>
      <c r="H304" s="54"/>
      <c r="I304" s="54"/>
      <c r="J304" s="2"/>
      <c r="K304" s="2"/>
      <c r="L304" s="2"/>
      <c r="M304" s="2"/>
      <c r="N304" s="2"/>
      <c r="O304" s="2"/>
      <c r="P304" s="2"/>
      <c r="Q304" s="2"/>
      <c r="R304" s="2"/>
      <c r="S304" s="2"/>
      <c r="T304" s="2"/>
      <c r="U304" s="264">
        <v>300</v>
      </c>
      <c r="V304" s="16" t="str">
        <f t="shared" si="191"/>
        <v/>
      </c>
      <c r="W304" s="16" t="str">
        <f t="shared" si="192"/>
        <v/>
      </c>
      <c r="X304" s="16" t="str">
        <f t="shared" si="186"/>
        <v/>
      </c>
      <c r="Y304" s="16" t="str">
        <f t="shared" si="187"/>
        <v/>
      </c>
      <c r="Z304" s="16" t="str">
        <f t="shared" si="188"/>
        <v/>
      </c>
      <c r="AA304" s="16" t="str">
        <f t="shared" si="193"/>
        <v/>
      </c>
      <c r="AB304" s="16" t="str">
        <f t="shared" si="194"/>
        <v/>
      </c>
      <c r="AC304" s="29" t="str">
        <f t="shared" si="189"/>
        <v/>
      </c>
      <c r="AD304" s="29" t="str">
        <f t="shared" si="190"/>
        <v/>
      </c>
      <c r="AE304" s="2"/>
      <c r="AF304" s="2"/>
      <c r="AG304" s="2"/>
      <c r="AH304" s="2"/>
      <c r="AI304" s="2"/>
      <c r="AJ304" s="2"/>
      <c r="AK304" s="2"/>
      <c r="AL304" s="2"/>
      <c r="AM304" s="2"/>
      <c r="AN304" s="2"/>
      <c r="AO304" s="2"/>
      <c r="AP304" s="2"/>
      <c r="AQ304" s="2"/>
    </row>
    <row r="305" spans="4:45" x14ac:dyDescent="0.25">
      <c r="D305" s="54"/>
      <c r="E305" s="54"/>
      <c r="F305" s="54"/>
      <c r="G305" s="54"/>
      <c r="H305" s="54"/>
      <c r="I305" s="54"/>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row>
    <row r="306" spans="4:45" x14ac:dyDescent="0.25">
      <c r="D306" s="54"/>
      <c r="E306" s="54"/>
      <c r="F306" s="54"/>
      <c r="G306" s="54"/>
      <c r="H306" s="54"/>
      <c r="I306" s="54"/>
      <c r="J306" s="2"/>
      <c r="K306" s="2"/>
      <c r="L306" s="2"/>
      <c r="M306" s="2"/>
      <c r="N306" s="2"/>
      <c r="O306" s="2"/>
      <c r="P306" s="2"/>
      <c r="Q306" s="2"/>
      <c r="R306" s="2"/>
      <c r="S306" s="2"/>
      <c r="T306" s="2"/>
      <c r="U306" s="7" t="s">
        <v>32</v>
      </c>
      <c r="V306" s="5"/>
      <c r="W306" s="5"/>
      <c r="X306" s="3"/>
      <c r="Y306" s="7" t="s">
        <v>7</v>
      </c>
      <c r="Z306" s="2"/>
      <c r="AA306" s="2"/>
      <c r="AB306" s="2"/>
      <c r="AC306" s="2"/>
      <c r="AD306" s="278"/>
      <c r="AE306" s="2"/>
      <c r="AF306" s="2"/>
      <c r="AG306" s="2"/>
      <c r="AH306" s="2"/>
      <c r="AI306" s="2"/>
      <c r="AJ306" s="2"/>
      <c r="AK306" s="2"/>
      <c r="AL306" s="2"/>
      <c r="AM306" s="2"/>
      <c r="AN306" s="2"/>
      <c r="AO306" s="2"/>
      <c r="AP306" s="2"/>
      <c r="AQ306" s="2"/>
    </row>
    <row r="307" spans="4:45" x14ac:dyDescent="0.25">
      <c r="D307" s="54"/>
      <c r="E307" s="54"/>
      <c r="F307" s="54"/>
      <c r="G307" s="54"/>
      <c r="H307" s="54"/>
      <c r="I307" s="54"/>
      <c r="J307" s="2"/>
      <c r="K307" s="2"/>
      <c r="L307" s="2"/>
      <c r="M307" s="2"/>
      <c r="N307" s="2"/>
      <c r="O307" s="2"/>
      <c r="P307" s="2"/>
      <c r="Q307" s="2"/>
      <c r="R307" s="2"/>
      <c r="S307" s="2"/>
      <c r="T307" s="2"/>
      <c r="U307" s="11" t="s">
        <v>85</v>
      </c>
      <c r="V307" s="4">
        <f>SUM($B$13:$B$62,$E$13:$E$62,$H$13:$H$62,$K$13:$K$62,$N$13:$N$62,$Q$13:$Q$62)</f>
        <v>54.864000000000026</v>
      </c>
      <c r="W307" s="2"/>
      <c r="X307" s="2"/>
      <c r="Y307" s="5"/>
      <c r="Z307" s="23" t="s">
        <v>8</v>
      </c>
      <c r="AA307" s="23" t="s">
        <v>9</v>
      </c>
      <c r="AB307" s="23" t="s">
        <v>10</v>
      </c>
      <c r="AC307" s="23" t="s">
        <v>11</v>
      </c>
      <c r="AD307" s="23" t="s">
        <v>45</v>
      </c>
      <c r="AE307" s="23" t="s">
        <v>46</v>
      </c>
      <c r="AF307" s="23" t="s">
        <v>47</v>
      </c>
      <c r="AG307" s="23" t="s">
        <v>48</v>
      </c>
      <c r="AH307" s="23" t="s">
        <v>243</v>
      </c>
      <c r="AI307" s="23" t="s">
        <v>244</v>
      </c>
      <c r="AJ307" s="23" t="s">
        <v>245</v>
      </c>
      <c r="AK307" s="23" t="s">
        <v>246</v>
      </c>
      <c r="AL307" s="23" t="s">
        <v>247</v>
      </c>
      <c r="AM307" s="23" t="s">
        <v>248</v>
      </c>
      <c r="AN307" s="23" t="s">
        <v>249</v>
      </c>
      <c r="AO307" s="23" t="s">
        <v>250</v>
      </c>
      <c r="AP307" s="23" t="s">
        <v>350</v>
      </c>
      <c r="AQ307" s="23"/>
      <c r="AR307" s="23"/>
      <c r="AS307" s="23"/>
    </row>
    <row r="308" spans="4:45" x14ac:dyDescent="0.25">
      <c r="D308" s="54"/>
      <c r="E308" s="54"/>
      <c r="F308" s="54"/>
      <c r="G308" s="54"/>
      <c r="H308" s="54"/>
      <c r="I308" s="54"/>
      <c r="J308" s="2"/>
      <c r="K308" s="2"/>
      <c r="L308" s="2"/>
      <c r="M308" s="2"/>
      <c r="N308" s="2"/>
      <c r="O308" s="2"/>
      <c r="P308" s="2"/>
      <c r="Q308" s="2"/>
      <c r="R308" s="2"/>
      <c r="S308" s="2"/>
      <c r="T308" s="2"/>
      <c r="U308" s="11" t="s">
        <v>86</v>
      </c>
      <c r="V308" s="4">
        <f>SUM($C$13:$C$62,$F$13:$F$62,$I$13:$I$62,$L$13:$L$62,$O$13:$O$62,$R$13:$R$62)</f>
        <v>164.59200000000007</v>
      </c>
      <c r="W308" s="2"/>
      <c r="X308" s="2"/>
      <c r="Y308" s="4" t="s">
        <v>88</v>
      </c>
      <c r="Z308" s="3">
        <f>IF($B$64&gt;=1,$B$67-$V$309,"")</f>
        <v>-4.4408920985006262E-16</v>
      </c>
      <c r="AA308" s="3">
        <f>IF($B$64&gt;=2,$C$67-$V$309,"")</f>
        <v>-4.4408920985006262E-16</v>
      </c>
      <c r="AB308" s="3" t="str">
        <f>IF($B$64&gt;=3,$D$67-$V$309,"")</f>
        <v/>
      </c>
      <c r="AC308" s="3" t="str">
        <f>IF($B$64&gt;=4,$E$67-$V$309,"")</f>
        <v/>
      </c>
      <c r="AD308" s="3" t="str">
        <f>IF($B$64&gt;=5,$F$67-$V$309,"")</f>
        <v/>
      </c>
      <c r="AE308" s="3" t="str">
        <f>IF($B$64&gt;=6,$G$67-$V$309,"")</f>
        <v/>
      </c>
      <c r="AF308" s="3" t="str">
        <f>IF($B$64&gt;=7,$H$67-$V$309,"")</f>
        <v/>
      </c>
      <c r="AG308" s="3" t="str">
        <f>IF($B$64&gt;=8,$I$67-$V$309,"")</f>
        <v/>
      </c>
      <c r="AH308" s="3" t="str">
        <f>IF($B$64&gt;=9,$J$67-$V$309,"")</f>
        <v/>
      </c>
      <c r="AI308" s="3" t="str">
        <f>IF($B$64&gt;=10,$K$67-$V$309,"")</f>
        <v/>
      </c>
      <c r="AJ308" s="3" t="str">
        <f>IF($B$64&gt;=11,$L$67-$V$309,"")</f>
        <v/>
      </c>
      <c r="AK308" s="3" t="str">
        <f>IF($B$64&gt;=12,$M$67-$V$309,"")</f>
        <v/>
      </c>
      <c r="AL308" s="3" t="str">
        <f>IF($B$64&gt;=13,$N$67-$V$309,"")</f>
        <v/>
      </c>
      <c r="AM308" s="3" t="str">
        <f>IF($B$64&gt;=14,$O$67-$V$309,"")</f>
        <v/>
      </c>
      <c r="AN308" s="3" t="str">
        <f>IF($B$64&gt;=15,$P$67-$V$309,"")</f>
        <v/>
      </c>
      <c r="AO308" s="3" t="str">
        <f>IF($B$64&gt;=16,$Q$67-$V$309,"")</f>
        <v/>
      </c>
      <c r="AP308" s="3" t="str">
        <f>IF($B$64=17,$R$67-$V$309,"")</f>
        <v/>
      </c>
      <c r="AQ308" s="3"/>
    </row>
    <row r="309" spans="4:45" x14ac:dyDescent="0.25">
      <c r="D309" s="54"/>
      <c r="E309" s="54"/>
      <c r="F309" s="54"/>
      <c r="G309" s="54"/>
      <c r="H309" s="54"/>
      <c r="I309" s="54"/>
      <c r="J309" s="2"/>
      <c r="K309" s="2"/>
      <c r="L309" s="2"/>
      <c r="M309" s="2"/>
      <c r="N309" s="2"/>
      <c r="O309" s="2"/>
      <c r="P309" s="2"/>
      <c r="Q309" s="2"/>
      <c r="R309" s="2"/>
      <c r="S309" s="2"/>
      <c r="T309" s="2"/>
      <c r="U309" s="19" t="s">
        <v>5</v>
      </c>
      <c r="V309" s="16">
        <f>$V$307/$C$9</f>
        <v>1.3716000000000006</v>
      </c>
      <c r="W309" s="2"/>
      <c r="X309" s="2"/>
      <c r="Y309" s="4" t="s">
        <v>87</v>
      </c>
      <c r="Z309" s="3">
        <f>IF($B$64&gt;=1,$B$68-$V$310,"")</f>
        <v>-1.3716000000000013</v>
      </c>
      <c r="AA309" s="3">
        <f>IF($B$64&gt;=2,$C$68-$V$310,"")</f>
        <v>1.371599999999999</v>
      </c>
      <c r="AB309" s="3" t="str">
        <f>IF($B$64&gt;=3,$D$68-$V$310,"")</f>
        <v/>
      </c>
      <c r="AC309" s="3" t="str">
        <f>IF($B$64&gt;=4,$E$68-$V$310,"")</f>
        <v/>
      </c>
      <c r="AD309" s="3" t="str">
        <f>IF($B$64&gt;=5,$F$68-$V$310,"")</f>
        <v/>
      </c>
      <c r="AE309" s="3" t="str">
        <f>IF($B$64&gt;=6,$G$68-$V$310,"")</f>
        <v/>
      </c>
      <c r="AF309" s="3" t="str">
        <f>IF($B$64&gt;=7,$H$68-$V$310,"")</f>
        <v/>
      </c>
      <c r="AG309" s="3" t="str">
        <f>IF($B$64&gt;=8,$I$68-$V$310,"")</f>
        <v/>
      </c>
      <c r="AH309" s="3" t="str">
        <f>IF($B$64&gt;=9,$J$68-$V$310,"")</f>
        <v/>
      </c>
      <c r="AI309" s="3" t="str">
        <f>IF($B$64&gt;=10,$K$68-$V$310,"")</f>
        <v/>
      </c>
      <c r="AJ309" s="3" t="str">
        <f>IF($B$64&gt;=11,$L$68-$V$310,"")</f>
        <v/>
      </c>
      <c r="AK309" s="3" t="str">
        <f>IF($B$64&gt;=12,$M$68-$V$310,"")</f>
        <v/>
      </c>
      <c r="AL309" s="3" t="str">
        <f>IF($B$64&gt;=13,$N$68-$V$310,"")</f>
        <v/>
      </c>
      <c r="AM309" s="3" t="str">
        <f>IF($B$64&gt;=14,$O$68-$V$310,"")</f>
        <v/>
      </c>
      <c r="AN309" s="3" t="str">
        <f>IF($B$64&gt;=15,$P$68-$V$310,"")</f>
        <v/>
      </c>
      <c r="AO309" s="3" t="str">
        <f>IF($B$64&gt;=16,$Q$68-$V$310,"")</f>
        <v/>
      </c>
      <c r="AP309" s="3" t="str">
        <f>IF($B$64=17,$R$68-$V$310,"")</f>
        <v/>
      </c>
      <c r="AQ309" s="3"/>
    </row>
    <row r="310" spans="4:45" x14ac:dyDescent="0.25">
      <c r="D310" s="54"/>
      <c r="E310" s="54"/>
      <c r="F310" s="54"/>
      <c r="G310" s="54"/>
      <c r="H310" s="54"/>
      <c r="I310" s="54"/>
      <c r="J310" s="2"/>
      <c r="K310" s="2"/>
      <c r="L310" s="2"/>
      <c r="M310" s="2"/>
      <c r="N310" s="2"/>
      <c r="O310" s="2"/>
      <c r="P310" s="2"/>
      <c r="Q310" s="2"/>
      <c r="R310" s="2"/>
      <c r="S310" s="2"/>
      <c r="T310" s="2"/>
      <c r="U310" s="19" t="s">
        <v>6</v>
      </c>
      <c r="V310" s="16">
        <f>$V$308/$C$9</f>
        <v>4.1148000000000016</v>
      </c>
      <c r="W310" s="2"/>
      <c r="X310" s="2"/>
      <c r="Y310" s="23" t="s">
        <v>12</v>
      </c>
      <c r="Z310" s="3">
        <f>IF($B$64&gt;=1,$B$70*$Z$309,"")</f>
        <v>9151.7719428000091</v>
      </c>
      <c r="AA310" s="3">
        <f>IF($B$64&gt;=2,$C$70*$AA$309,"")</f>
        <v>-9151.7719427999946</v>
      </c>
      <c r="AB310" s="3" t="str">
        <f>IF($B$64&gt;=3,$D$70*$AB$309,"")</f>
        <v/>
      </c>
      <c r="AC310" s="3" t="str">
        <f>IF($B$64&gt;=4,$E$70*$AC$309,"")</f>
        <v/>
      </c>
      <c r="AD310" s="3" t="str">
        <f>IF($B$64&gt;=5,$F$70*$AD$309,"")</f>
        <v/>
      </c>
      <c r="AE310" s="3" t="str">
        <f>IF($B$64&gt;=6,$G$70*$AE$309,"")</f>
        <v/>
      </c>
      <c r="AF310" s="3" t="str">
        <f>IF($B$64&gt;=7,$H$70*$AF$309,"")</f>
        <v/>
      </c>
      <c r="AG310" s="3" t="str">
        <f>IF($B$64&gt;=8,$I$70*$AG$309,"")</f>
        <v/>
      </c>
      <c r="AH310" s="3" t="str">
        <f>IF($B$64&gt;=9,$J$70*$AH$309,"")</f>
        <v/>
      </c>
      <c r="AI310" s="3" t="str">
        <f>IF($B$64&gt;=10,$K$70*$AI$309,"")</f>
        <v/>
      </c>
      <c r="AJ310" s="3" t="str">
        <f>IF($B$64&gt;=11,$L$70*$AJ$309,"")</f>
        <v/>
      </c>
      <c r="AK310" s="3" t="str">
        <f>IF($B$64&gt;=12,$M$70*$AK$309,"")</f>
        <v/>
      </c>
      <c r="AL310" s="3" t="str">
        <f>IF($B$64&gt;=13,$N$70*$AL$309,"")</f>
        <v/>
      </c>
      <c r="AM310" s="3" t="str">
        <f>IF($B$64&gt;=14,$O$70*$AM$309,"")</f>
        <v/>
      </c>
      <c r="AN310" s="3" t="str">
        <f>IF($B$64&gt;=15,$P$70*$AN$309,"")</f>
        <v/>
      </c>
      <c r="AO310" s="3" t="str">
        <f>IF($B$64&gt;=16,$Q$70*$AO$309,"")</f>
        <v/>
      </c>
      <c r="AP310" s="3" t="str">
        <f>IF($B$64=17,$R$70*$AP$309,"")</f>
        <v/>
      </c>
      <c r="AQ310" s="3"/>
    </row>
    <row r="311" spans="4:45" x14ac:dyDescent="0.25">
      <c r="D311" s="54"/>
      <c r="E311" s="54"/>
      <c r="F311" s="54"/>
      <c r="G311" s="54"/>
      <c r="H311" s="54"/>
      <c r="I311" s="54"/>
      <c r="J311" s="2"/>
      <c r="K311" s="2"/>
      <c r="L311" s="2"/>
      <c r="M311" s="2"/>
      <c r="N311" s="2"/>
      <c r="O311" s="2"/>
      <c r="P311" s="2"/>
      <c r="Q311" s="2"/>
      <c r="R311" s="2"/>
      <c r="S311" s="2"/>
      <c r="T311" s="2"/>
      <c r="U311" s="20" t="s">
        <v>92</v>
      </c>
      <c r="V311" s="30">
        <f>SUM($X$5:$X$304)</f>
        <v>275.92202880003998</v>
      </c>
      <c r="W311" s="2"/>
      <c r="X311" s="2"/>
      <c r="Y311" s="23" t="s">
        <v>13</v>
      </c>
      <c r="Z311" s="3">
        <f>IF($B$64&gt;=1,$B$70*-$Z$308,"")</f>
        <v>-2.9631110898264981E-12</v>
      </c>
      <c r="AA311" s="3">
        <f>IF($B$64&gt;=2,$C$70*-$AA$308,"")</f>
        <v>-2.9631110898264981E-12</v>
      </c>
      <c r="AB311" s="3" t="str">
        <f>IF($B$64&gt;=3,$D$70*-$AB$308,"")</f>
        <v/>
      </c>
      <c r="AC311" s="3" t="str">
        <f>IF($B$64&gt;=4,$E$70*-$AC$308,"")</f>
        <v/>
      </c>
      <c r="AD311" s="3" t="str">
        <f>IF($B$64&gt;=5,$F$70*-$AD$308,"")</f>
        <v/>
      </c>
      <c r="AE311" s="3" t="str">
        <f>IF($B$64&gt;=6,$G$70*-$AE$308,"")</f>
        <v/>
      </c>
      <c r="AF311" s="3" t="str">
        <f>IF($B$64&gt;=7,$H$70*-$AF$308,"")</f>
        <v/>
      </c>
      <c r="AG311" s="3" t="str">
        <f>IF($B$64&gt;=8,$I$70*-$AG$308,"")</f>
        <v/>
      </c>
      <c r="AH311" s="3" t="str">
        <f>IF($B$64&gt;=9,$J$70*-$AH$308,"")</f>
        <v/>
      </c>
      <c r="AI311" s="3" t="str">
        <f>IF($B$64&gt;=10,$K$70*-$AI$308,"")</f>
        <v/>
      </c>
      <c r="AJ311" s="3" t="str">
        <f>IF($B$64&gt;=11,$L$70*-$AJ$308,"")</f>
        <v/>
      </c>
      <c r="AK311" s="3" t="str">
        <f>IF($B$64&gt;=12,$M$70*-$AK$308,"")</f>
        <v/>
      </c>
      <c r="AL311" s="3" t="str">
        <f>IF($B$64&gt;=13,$N$70*-$AL$308,"")</f>
        <v/>
      </c>
      <c r="AM311" s="3" t="str">
        <f>IF($B$64&gt;=14,$O$70*-$AM$308,"")</f>
        <v/>
      </c>
      <c r="AN311" s="3" t="str">
        <f>IF($B$64&gt;=15,$P$70*-$AN$308,"")</f>
        <v/>
      </c>
      <c r="AO311" s="3" t="str">
        <f>IF($B$64&gt;=16,$Q$70*-$AO$308,"")</f>
        <v/>
      </c>
      <c r="AP311" s="3" t="str">
        <f>IF($B$64=17,$R$70*-$AP$308,"")</f>
        <v/>
      </c>
      <c r="AQ311" s="3"/>
    </row>
    <row r="312" spans="4:45" x14ac:dyDescent="0.25">
      <c r="D312" s="54"/>
      <c r="E312" s="54"/>
      <c r="F312" s="54"/>
      <c r="G312" s="54"/>
      <c r="H312" s="54"/>
      <c r="I312" s="54"/>
      <c r="J312" s="2"/>
      <c r="K312" s="2"/>
      <c r="L312" s="2"/>
      <c r="M312" s="2"/>
      <c r="N312" s="2"/>
      <c r="O312" s="2"/>
      <c r="P312" s="2"/>
      <c r="Q312" s="2"/>
      <c r="R312" s="2"/>
      <c r="S312" s="2"/>
      <c r="T312" s="2"/>
      <c r="U312" s="20" t="s">
        <v>93</v>
      </c>
      <c r="V312" s="30">
        <f>SUM($Y$5:$Y$304)</f>
        <v>41.806368000040024</v>
      </c>
      <c r="W312" s="2"/>
      <c r="X312" s="2"/>
      <c r="Y312" s="23" t="s">
        <v>14</v>
      </c>
      <c r="Z312" s="3">
        <f>IF($B$64&gt;=1,$B$69*-$B$72,"")</f>
        <v>203.37270984000003</v>
      </c>
      <c r="AA312" s="3">
        <f>IF($B$64&gt;=2,$C$69*-$C$72,"")</f>
        <v>203.37270984000003</v>
      </c>
      <c r="AB312" s="3" t="str">
        <f>IF($B$64&gt;=3,$D$69*-$D$72,"")</f>
        <v/>
      </c>
      <c r="AC312" s="3" t="str">
        <f>IF($B$64&gt;=4,$E$69*-$E$72,"")</f>
        <v/>
      </c>
      <c r="AD312" s="3" t="str">
        <f>IF($B$64&gt;=5,$F$69*-$F$72,"")</f>
        <v/>
      </c>
      <c r="AE312" s="3" t="str">
        <f>IF($B$64&gt;=6,$G$69*-$G$72,"")</f>
        <v/>
      </c>
      <c r="AF312" s="3" t="str">
        <f>IF($B$64&gt;=7,$H$69*-$H$72,"")</f>
        <v/>
      </c>
      <c r="AG312" s="3" t="str">
        <f>IF($B$64&gt;=8,$I$69*-$I$72,"")</f>
        <v/>
      </c>
      <c r="AH312" s="3" t="str">
        <f>IF($B$64&gt;=9,$J$69*-$J$72,"")</f>
        <v/>
      </c>
      <c r="AI312" s="3" t="str">
        <f>IF($B$64&gt;=10,$K$69*-$K$72,"")</f>
        <v/>
      </c>
      <c r="AJ312" s="3" t="str">
        <f>IF($B$64&gt;=11,$L$69*-$L$72,"")</f>
        <v/>
      </c>
      <c r="AK312" s="3" t="str">
        <f>IF($B$64&gt;=12,$M$69*-$M$72,"")</f>
        <v/>
      </c>
      <c r="AL312" s="3" t="str">
        <f>IF($B$64&gt;=13,$N$69*-$N$72,"")</f>
        <v/>
      </c>
      <c r="AM312" s="3" t="str">
        <f>IF($B$64&gt;=14,$O$69*-$O$72,"")</f>
        <v/>
      </c>
      <c r="AN312" s="3" t="str">
        <f>IF($B$64&gt;=15,$P$69*-$P$72,"")</f>
        <v/>
      </c>
      <c r="AO312" s="3" t="str">
        <f>IF($B$64&gt;=16,$Q$69*-$Q$72,"")</f>
        <v/>
      </c>
      <c r="AP312" s="3" t="str">
        <f>IF($B$64=17,$R$69*-$R$72,"")</f>
        <v/>
      </c>
      <c r="AQ312" s="3"/>
    </row>
    <row r="313" spans="4:45" x14ac:dyDescent="0.25">
      <c r="D313" s="54"/>
      <c r="E313" s="54"/>
      <c r="F313" s="54"/>
      <c r="G313" s="54"/>
      <c r="H313" s="54"/>
      <c r="I313" s="54"/>
      <c r="J313" s="2"/>
      <c r="U313" s="20" t="s">
        <v>22</v>
      </c>
      <c r="V313" s="30">
        <f>$V$311+$V$312</f>
        <v>317.72839680008002</v>
      </c>
      <c r="Y313" s="23" t="s">
        <v>15</v>
      </c>
      <c r="Z313" s="3">
        <f>IF($B$64&gt;=1,$B$69*$B$71,"")</f>
        <v>-135.58180656000002</v>
      </c>
      <c r="AA313" s="3">
        <f>IF($B$64&gt;=2,$C$69*$C$71,"")</f>
        <v>-135.58180656000002</v>
      </c>
      <c r="AB313" s="3" t="str">
        <f>IF($B$64&gt;=3,$D$69*$D$71,"")</f>
        <v/>
      </c>
      <c r="AC313" s="3" t="str">
        <f>IF($B$64&gt;=4,$E$69*$E$71,"")</f>
        <v/>
      </c>
      <c r="AD313" s="3" t="str">
        <f>IF($B$64&gt;=5,$F$69*$F$71,"")</f>
        <v/>
      </c>
      <c r="AE313" s="3" t="str">
        <f>IF($B$64&gt;=6,$G$69*$G$71,"")</f>
        <v/>
      </c>
      <c r="AF313" s="3" t="str">
        <f>IF($B$64&gt;=7,$H$69*$H$71,"")</f>
        <v/>
      </c>
      <c r="AG313" s="3" t="str">
        <f>IF($B$64&gt;=8,$I$69*$I$71,"")</f>
        <v/>
      </c>
      <c r="AH313" s="3" t="str">
        <f>IF($B$64&gt;=9,$J$69*$J$71,"")</f>
        <v/>
      </c>
      <c r="AI313" s="3" t="str">
        <f>IF($B$64&gt;=10,$K$69*$K$71,"")</f>
        <v/>
      </c>
      <c r="AJ313" s="3" t="str">
        <f>IF($B$64&gt;=11,$L$69*$L$71,"")</f>
        <v/>
      </c>
      <c r="AK313" s="3" t="str">
        <f>IF($B$64&gt;=12,$M$69*$M$71,"")</f>
        <v/>
      </c>
      <c r="AL313" s="3" t="str">
        <f>IF($B$64&gt;=13,$N$69*$N$71,"")</f>
        <v/>
      </c>
      <c r="AM313" s="3" t="str">
        <f>IF($B$64&gt;=14,$O$69*$O$71,"")</f>
        <v/>
      </c>
      <c r="AN313" s="3" t="str">
        <f>IF($B$64&gt;=15,$P$69*$P$71,"")</f>
        <v/>
      </c>
      <c r="AO313" s="3" t="str">
        <f>IF($B$64&gt;=16,$Q$69*$Q$71,"")</f>
        <v/>
      </c>
      <c r="AP313" s="3" t="str">
        <f>IF($B$64=17,$R$69*$R$71,"")</f>
        <v/>
      </c>
      <c r="AQ313" s="3"/>
    </row>
    <row r="314" spans="4:45" x14ac:dyDescent="0.25">
      <c r="D314" s="54"/>
      <c r="E314" s="54"/>
      <c r="F314" s="54"/>
      <c r="G314" s="54"/>
      <c r="H314" s="54"/>
      <c r="I314" s="54"/>
      <c r="J314" s="2"/>
      <c r="U314" s="20" t="s">
        <v>94</v>
      </c>
      <c r="V314" s="4">
        <f>IF(ABS(SUM($Z$5:$Z$304))&lt;0.0005,0,SUM($Z$5:$Z$304))</f>
        <v>0</v>
      </c>
      <c r="Y314" s="9" t="s">
        <v>16</v>
      </c>
      <c r="Z314" s="28">
        <f>IF($B$64&gt;=1,$B$71*-$Z$309,"")</f>
        <v>-122.02362590400013</v>
      </c>
      <c r="AA314" s="3">
        <f>IF($B$64&gt;=2,$C$71*-$AA$309,"")</f>
        <v>122.02362590399993</v>
      </c>
      <c r="AB314" s="28" t="str">
        <f>IF($B$64&gt;=3,$D$71*-$AB$309,"")</f>
        <v/>
      </c>
      <c r="AC314" s="28" t="str">
        <f>IF($B$64&gt;=4,$E$71*-$AC$309,"")</f>
        <v/>
      </c>
      <c r="AD314" s="28" t="str">
        <f>IF($B$64&gt;=5,$F$71*-$AD$309,"")</f>
        <v/>
      </c>
      <c r="AE314" s="3" t="str">
        <f>IF($B$64&gt;=6,$G$71*-$AE$309,"")</f>
        <v/>
      </c>
      <c r="AF314" s="28" t="str">
        <f>IF($B$64&gt;=7,$H$71*-$AF$309,"")</f>
        <v/>
      </c>
      <c r="AG314" s="28" t="str">
        <f>IF($B$64&gt;=8,$I$71*-$AG$309,"")</f>
        <v/>
      </c>
      <c r="AH314" s="28" t="str">
        <f>IF($B$64&gt;=9,$J$71*-$AH$309,"")</f>
        <v/>
      </c>
      <c r="AI314" s="28" t="str">
        <f>IF($B$64&gt;=10,$K$71*-$AI$309,"")</f>
        <v/>
      </c>
      <c r="AJ314" s="28" t="str">
        <f>IF($B$64&gt;=11,$L$71*-$AJ$309,"")</f>
        <v/>
      </c>
      <c r="AK314" s="28" t="str">
        <f>IF($B$64&gt;=12,$M$71*-$AK$309,"")</f>
        <v/>
      </c>
      <c r="AL314" s="28" t="str">
        <f>IF($B$64&gt;=13,$N$71*-$AL$309,"")</f>
        <v/>
      </c>
      <c r="AM314" s="28" t="str">
        <f>IF($B$64&gt;=14,$O$71*-$AM$309,"")</f>
        <v/>
      </c>
      <c r="AN314" s="28" t="str">
        <f>IF($B$64&gt;=15,$P$71*-$AN$309,"")</f>
        <v/>
      </c>
      <c r="AO314" s="28" t="str">
        <f>IF($B$64&gt;=16,$Q$71*-$AO$309,"")</f>
        <v/>
      </c>
      <c r="AP314" s="28" t="str">
        <f>IF($B$64=17,$R$71*-$AP$309,"")</f>
        <v/>
      </c>
      <c r="AQ314" s="28"/>
    </row>
    <row r="315" spans="4:45" x14ac:dyDescent="0.25">
      <c r="D315" s="54"/>
      <c r="E315" s="54"/>
      <c r="F315" s="54"/>
      <c r="G315" s="54"/>
      <c r="H315" s="54"/>
      <c r="I315" s="54"/>
      <c r="J315" s="2"/>
      <c r="U315" s="11" t="s">
        <v>23</v>
      </c>
      <c r="V315" s="4">
        <f>IF(ABS($V$311-$V$312)&lt;0.0005,IF($V$314&gt;0,-45,IF($V$314&lt;0,45,0)),DEGREES(ATAN(-2*$V$314/($V$311-$V$312))/2))</f>
        <v>0</v>
      </c>
      <c r="Y315" s="9" t="s">
        <v>17</v>
      </c>
      <c r="Z315" s="28">
        <f>IF($B$64&gt;=1,$B$72*$Z$308,"")</f>
        <v>5.9262221796529961E-14</v>
      </c>
      <c r="AA315" s="3">
        <f>IF($B$64&gt;=2,$C$72*$AA$308,"")</f>
        <v>5.9262221796529961E-14</v>
      </c>
      <c r="AB315" s="28" t="str">
        <f>IF($B$64&gt;=3,$D$72*$AB$308,"")</f>
        <v/>
      </c>
      <c r="AC315" s="28" t="str">
        <f>IF($B$64&gt;=4,$E$72*$AC$308,"")</f>
        <v/>
      </c>
      <c r="AD315" s="28" t="str">
        <f>IF($B$64&gt;=5,$F$72*$AD$308,"")</f>
        <v/>
      </c>
      <c r="AE315" s="3" t="str">
        <f>IF($B$64&gt;=6,$G$72*$AE$308,"")</f>
        <v/>
      </c>
      <c r="AF315" s="28" t="str">
        <f>IF($B$64&gt;=7,$H$72*$AF$308,"")</f>
        <v/>
      </c>
      <c r="AG315" s="28" t="str">
        <f>IF($B$64&gt;=8,$I$72*$AG$308,"")</f>
        <v/>
      </c>
      <c r="AH315" s="28" t="str">
        <f>IF($B$64&gt;=9,$J$72*$AH$308,"")</f>
        <v/>
      </c>
      <c r="AI315" s="28" t="str">
        <f>IF($B$64&gt;=10,$K$72*$AI$308,"")</f>
        <v/>
      </c>
      <c r="AJ315" s="28" t="str">
        <f>IF($B$64&gt;=11,$L$72*$AJ$308,"")</f>
        <v/>
      </c>
      <c r="AK315" s="28" t="str">
        <f>IF($B$64&gt;=12,$M$72*$AK$308,"")</f>
        <v/>
      </c>
      <c r="AL315" s="28" t="str">
        <f>IF($B$64&gt;=13,$N$72*$AL$308,"")</f>
        <v/>
      </c>
      <c r="AM315" s="28" t="str">
        <f>IF($B$64&gt;=14,$O$72*$AM$308,"")</f>
        <v/>
      </c>
      <c r="AN315" s="28" t="str">
        <f>IF($B$64&gt;=15,$P$72*$AN$308,"")</f>
        <v/>
      </c>
      <c r="AO315" s="28" t="str">
        <f>IF($B$64&gt;=16,$Q$72*$AO$308,"")</f>
        <v/>
      </c>
      <c r="AP315" s="28" t="str">
        <f>IF($B$64=17,$R$72*$AP$308,"")</f>
        <v/>
      </c>
      <c r="AQ315" s="28"/>
    </row>
    <row r="316" spans="4:45" x14ac:dyDescent="0.25">
      <c r="D316" s="54"/>
      <c r="E316" s="54"/>
      <c r="F316" s="54"/>
      <c r="G316" s="54"/>
      <c r="H316" s="54"/>
      <c r="I316" s="54"/>
      <c r="J316" s="2"/>
      <c r="Y316" s="24"/>
      <c r="Z316" s="24"/>
      <c r="AA316" s="24"/>
      <c r="AB316" s="24"/>
      <c r="AC316" s="24"/>
      <c r="AD316" s="24"/>
    </row>
    <row r="317" spans="4:45" x14ac:dyDescent="0.25">
      <c r="D317" s="54"/>
      <c r="E317" s="54"/>
      <c r="F317" s="54"/>
      <c r="G317" s="54"/>
      <c r="H317" s="54"/>
      <c r="I317" s="54"/>
      <c r="J317" s="2"/>
      <c r="Y317" s="26" t="s">
        <v>98</v>
      </c>
      <c r="AA317" s="24"/>
      <c r="AB317" s="24"/>
      <c r="AC317" s="24"/>
      <c r="AD317" s="24"/>
    </row>
    <row r="318" spans="4:45" x14ac:dyDescent="0.25">
      <c r="D318" s="54"/>
      <c r="E318" s="54"/>
      <c r="F318" s="54"/>
      <c r="G318" s="54"/>
      <c r="H318" s="54"/>
      <c r="I318" s="54"/>
      <c r="J318" s="2"/>
      <c r="Y318" s="11" t="s">
        <v>26</v>
      </c>
      <c r="Z318" s="3">
        <f>SUM($B$70:$R$70)</f>
        <v>-13344.666000000001</v>
      </c>
      <c r="AA318" s="24" t="s">
        <v>114</v>
      </c>
      <c r="AB318" s="24"/>
      <c r="AC318" s="24"/>
      <c r="AD318" s="24"/>
    </row>
    <row r="319" spans="4:45" x14ac:dyDescent="0.25">
      <c r="D319" s="54"/>
      <c r="E319" s="54"/>
      <c r="F319" s="54"/>
      <c r="G319" s="54"/>
      <c r="H319" s="54"/>
      <c r="I319" s="54"/>
      <c r="J319" s="2"/>
      <c r="Y319" s="11" t="s">
        <v>27</v>
      </c>
      <c r="Z319" s="3">
        <f>SUM($B$71:$R$71)</f>
        <v>-177.92888000000002</v>
      </c>
      <c r="AA319" s="24" t="s">
        <v>114</v>
      </c>
      <c r="AB319" s="24"/>
      <c r="AC319" s="24"/>
      <c r="AD319" s="24"/>
    </row>
    <row r="320" spans="4:45" x14ac:dyDescent="0.25">
      <c r="D320" s="54"/>
      <c r="E320" s="54"/>
      <c r="F320" s="54"/>
      <c r="G320" s="54"/>
      <c r="H320" s="54"/>
      <c r="I320" s="54"/>
      <c r="J320" s="2"/>
      <c r="Y320" s="11" t="s">
        <v>28</v>
      </c>
      <c r="Z320" s="3">
        <f>SUM($B$72:$R$72)</f>
        <v>-266.89332000000002</v>
      </c>
      <c r="AA320" s="24" t="s">
        <v>114</v>
      </c>
      <c r="AB320" s="24"/>
      <c r="AC320" s="24"/>
      <c r="AD320" s="24"/>
    </row>
    <row r="321" spans="4:30" x14ac:dyDescent="0.25">
      <c r="D321" s="54"/>
      <c r="E321" s="54"/>
      <c r="F321" s="54"/>
      <c r="G321" s="54"/>
      <c r="H321" s="54"/>
      <c r="I321" s="54"/>
      <c r="J321" s="2"/>
      <c r="Y321" s="11" t="s">
        <v>29</v>
      </c>
      <c r="Z321" s="18">
        <f>ROUND(SUM($B$73:$R$73)+SUM($Z$310:$AP$310)+SUM($Z$312:$AP$312),2)</f>
        <v>677.91</v>
      </c>
      <c r="AA321" s="24" t="s">
        <v>116</v>
      </c>
      <c r="AB321" s="24"/>
      <c r="AC321" s="24"/>
      <c r="AD321" s="24"/>
    </row>
    <row r="322" spans="4:30" x14ac:dyDescent="0.25">
      <c r="D322" s="54"/>
      <c r="E322" s="54"/>
      <c r="F322" s="54"/>
      <c r="G322" s="54"/>
      <c r="H322" s="54"/>
      <c r="I322" s="54"/>
      <c r="J322" s="2"/>
      <c r="Y322" s="11" t="s">
        <v>30</v>
      </c>
      <c r="Z322" s="18">
        <f>ROUND(SUM($B$74:$R$74)+SUM($Z$311:$AP$311)+SUM($Z$313:$AP$313),2)</f>
        <v>-677.91</v>
      </c>
      <c r="AA322" s="24" t="s">
        <v>116</v>
      </c>
      <c r="AB322" s="24"/>
      <c r="AC322" s="24"/>
      <c r="AD322" s="24"/>
    </row>
    <row r="323" spans="4:30" x14ac:dyDescent="0.25">
      <c r="D323" s="54"/>
      <c r="E323" s="54"/>
      <c r="F323" s="54"/>
      <c r="G323" s="54"/>
      <c r="H323" s="54"/>
      <c r="I323" s="54"/>
      <c r="J323" s="2"/>
      <c r="Y323" s="11" t="s">
        <v>31</v>
      </c>
      <c r="Z323" s="29">
        <f>ROUND(SUM($B$75:$R$75)+SUM($Z$314:$AP$314)+SUM($Z$315:$AP$315),2)</f>
        <v>0</v>
      </c>
      <c r="AA323" s="24" t="s">
        <v>116</v>
      </c>
      <c r="AB323" s="24"/>
      <c r="AC323" s="24"/>
      <c r="AD323" s="24"/>
    </row>
    <row r="324" spans="4:30" x14ac:dyDescent="0.25">
      <c r="D324" s="54"/>
      <c r="E324" s="54"/>
      <c r="F324" s="54"/>
      <c r="G324" s="54"/>
      <c r="H324" s="54"/>
      <c r="I324" s="54"/>
      <c r="J324" s="2"/>
    </row>
    <row r="325" spans="4:30" x14ac:dyDescent="0.25">
      <c r="D325" s="54"/>
      <c r="E325" s="54"/>
      <c r="F325" s="54"/>
      <c r="G325" s="54"/>
      <c r="H325" s="54"/>
      <c r="I325" s="54"/>
      <c r="J325" s="2"/>
    </row>
    <row r="326" spans="4:30" x14ac:dyDescent="0.25">
      <c r="D326" s="54"/>
      <c r="E326" s="54"/>
      <c r="F326" s="54"/>
      <c r="G326" s="54"/>
      <c r="H326" s="54"/>
      <c r="I326" s="54"/>
      <c r="J326" s="2"/>
    </row>
    <row r="327" spans="4:30" x14ac:dyDescent="0.25">
      <c r="D327" s="54"/>
      <c r="E327" s="54"/>
      <c r="F327" s="54"/>
      <c r="G327" s="54"/>
      <c r="H327" s="54"/>
      <c r="I327" s="54"/>
      <c r="J327" s="2"/>
    </row>
    <row r="328" spans="4:30" x14ac:dyDescent="0.25">
      <c r="D328" s="54"/>
      <c r="E328" s="54"/>
      <c r="F328" s="54"/>
      <c r="G328" s="54"/>
      <c r="H328" s="54"/>
      <c r="I328" s="54"/>
      <c r="J328" s="2"/>
    </row>
    <row r="329" spans="4:30" x14ac:dyDescent="0.25">
      <c r="D329" s="54"/>
      <c r="E329" s="54"/>
      <c r="F329" s="54"/>
      <c r="G329" s="54"/>
      <c r="H329" s="54"/>
      <c r="I329" s="54"/>
      <c r="J329" s="2"/>
    </row>
    <row r="330" spans="4:30" x14ac:dyDescent="0.25">
      <c r="D330" s="54"/>
      <c r="E330" s="54"/>
      <c r="F330" s="54"/>
      <c r="G330" s="54"/>
      <c r="H330" s="54"/>
      <c r="I330" s="54"/>
      <c r="J330" s="2"/>
    </row>
    <row r="331" spans="4:30" x14ac:dyDescent="0.25">
      <c r="D331" s="54"/>
      <c r="E331" s="54"/>
      <c r="F331" s="54"/>
      <c r="G331" s="54"/>
      <c r="H331" s="54"/>
      <c r="I331" s="54"/>
      <c r="J331" s="2"/>
    </row>
    <row r="332" spans="4:30" x14ac:dyDescent="0.25">
      <c r="D332" s="54"/>
      <c r="E332" s="54"/>
      <c r="F332" s="54"/>
      <c r="G332" s="54"/>
      <c r="H332" s="54"/>
      <c r="I332" s="54"/>
      <c r="J332" s="2"/>
    </row>
    <row r="333" spans="4:30" x14ac:dyDescent="0.25">
      <c r="D333" s="54"/>
      <c r="E333" s="54"/>
      <c r="F333" s="54"/>
      <c r="G333" s="54"/>
      <c r="H333" s="54"/>
      <c r="I333" s="54"/>
      <c r="J333" s="2"/>
    </row>
    <row r="334" spans="4:30" x14ac:dyDescent="0.25">
      <c r="D334" s="54"/>
      <c r="E334" s="54"/>
      <c r="F334" s="54"/>
      <c r="G334" s="54"/>
      <c r="H334" s="54"/>
      <c r="I334" s="54"/>
      <c r="J334" s="2"/>
    </row>
    <row r="335" spans="4:30" x14ac:dyDescent="0.25">
      <c r="D335" s="54"/>
      <c r="E335" s="54"/>
      <c r="F335" s="54"/>
      <c r="G335" s="54"/>
      <c r="H335" s="54"/>
      <c r="I335" s="54"/>
      <c r="J335" s="2"/>
    </row>
    <row r="336" spans="4:30" x14ac:dyDescent="0.25">
      <c r="D336" s="54"/>
      <c r="E336" s="54"/>
      <c r="F336" s="54"/>
      <c r="G336" s="54"/>
      <c r="H336" s="54"/>
      <c r="I336" s="54"/>
      <c r="J336" s="2"/>
    </row>
    <row r="337" spans="4:10" x14ac:dyDescent="0.25">
      <c r="D337" s="54"/>
      <c r="E337" s="54"/>
      <c r="F337" s="54"/>
      <c r="G337" s="54"/>
      <c r="H337" s="54"/>
      <c r="I337" s="54"/>
      <c r="J337" s="2"/>
    </row>
    <row r="338" spans="4:10" x14ac:dyDescent="0.25">
      <c r="D338" s="54"/>
      <c r="E338" s="54"/>
      <c r="F338" s="54"/>
      <c r="G338" s="54"/>
      <c r="H338" s="54"/>
      <c r="I338" s="54"/>
      <c r="J338" s="2"/>
    </row>
    <row r="339" spans="4:10" x14ac:dyDescent="0.25">
      <c r="D339" s="54"/>
      <c r="E339" s="54"/>
      <c r="F339" s="54"/>
      <c r="G339" s="54"/>
      <c r="H339" s="54"/>
      <c r="I339" s="54"/>
      <c r="J339" s="2"/>
    </row>
    <row r="340" spans="4:10" x14ac:dyDescent="0.25">
      <c r="D340" s="54"/>
      <c r="E340" s="54"/>
      <c r="F340" s="54"/>
      <c r="G340" s="54"/>
      <c r="H340" s="54"/>
      <c r="I340" s="54"/>
      <c r="J340" s="2"/>
    </row>
    <row r="341" spans="4:10" x14ac:dyDescent="0.25">
      <c r="D341" s="54"/>
      <c r="E341" s="54"/>
      <c r="F341" s="54"/>
      <c r="G341" s="54"/>
      <c r="H341" s="54"/>
      <c r="I341" s="54"/>
      <c r="J341" s="2"/>
    </row>
    <row r="342" spans="4:10" x14ac:dyDescent="0.25">
      <c r="D342" s="54"/>
      <c r="E342" s="54"/>
      <c r="F342" s="54"/>
      <c r="G342" s="54"/>
      <c r="H342" s="54"/>
      <c r="I342" s="54"/>
      <c r="J342" s="2"/>
    </row>
    <row r="343" spans="4:10" x14ac:dyDescent="0.25">
      <c r="D343" s="54"/>
      <c r="E343" s="54"/>
      <c r="F343" s="54"/>
      <c r="G343" s="54"/>
      <c r="H343" s="54"/>
      <c r="I343" s="54"/>
      <c r="J343" s="2"/>
    </row>
    <row r="344" spans="4:10" x14ac:dyDescent="0.25">
      <c r="D344" s="54"/>
      <c r="E344" s="54"/>
      <c r="F344" s="54"/>
      <c r="G344" s="54"/>
      <c r="H344" s="54"/>
      <c r="I344" s="54"/>
      <c r="J344" s="2"/>
    </row>
    <row r="345" spans="4:10" x14ac:dyDescent="0.25">
      <c r="D345" s="54"/>
      <c r="E345" s="54"/>
      <c r="F345" s="54"/>
      <c r="G345" s="54"/>
      <c r="H345" s="54"/>
      <c r="I345" s="54"/>
      <c r="J345" s="2"/>
    </row>
    <row r="346" spans="4:10" x14ac:dyDescent="0.25">
      <c r="D346" s="54"/>
      <c r="E346" s="54"/>
      <c r="F346" s="54"/>
      <c r="G346" s="54"/>
      <c r="H346" s="54"/>
      <c r="I346" s="54"/>
      <c r="J346" s="2"/>
    </row>
    <row r="347" spans="4:10" x14ac:dyDescent="0.25">
      <c r="D347" s="54"/>
      <c r="E347" s="54"/>
      <c r="F347" s="54"/>
      <c r="G347" s="54"/>
      <c r="H347" s="54"/>
      <c r="I347" s="54"/>
      <c r="J347" s="2"/>
    </row>
    <row r="348" spans="4:10" x14ac:dyDescent="0.25">
      <c r="D348" s="54"/>
      <c r="E348" s="54"/>
      <c r="F348" s="54"/>
      <c r="G348" s="54"/>
      <c r="H348" s="54"/>
      <c r="I348" s="54"/>
      <c r="J348" s="2"/>
    </row>
    <row r="349" spans="4:10" x14ac:dyDescent="0.25">
      <c r="D349" s="54"/>
      <c r="E349" s="54"/>
      <c r="F349" s="54"/>
      <c r="G349" s="54"/>
      <c r="H349" s="54"/>
      <c r="I349" s="54"/>
      <c r="J349" s="2"/>
    </row>
    <row r="350" spans="4:10" x14ac:dyDescent="0.25">
      <c r="D350" s="54"/>
      <c r="E350" s="54"/>
      <c r="F350" s="54"/>
      <c r="G350" s="54"/>
      <c r="H350" s="54"/>
      <c r="I350" s="54"/>
      <c r="J350" s="2"/>
    </row>
    <row r="351" spans="4:10" x14ac:dyDescent="0.25">
      <c r="D351" s="54"/>
      <c r="E351" s="54"/>
      <c r="F351" s="54"/>
      <c r="G351" s="54"/>
      <c r="H351" s="54"/>
      <c r="I351" s="54"/>
      <c r="J351" s="2"/>
    </row>
    <row r="352" spans="4:10" x14ac:dyDescent="0.25">
      <c r="D352" s="54"/>
      <c r="E352" s="54"/>
      <c r="F352" s="54"/>
      <c r="G352" s="54"/>
      <c r="H352" s="54"/>
      <c r="I352" s="54"/>
      <c r="J352" s="2"/>
    </row>
    <row r="353" spans="4:10" x14ac:dyDescent="0.25">
      <c r="D353" s="54"/>
      <c r="E353" s="54"/>
      <c r="F353" s="54"/>
      <c r="G353" s="54"/>
      <c r="H353" s="54"/>
      <c r="I353" s="54"/>
      <c r="J353" s="2"/>
    </row>
    <row r="354" spans="4:10" x14ac:dyDescent="0.25">
      <c r="D354" s="54"/>
      <c r="E354" s="54"/>
      <c r="F354" s="54"/>
      <c r="G354" s="54"/>
      <c r="H354" s="54"/>
      <c r="I354" s="54"/>
      <c r="J354" s="2"/>
    </row>
    <row r="355" spans="4:10" x14ac:dyDescent="0.25">
      <c r="D355" s="54"/>
      <c r="E355" s="54"/>
      <c r="F355" s="54"/>
      <c r="G355" s="54"/>
      <c r="H355" s="54"/>
      <c r="I355" s="54"/>
      <c r="J355" s="2"/>
    </row>
    <row r="356" spans="4:10" x14ac:dyDescent="0.25">
      <c r="D356" s="54"/>
      <c r="E356" s="54"/>
      <c r="F356" s="54"/>
      <c r="G356" s="54"/>
      <c r="H356" s="54"/>
      <c r="I356" s="54"/>
      <c r="J356" s="2"/>
    </row>
    <row r="357" spans="4:10" x14ac:dyDescent="0.25">
      <c r="D357" s="54"/>
      <c r="E357" s="54"/>
      <c r="F357" s="54"/>
      <c r="G357" s="54"/>
      <c r="H357" s="54"/>
      <c r="I357" s="54"/>
      <c r="J357" s="2"/>
    </row>
    <row r="358" spans="4:10" x14ac:dyDescent="0.25">
      <c r="D358" s="54"/>
      <c r="E358" s="54"/>
      <c r="F358" s="54"/>
      <c r="G358" s="54"/>
      <c r="H358" s="54"/>
      <c r="I358" s="54"/>
      <c r="J358" s="2"/>
    </row>
    <row r="359" spans="4:10" x14ac:dyDescent="0.25">
      <c r="D359" s="54"/>
      <c r="E359" s="54"/>
      <c r="F359" s="54"/>
      <c r="G359" s="54"/>
      <c r="H359" s="54"/>
      <c r="I359" s="54"/>
      <c r="J359" s="2"/>
    </row>
    <row r="360" spans="4:10" x14ac:dyDescent="0.25">
      <c r="D360" s="54"/>
      <c r="E360" s="54"/>
      <c r="F360" s="54"/>
      <c r="G360" s="54"/>
      <c r="H360" s="54"/>
      <c r="I360" s="54"/>
      <c r="J360" s="2"/>
    </row>
    <row r="361" spans="4:10" x14ac:dyDescent="0.25">
      <c r="D361" s="54"/>
      <c r="E361" s="54"/>
      <c r="F361" s="54"/>
      <c r="G361" s="54"/>
      <c r="H361" s="54"/>
      <c r="I361" s="54"/>
      <c r="J361" s="2"/>
    </row>
    <row r="362" spans="4:10" x14ac:dyDescent="0.25">
      <c r="D362" s="54"/>
      <c r="E362" s="54"/>
      <c r="F362" s="54"/>
      <c r="G362" s="54"/>
      <c r="H362" s="54"/>
      <c r="I362" s="54"/>
      <c r="J362" s="2"/>
    </row>
    <row r="363" spans="4:10" x14ac:dyDescent="0.25">
      <c r="D363" s="54"/>
      <c r="E363" s="54"/>
      <c r="F363" s="54"/>
      <c r="G363" s="54"/>
      <c r="H363" s="54"/>
      <c r="I363" s="54"/>
      <c r="J363" s="2"/>
    </row>
    <row r="364" spans="4:10" x14ac:dyDescent="0.25">
      <c r="D364" s="54"/>
      <c r="E364" s="54"/>
      <c r="F364" s="54"/>
      <c r="G364" s="54"/>
      <c r="H364" s="54"/>
      <c r="I364" s="54"/>
      <c r="J364" s="2"/>
    </row>
    <row r="365" spans="4:10" x14ac:dyDescent="0.25">
      <c r="D365" s="54"/>
      <c r="E365" s="54"/>
      <c r="F365" s="54"/>
      <c r="G365" s="54"/>
      <c r="H365" s="54"/>
      <c r="I365" s="54"/>
      <c r="J365" s="2"/>
    </row>
    <row r="366" spans="4:10" x14ac:dyDescent="0.25">
      <c r="D366" s="54"/>
      <c r="E366" s="54"/>
      <c r="F366" s="54"/>
      <c r="G366" s="54"/>
      <c r="H366" s="54"/>
      <c r="I366" s="54"/>
      <c r="J366" s="2"/>
    </row>
    <row r="367" spans="4:10" x14ac:dyDescent="0.25">
      <c r="D367" s="54"/>
      <c r="E367" s="54"/>
      <c r="F367" s="54"/>
      <c r="G367" s="54"/>
      <c r="H367" s="54"/>
      <c r="I367" s="54"/>
      <c r="J367" s="2"/>
    </row>
    <row r="368" spans="4:10" x14ac:dyDescent="0.25">
      <c r="D368" s="54"/>
      <c r="E368" s="54"/>
      <c r="F368" s="54"/>
      <c r="G368" s="54"/>
      <c r="H368" s="54"/>
      <c r="I368" s="54"/>
      <c r="J368" s="2"/>
    </row>
    <row r="369" spans="4:20" x14ac:dyDescent="0.25">
      <c r="D369" s="54"/>
      <c r="E369" s="54"/>
      <c r="F369" s="54"/>
      <c r="G369" s="54"/>
      <c r="H369" s="54"/>
      <c r="I369" s="54"/>
      <c r="J369" s="2"/>
    </row>
    <row r="370" spans="4:20" x14ac:dyDescent="0.25">
      <c r="D370" s="54"/>
      <c r="E370" s="54"/>
      <c r="F370" s="54"/>
      <c r="G370" s="54"/>
      <c r="H370" s="54"/>
      <c r="I370" s="54"/>
      <c r="J370" s="2"/>
    </row>
    <row r="371" spans="4:20" x14ac:dyDescent="0.25">
      <c r="D371" s="54"/>
      <c r="E371" s="54"/>
      <c r="F371" s="54"/>
      <c r="G371" s="54"/>
      <c r="H371" s="54"/>
      <c r="I371" s="54"/>
      <c r="J371" s="2"/>
    </row>
    <row r="372" spans="4:20" x14ac:dyDescent="0.25">
      <c r="D372" s="54"/>
      <c r="E372" s="54"/>
      <c r="F372" s="54"/>
      <c r="G372" s="54"/>
      <c r="H372" s="54"/>
      <c r="I372" s="54"/>
      <c r="J372" s="2"/>
      <c r="K372" s="2"/>
      <c r="L372" s="2"/>
      <c r="M372" s="2"/>
      <c r="N372" s="2"/>
      <c r="O372" s="2"/>
      <c r="P372" s="2"/>
      <c r="Q372" s="2"/>
      <c r="R372" s="2"/>
      <c r="S372" s="2"/>
      <c r="T372" s="2"/>
    </row>
    <row r="373" spans="4:20" x14ac:dyDescent="0.25">
      <c r="D373" s="54"/>
      <c r="E373" s="54"/>
      <c r="F373" s="54"/>
      <c r="G373" s="54"/>
      <c r="H373" s="54"/>
      <c r="I373" s="54"/>
      <c r="J373" s="2"/>
      <c r="K373" s="2"/>
      <c r="L373" s="2"/>
      <c r="M373" s="2"/>
      <c r="N373" s="2"/>
      <c r="O373" s="2"/>
      <c r="P373" s="2"/>
      <c r="Q373" s="2"/>
      <c r="R373" s="2"/>
      <c r="S373" s="2"/>
      <c r="T373" s="2"/>
    </row>
    <row r="374" spans="4:20" x14ac:dyDescent="0.25">
      <c r="D374" s="54"/>
      <c r="E374" s="54"/>
      <c r="F374" s="54"/>
      <c r="G374" s="54"/>
      <c r="H374" s="54"/>
      <c r="I374" s="54"/>
      <c r="J374" s="2"/>
      <c r="K374" s="2"/>
      <c r="L374" s="2"/>
      <c r="M374" s="2"/>
      <c r="N374" s="2"/>
      <c r="O374" s="2"/>
      <c r="P374" s="2"/>
      <c r="Q374" s="2"/>
      <c r="R374" s="2"/>
      <c r="S374" s="2"/>
      <c r="T374" s="2"/>
    </row>
    <row r="375" spans="4:20" x14ac:dyDescent="0.25">
      <c r="D375" s="54"/>
      <c r="E375" s="54"/>
      <c r="F375" s="54"/>
      <c r="G375" s="54"/>
      <c r="H375" s="54"/>
      <c r="I375" s="54"/>
      <c r="J375" s="2"/>
      <c r="K375" s="2"/>
      <c r="L375" s="2"/>
      <c r="M375" s="2"/>
      <c r="N375" s="2"/>
      <c r="O375" s="2"/>
      <c r="P375" s="2"/>
      <c r="Q375" s="2"/>
      <c r="R375" s="2"/>
      <c r="S375" s="2"/>
      <c r="T375" s="2"/>
    </row>
    <row r="376" spans="4:20" x14ac:dyDescent="0.25">
      <c r="D376" s="54"/>
      <c r="E376" s="54"/>
      <c r="F376" s="54"/>
      <c r="G376" s="54"/>
      <c r="H376" s="54"/>
      <c r="I376" s="54"/>
      <c r="J376" s="2"/>
    </row>
    <row r="377" spans="4:20" x14ac:dyDescent="0.25">
      <c r="D377" s="54"/>
      <c r="E377" s="54"/>
      <c r="F377" s="54"/>
      <c r="G377" s="54"/>
      <c r="H377" s="54"/>
      <c r="I377" s="54"/>
      <c r="J377" s="2"/>
    </row>
    <row r="378" spans="4:20" x14ac:dyDescent="0.25">
      <c r="D378" s="54"/>
      <c r="E378" s="54"/>
      <c r="F378" s="54"/>
      <c r="G378" s="54"/>
      <c r="H378" s="54"/>
      <c r="I378" s="54"/>
      <c r="J378" s="2"/>
    </row>
    <row r="379" spans="4:20" x14ac:dyDescent="0.25">
      <c r="D379" s="54"/>
      <c r="E379" s="54"/>
      <c r="F379" s="54"/>
      <c r="G379" s="54"/>
      <c r="H379" s="54"/>
      <c r="I379" s="54"/>
      <c r="J379" s="2"/>
    </row>
    <row r="380" spans="4:20" x14ac:dyDescent="0.25">
      <c r="D380" s="54"/>
      <c r="E380" s="54"/>
      <c r="F380" s="54"/>
      <c r="G380" s="54"/>
      <c r="H380" s="54"/>
      <c r="I380" s="54"/>
      <c r="J380" s="2"/>
    </row>
    <row r="381" spans="4:20" x14ac:dyDescent="0.25">
      <c r="D381" s="54"/>
      <c r="E381" s="54"/>
      <c r="F381" s="54"/>
      <c r="G381" s="54"/>
      <c r="H381" s="54"/>
      <c r="I381" s="54"/>
      <c r="J381" s="2"/>
    </row>
    <row r="382" spans="4:20" x14ac:dyDescent="0.25">
      <c r="D382" s="54"/>
      <c r="E382" s="54"/>
      <c r="F382" s="54"/>
      <c r="G382" s="54"/>
      <c r="H382" s="54"/>
      <c r="I382" s="54"/>
      <c r="J382" s="2"/>
    </row>
    <row r="383" spans="4:20" x14ac:dyDescent="0.25">
      <c r="D383" s="54"/>
      <c r="E383" s="54"/>
      <c r="F383" s="54"/>
      <c r="G383" s="54"/>
      <c r="H383" s="54"/>
      <c r="I383" s="54"/>
      <c r="J383" s="2"/>
    </row>
    <row r="384" spans="4:20" x14ac:dyDescent="0.25">
      <c r="D384" s="54"/>
      <c r="E384" s="54"/>
      <c r="F384" s="54"/>
      <c r="G384" s="54"/>
      <c r="H384" s="54"/>
      <c r="I384" s="54"/>
      <c r="J384" s="2"/>
    </row>
    <row r="385" spans="1:10" x14ac:dyDescent="0.25">
      <c r="D385" s="54"/>
      <c r="E385" s="54"/>
      <c r="F385" s="54"/>
      <c r="G385" s="54"/>
      <c r="H385" s="54"/>
      <c r="I385" s="54"/>
      <c r="J385" s="2"/>
    </row>
    <row r="386" spans="1:10" x14ac:dyDescent="0.25">
      <c r="D386" s="54"/>
      <c r="E386" s="54"/>
      <c r="F386" s="54"/>
      <c r="G386" s="54"/>
      <c r="H386" s="54"/>
      <c r="I386" s="54"/>
      <c r="J386" s="2"/>
    </row>
    <row r="387" spans="1:10" x14ac:dyDescent="0.25">
      <c r="D387" s="54"/>
      <c r="E387" s="54"/>
      <c r="F387" s="54"/>
      <c r="G387" s="54"/>
      <c r="H387" s="54"/>
      <c r="I387" s="54"/>
      <c r="J387" s="2"/>
    </row>
    <row r="388" spans="1:10" x14ac:dyDescent="0.25">
      <c r="D388" s="54"/>
      <c r="E388" s="54"/>
      <c r="F388" s="54"/>
      <c r="G388" s="54"/>
      <c r="H388" s="54"/>
      <c r="I388" s="54"/>
      <c r="J388" s="2"/>
    </row>
    <row r="389" spans="1:10" x14ac:dyDescent="0.25">
      <c r="D389" s="54"/>
      <c r="E389" s="54"/>
      <c r="F389" s="54"/>
      <c r="G389" s="54"/>
      <c r="H389" s="54"/>
      <c r="I389" s="54"/>
      <c r="J389" s="2"/>
    </row>
    <row r="390" spans="1:10" x14ac:dyDescent="0.25">
      <c r="D390" s="54"/>
      <c r="E390" s="54"/>
      <c r="F390" s="54"/>
      <c r="G390" s="54"/>
      <c r="H390" s="54"/>
      <c r="I390" s="54"/>
      <c r="J390" s="2"/>
    </row>
    <row r="391" spans="1:10" x14ac:dyDescent="0.25">
      <c r="D391" s="54"/>
      <c r="E391" s="54"/>
      <c r="F391" s="54"/>
      <c r="G391" s="54"/>
      <c r="H391" s="54"/>
      <c r="I391" s="54"/>
      <c r="J391" s="2"/>
    </row>
    <row r="392" spans="1:10" x14ac:dyDescent="0.25">
      <c r="D392" s="54"/>
      <c r="E392" s="54"/>
      <c r="F392" s="54"/>
      <c r="G392" s="54"/>
      <c r="H392" s="54"/>
      <c r="I392" s="54"/>
      <c r="J392" s="2"/>
    </row>
    <row r="393" spans="1:10" x14ac:dyDescent="0.25">
      <c r="D393" s="54"/>
      <c r="E393" s="54"/>
      <c r="F393" s="54"/>
      <c r="G393" s="54"/>
      <c r="H393" s="54"/>
      <c r="I393" s="54"/>
      <c r="J393" s="2"/>
    </row>
    <row r="394" spans="1:10" x14ac:dyDescent="0.25">
      <c r="D394" s="54"/>
      <c r="E394" s="54"/>
      <c r="F394" s="54"/>
      <c r="G394" s="54"/>
      <c r="H394" s="54"/>
      <c r="I394" s="54"/>
      <c r="J394" s="2"/>
    </row>
    <row r="395" spans="1:10" x14ac:dyDescent="0.25">
      <c r="D395" s="54"/>
      <c r="E395" s="54"/>
      <c r="F395" s="54"/>
      <c r="G395" s="54"/>
      <c r="H395" s="54"/>
      <c r="I395" s="54"/>
      <c r="J395" s="2"/>
    </row>
    <row r="396" spans="1:10" x14ac:dyDescent="0.25">
      <c r="D396" s="54"/>
      <c r="E396" s="54"/>
      <c r="F396" s="54"/>
      <c r="G396" s="54"/>
      <c r="H396" s="54"/>
      <c r="I396" s="54"/>
      <c r="J396" s="2"/>
    </row>
    <row r="397" spans="1:10" x14ac:dyDescent="0.25">
      <c r="D397" s="54"/>
      <c r="E397" s="54"/>
      <c r="F397" s="54"/>
      <c r="G397" s="54"/>
      <c r="H397" s="54"/>
      <c r="I397" s="54"/>
      <c r="J397" s="2"/>
    </row>
    <row r="398" spans="1:10" x14ac:dyDescent="0.25">
      <c r="A398" s="54"/>
      <c r="B398" s="54"/>
      <c r="C398" s="54"/>
      <c r="D398" s="54"/>
      <c r="E398" s="54"/>
      <c r="F398" s="54"/>
      <c r="G398" s="54"/>
      <c r="H398" s="54"/>
      <c r="I398" s="54"/>
      <c r="J398" s="2"/>
    </row>
    <row r="399" spans="1:10" x14ac:dyDescent="0.25">
      <c r="A399" s="54"/>
      <c r="E399" s="54"/>
      <c r="F399" s="54"/>
      <c r="G399" s="54"/>
      <c r="H399" s="54"/>
      <c r="I399" s="54"/>
      <c r="J399" s="2"/>
    </row>
    <row r="400" spans="1:10" x14ac:dyDescent="0.25">
      <c r="A400" s="54"/>
      <c r="E400" s="54"/>
      <c r="F400" s="54"/>
      <c r="G400" s="54"/>
      <c r="H400" s="54"/>
      <c r="I400" s="54"/>
      <c r="J400" s="2"/>
    </row>
    <row r="401" spans="1:10" x14ac:dyDescent="0.25">
      <c r="A401" s="54"/>
      <c r="E401" s="54"/>
      <c r="F401" s="54"/>
      <c r="G401" s="54"/>
      <c r="H401" s="54"/>
      <c r="I401" s="54"/>
      <c r="J401" s="2"/>
    </row>
    <row r="402" spans="1:10" x14ac:dyDescent="0.25">
      <c r="A402" s="54"/>
      <c r="E402" s="54"/>
      <c r="F402" s="54"/>
      <c r="G402" s="54"/>
      <c r="H402" s="54"/>
      <c r="I402" s="54"/>
      <c r="J402" s="2"/>
    </row>
    <row r="403" spans="1:10" x14ac:dyDescent="0.25">
      <c r="A403" s="54"/>
      <c r="B403" s="54"/>
      <c r="C403" s="54"/>
      <c r="D403" s="54"/>
      <c r="E403" s="54"/>
      <c r="F403" s="54"/>
      <c r="G403" s="54"/>
      <c r="H403" s="54"/>
      <c r="I403" s="54"/>
      <c r="J403" s="2"/>
    </row>
    <row r="404" spans="1:10" x14ac:dyDescent="0.25">
      <c r="A404" s="54"/>
      <c r="J404" s="2"/>
    </row>
    <row r="405" spans="1:10" x14ac:dyDescent="0.25">
      <c r="J405" s="2"/>
    </row>
    <row r="406" spans="1:10" x14ac:dyDescent="0.25">
      <c r="J406" s="2"/>
    </row>
    <row r="407" spans="1:10" x14ac:dyDescent="0.25">
      <c r="J407" s="2"/>
    </row>
  </sheetData>
  <sheetProtection sheet="1" objects="1" scenarios="1"/>
  <phoneticPr fontId="41" type="noConversion"/>
  <conditionalFormatting sqref="E102">
    <cfRule type="cellIs" dxfId="3" priority="1" stopIfTrue="1" operator="notEqual">
      <formula>"OK"</formula>
    </cfRule>
  </conditionalFormatting>
  <dataValidations xWindow="31820" yWindow="99" count="6">
    <dataValidation type="decimal" operator="greaterThanOrEqual" allowBlank="1" showInputMessage="1" showErrorMessage="1" prompt="'Xo' is the x-coordinate location of the center of the pile circle from the origin Y-axis.  Xo &gt;=  Dc/2" sqref="AW86">
      <formula1>$AW$85/2</formula1>
    </dataValidation>
    <dataValidation allowBlank="1" showInputMessage="1" showErrorMessage="1" prompt="'Dc' is the diameter of the pile circle." sqref="AW85"/>
    <dataValidation type="decimal" operator="greaterThanOrEqual" allowBlank="1" showInputMessage="1" showErrorMessage="1" prompt="'Yo' is the y-coordinate location of the center of the pile circle from the origin X-axis.  Yo &gt;=  Dc/2" sqref="AW87">
      <formula1>$AW$85/2</formula1>
    </dataValidation>
    <dataValidation type="decimal" operator="greaterThanOrEqual" allowBlank="1" showInputMessage="1" showErrorMessage="1" prompt="The angle to Pile #1 is measured counterclockwise from the origin X-axis." sqref="AW88">
      <formula1>0</formula1>
    </dataValidation>
    <dataValidation type="list" allowBlank="1" showInputMessage="1" showErrorMessage="1" errorTitle="Warning!" error="Invalid input for number of piles_x000a_(must input a value between 2 and 300)" sqref="AW84 C9">
      <formula1>$U$6:$U$304</formula1>
    </dataValidation>
    <dataValidation type="list" allowBlank="1" showInputMessage="1" showErrorMessage="1" errorTitle="Warning!" error="Invalid input for number of piers_x000a_(must input a value between 1 and 4)" sqref="B64">
      <formula1>$U$5:$U$21</formula1>
    </dataValidation>
  </dataValidations>
  <pageMargins left="1" right="0.5" top="1" bottom="1" header="0.5" footer="0.5"/>
  <pageSetup scale="50" orientation="portrait" r:id="rId1"/>
  <headerFooter alignWithMargins="0">
    <oddHeader>&amp;R"PILEGRP.xls" Program
Version 3.6</oddHeader>
    <oddFooter>&amp;C&amp;P of &amp;N&amp;R&amp;D  &amp;T</oddFooter>
  </headerFooter>
  <rowBreaks count="2" manualBreakCount="2">
    <brk id="100" max="18" man="1"/>
    <brk id="325" max="18" man="1"/>
  </rowBreaks>
  <drawing r:id="rId2"/>
  <mc:AlternateContent xmlns:mc="http://schemas.openxmlformats.org/markup-compatibility/2006">
    <mc:Choice Requires="v">
      <legacyDrawing r:id="rId3"/>
    </mc:Choice>
  </mc:AlternateContent>
</worksheet>
</file>

<file path=xl/worksheets/sheet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dimension ref="A1:CK423"/>
  <sheetViews>
    <sheetView zoomScale="80" zoomScaleNormal="80" workbookViewId="0"/>
  </sheetViews>
  <sheetFormatPr defaultColWidth="9.109375" defaultRowHeight="13.2" x14ac:dyDescent="0.25"/>
  <cols>
    <col min="1" max="1" width="11.88671875" style="92" customWidth="1"/>
    <col min="2" max="2" width="12.6640625" style="92" customWidth="1"/>
    <col min="3" max="4" width="9.109375" style="92"/>
    <col min="5" max="5" width="12.6640625" style="92" customWidth="1"/>
    <col min="6" max="6" width="11.109375" style="92" customWidth="1"/>
    <col min="7" max="7" width="9.109375" style="92"/>
    <col min="8" max="8" width="9.5546875" style="92" customWidth="1"/>
    <col min="9" max="9" width="9.109375" style="92"/>
    <col min="10" max="25" width="9.109375" style="1"/>
    <col min="26" max="27" width="9.109375" style="1" hidden="1" customWidth="1"/>
    <col min="28" max="28" width="10.6640625" style="1" hidden="1" customWidth="1"/>
    <col min="29" max="31" width="9.109375" style="1" hidden="1" customWidth="1"/>
    <col min="32" max="32" width="12.6640625" style="1" hidden="1" customWidth="1"/>
    <col min="33" max="55" width="9.109375" style="1" hidden="1" customWidth="1"/>
    <col min="56" max="56" width="9.109375" style="1"/>
    <col min="57" max="57" width="9.109375" style="9"/>
    <col min="58" max="59" width="9.109375" style="1"/>
    <col min="60" max="60" width="11.88671875" style="1" customWidth="1"/>
    <col min="61" max="16384" width="9.109375" style="1"/>
  </cols>
  <sheetData>
    <row r="1" spans="1:82" ht="15.6" x14ac:dyDescent="0.3">
      <c r="A1" s="32" t="s">
        <v>67</v>
      </c>
      <c r="B1" s="33"/>
      <c r="C1" s="34"/>
      <c r="D1" s="34"/>
      <c r="E1" s="34"/>
      <c r="F1" s="33"/>
      <c r="G1" s="33"/>
      <c r="H1" s="34"/>
      <c r="I1" s="33"/>
      <c r="J1" s="242"/>
      <c r="K1" s="33"/>
      <c r="L1" s="33"/>
      <c r="M1" s="242"/>
      <c r="N1" s="35"/>
      <c r="O1" s="243"/>
      <c r="P1" s="243"/>
      <c r="Q1" s="243"/>
      <c r="R1" s="243"/>
      <c r="S1" s="243"/>
      <c r="T1" s="243"/>
      <c r="U1" s="243"/>
      <c r="V1" s="243"/>
      <c r="W1" s="243"/>
      <c r="X1" s="243"/>
      <c r="Y1" s="244"/>
      <c r="Z1" s="93"/>
      <c r="AA1" s="7" t="s">
        <v>4</v>
      </c>
      <c r="AD1" s="7"/>
      <c r="BD1" s="184" t="s">
        <v>373</v>
      </c>
    </row>
    <row r="2" spans="1:82" x14ac:dyDescent="0.25">
      <c r="A2" s="36" t="s">
        <v>325</v>
      </c>
      <c r="B2" s="37"/>
      <c r="C2" s="38"/>
      <c r="D2" s="37"/>
      <c r="E2" s="37"/>
      <c r="F2" s="39"/>
      <c r="G2" s="39"/>
      <c r="H2" s="37"/>
      <c r="I2" s="39"/>
      <c r="J2" s="245"/>
      <c r="K2" s="39"/>
      <c r="L2" s="39"/>
      <c r="M2" s="245"/>
      <c r="N2" s="40"/>
      <c r="O2" s="93"/>
      <c r="P2" s="93"/>
      <c r="Q2" s="93"/>
      <c r="R2" s="93"/>
      <c r="S2" s="93"/>
      <c r="T2" s="93"/>
      <c r="U2" s="93"/>
      <c r="V2" s="93"/>
      <c r="W2" s="93"/>
      <c r="X2" s="93"/>
      <c r="Y2" s="246"/>
      <c r="Z2" s="93"/>
      <c r="BE2" s="134" t="s">
        <v>109</v>
      </c>
      <c r="BF2" s="129"/>
    </row>
    <row r="3" spans="1:82" x14ac:dyDescent="0.25">
      <c r="A3" s="136" t="s">
        <v>161</v>
      </c>
      <c r="B3" s="41"/>
      <c r="C3" s="41"/>
      <c r="D3" s="41"/>
      <c r="E3" s="41"/>
      <c r="F3" s="42"/>
      <c r="G3" s="42"/>
      <c r="H3" s="41"/>
      <c r="I3" s="42"/>
      <c r="J3" s="247"/>
      <c r="K3" s="42"/>
      <c r="L3" s="42"/>
      <c r="M3" s="247"/>
      <c r="N3" s="43"/>
      <c r="O3" s="93"/>
      <c r="P3" s="93"/>
      <c r="Q3" s="93"/>
      <c r="R3" s="93"/>
      <c r="S3" s="93"/>
      <c r="T3" s="93"/>
      <c r="U3" s="93"/>
      <c r="V3" s="93"/>
      <c r="W3" s="93"/>
      <c r="X3" s="93"/>
      <c r="Y3" s="246"/>
      <c r="Z3" s="93"/>
      <c r="AB3" s="25" t="s">
        <v>55</v>
      </c>
      <c r="AC3" s="21"/>
      <c r="AD3" s="25" t="s">
        <v>84</v>
      </c>
      <c r="AE3" s="6"/>
      <c r="AF3" s="21"/>
      <c r="AG3" s="25" t="s">
        <v>24</v>
      </c>
      <c r="AH3" s="21"/>
      <c r="AI3" s="25" t="s">
        <v>25</v>
      </c>
      <c r="AJ3" s="22"/>
      <c r="BE3" s="130" t="s">
        <v>110</v>
      </c>
      <c r="BF3" s="130" t="s">
        <v>111</v>
      </c>
    </row>
    <row r="4" spans="1:82" x14ac:dyDescent="0.25">
      <c r="A4" s="44" t="s">
        <v>2</v>
      </c>
      <c r="B4" s="248"/>
      <c r="C4" s="249"/>
      <c r="D4" s="249"/>
      <c r="E4" s="249"/>
      <c r="F4" s="93"/>
      <c r="G4" s="93"/>
      <c r="H4" s="120" t="s">
        <v>108</v>
      </c>
      <c r="I4" s="253"/>
      <c r="J4" s="369"/>
      <c r="K4" s="126"/>
      <c r="L4" s="123"/>
      <c r="M4" s="369"/>
      <c r="N4" s="124"/>
      <c r="O4" s="93"/>
      <c r="P4" s="93"/>
      <c r="Q4" s="93"/>
      <c r="R4" s="93"/>
      <c r="S4" s="93"/>
      <c r="T4" s="93"/>
      <c r="U4" s="93"/>
      <c r="V4" s="93"/>
      <c r="W4" s="93"/>
      <c r="X4" s="93"/>
      <c r="Y4" s="246"/>
      <c r="Z4" s="93"/>
      <c r="AA4" s="13" t="s">
        <v>56</v>
      </c>
      <c r="AB4" s="14" t="s">
        <v>87</v>
      </c>
      <c r="AC4" s="14" t="s">
        <v>88</v>
      </c>
      <c r="AD4" s="23" t="s">
        <v>95</v>
      </c>
      <c r="AE4" s="23" t="s">
        <v>96</v>
      </c>
      <c r="AF4" s="23" t="s">
        <v>97</v>
      </c>
      <c r="AG4" s="15" t="s">
        <v>18</v>
      </c>
      <c r="AH4" s="15" t="s">
        <v>19</v>
      </c>
      <c r="AI4" s="15" t="s">
        <v>20</v>
      </c>
      <c r="AJ4" s="15" t="s">
        <v>21</v>
      </c>
      <c r="BE4" s="27">
        <v>10</v>
      </c>
      <c r="BF4" s="133">
        <v>28</v>
      </c>
    </row>
    <row r="5" spans="1:82" x14ac:dyDescent="0.25">
      <c r="A5" s="44" t="s">
        <v>3</v>
      </c>
      <c r="B5" s="122"/>
      <c r="C5" s="123"/>
      <c r="D5" s="123"/>
      <c r="E5" s="123"/>
      <c r="F5" s="369"/>
      <c r="G5" s="370"/>
      <c r="H5" s="127" t="s">
        <v>107</v>
      </c>
      <c r="I5" s="366"/>
      <c r="J5" s="371"/>
      <c r="K5" s="367"/>
      <c r="L5" s="255" t="s">
        <v>106</v>
      </c>
      <c r="M5" s="366"/>
      <c r="N5" s="368"/>
      <c r="O5" s="93"/>
      <c r="P5" s="93"/>
      <c r="Q5" s="93"/>
      <c r="R5" s="93"/>
      <c r="S5" s="93"/>
      <c r="T5" s="93"/>
      <c r="U5" s="93"/>
      <c r="V5" s="93"/>
      <c r="W5" s="93"/>
      <c r="X5" s="93"/>
      <c r="Y5" s="246"/>
      <c r="Z5" s="93"/>
      <c r="AA5" s="256">
        <v>1</v>
      </c>
      <c r="AB5" s="16">
        <f t="shared" ref="AB5:AB36" si="0">IF($C$9&gt;=$AA5,$C13+0.000001-$AB$410,"")</f>
        <v>-13.499999000000001</v>
      </c>
      <c r="AC5" s="16">
        <f t="shared" ref="AC5:AC36" si="1">IF($C$9&gt;=$AA5,$B13+0.000001-$AB$409,"")</f>
        <v>-4.4999989999999999</v>
      </c>
      <c r="AD5" s="16">
        <f t="shared" ref="AD5:AD68" si="2">IF($C$9&gt;=$AA5,$AB5^2,"")</f>
        <v>182.24997300000101</v>
      </c>
      <c r="AE5" s="16">
        <f t="shared" ref="AE5:AE68" si="3">IF($C$9&gt;=$AA5,$AC5^2,"")</f>
        <v>20.249991000001</v>
      </c>
      <c r="AF5" s="16">
        <f t="shared" ref="AF5:AF68" si="4">IF($C$9&gt;=$AA5,$AB5*$AC5,"")</f>
        <v>60.749982000001005</v>
      </c>
      <c r="AG5" s="17">
        <f t="shared" ref="AG5:AG36" si="5">IF($C$9&gt;=$AA5,$B13-$AB$409,"")</f>
        <v>-4.5</v>
      </c>
      <c r="AH5" s="17">
        <f t="shared" ref="AH5:AH36" si="6">IF($C$9&gt;=$AA5,$C13-$AB$410,"")</f>
        <v>-13.5</v>
      </c>
      <c r="AI5" s="18">
        <f t="shared" ref="AI5:AI68" si="7">IF($C$9&gt;=$AA5,(-$AF$418/$C$9+($AF$422*$AB$411--$AF$421*$AB$414)/($AB$411*$AB$412-$AB$414^2)*$AG5+(-$AF$421*$AB$412-$AF$422*$AB$414)/($AB$411*$AB$412-$AB$414^2)*$AH5),"")</f>
        <v>82.272727272726797</v>
      </c>
      <c r="AJ5" s="18">
        <f t="shared" ref="AJ5:AJ68" si="8">IF($C$9&gt;=$AA5,((($AF$419/$C$9+$AF$423*-$AH5/$AB$413)^2+($AF$420/$C$9+$AF$423*$AG5/$AB$413)^2)^(1/2)),"")</f>
        <v>1.8027756377319946</v>
      </c>
      <c r="BH5" s="139" t="s">
        <v>169</v>
      </c>
      <c r="BI5" s="137"/>
      <c r="BJ5" s="137"/>
      <c r="BK5" s="137"/>
      <c r="BL5" s="138"/>
    </row>
    <row r="6" spans="1:82" x14ac:dyDescent="0.25">
      <c r="A6" s="45"/>
      <c r="B6" s="93"/>
      <c r="C6" s="93"/>
      <c r="D6" s="93"/>
      <c r="E6" s="93"/>
      <c r="F6" s="93"/>
      <c r="G6" s="93"/>
      <c r="H6" s="185"/>
      <c r="I6" s="257"/>
      <c r="J6" s="93"/>
      <c r="K6" s="93"/>
      <c r="L6" s="93"/>
      <c r="M6" s="93"/>
      <c r="N6" s="93"/>
      <c r="O6" s="93"/>
      <c r="P6" s="93"/>
      <c r="Q6" s="93"/>
      <c r="R6" s="93"/>
      <c r="S6" s="93"/>
      <c r="T6" s="93"/>
      <c r="U6" s="93"/>
      <c r="V6" s="93"/>
      <c r="W6" s="93"/>
      <c r="X6" s="93"/>
      <c r="Y6" s="246"/>
      <c r="Z6" s="93"/>
      <c r="AA6" s="256">
        <v>2</v>
      </c>
      <c r="AB6" s="16">
        <f t="shared" si="0"/>
        <v>-10.499998999999999</v>
      </c>
      <c r="AC6" s="16">
        <f t="shared" si="1"/>
        <v>-4.4999989999999999</v>
      </c>
      <c r="AD6" s="16">
        <f t="shared" si="2"/>
        <v>110.24997900000098</v>
      </c>
      <c r="AE6" s="16">
        <f t="shared" si="3"/>
        <v>20.249991000001</v>
      </c>
      <c r="AF6" s="16">
        <f t="shared" si="4"/>
        <v>47.249985000000997</v>
      </c>
      <c r="AG6" s="17">
        <f t="shared" si="5"/>
        <v>-4.5</v>
      </c>
      <c r="AH6" s="17">
        <f t="shared" si="6"/>
        <v>-10.5</v>
      </c>
      <c r="AI6" s="18">
        <f t="shared" si="7"/>
        <v>81.767676767676306</v>
      </c>
      <c r="AJ6" s="18">
        <f t="shared" si="8"/>
        <v>1.8027756377319946</v>
      </c>
      <c r="BH6" s="137" t="s">
        <v>167</v>
      </c>
      <c r="BI6" s="137"/>
      <c r="BJ6" s="137"/>
      <c r="BK6" s="137"/>
      <c r="BL6" s="138"/>
    </row>
    <row r="7" spans="1:82" x14ac:dyDescent="0.25">
      <c r="A7" s="47" t="s">
        <v>1</v>
      </c>
      <c r="B7" s="93"/>
      <c r="C7" s="94"/>
      <c r="D7" s="93"/>
      <c r="E7" s="93"/>
      <c r="F7" s="93"/>
      <c r="G7" s="93"/>
      <c r="H7" s="185"/>
      <c r="I7" s="258"/>
      <c r="J7" s="93"/>
      <c r="K7" s="93"/>
      <c r="L7" s="93"/>
      <c r="M7" s="93"/>
      <c r="N7" s="93"/>
      <c r="O7" s="93"/>
      <c r="P7" s="93"/>
      <c r="Q7" s="93"/>
      <c r="R7" s="93"/>
      <c r="S7" s="93"/>
      <c r="T7" s="93"/>
      <c r="U7" s="93"/>
      <c r="V7" s="93"/>
      <c r="W7" s="93"/>
      <c r="X7" s="93"/>
      <c r="Y7" s="246"/>
      <c r="Z7" s="93"/>
      <c r="AA7" s="256">
        <v>3</v>
      </c>
      <c r="AB7" s="16">
        <f t="shared" si="0"/>
        <v>-7.4999989999999999</v>
      </c>
      <c r="AC7" s="16">
        <f t="shared" si="1"/>
        <v>-4.4999989999999999</v>
      </c>
      <c r="AD7" s="16">
        <f t="shared" si="2"/>
        <v>56.249985000000997</v>
      </c>
      <c r="AE7" s="16">
        <f t="shared" si="3"/>
        <v>20.249991000001</v>
      </c>
      <c r="AF7" s="16">
        <f t="shared" si="4"/>
        <v>33.749988000000997</v>
      </c>
      <c r="AG7" s="17">
        <f t="shared" si="5"/>
        <v>-4.5</v>
      </c>
      <c r="AH7" s="17">
        <f t="shared" si="6"/>
        <v>-7.5</v>
      </c>
      <c r="AI7" s="18">
        <f t="shared" si="7"/>
        <v>81.262626262625801</v>
      </c>
      <c r="AJ7" s="18">
        <f t="shared" si="8"/>
        <v>1.8027756377319946</v>
      </c>
      <c r="BH7" s="137" t="s">
        <v>172</v>
      </c>
      <c r="BI7" s="137"/>
      <c r="BJ7" s="137"/>
      <c r="BK7" s="137"/>
      <c r="BL7" s="138"/>
    </row>
    <row r="8" spans="1:82" x14ac:dyDescent="0.25">
      <c r="A8" s="48"/>
      <c r="B8" s="128"/>
      <c r="C8" s="93"/>
      <c r="D8" s="93"/>
      <c r="E8" s="93"/>
      <c r="F8" s="93"/>
      <c r="G8" s="93"/>
      <c r="H8" s="185"/>
      <c r="I8" s="185"/>
      <c r="J8" s="93"/>
      <c r="K8" s="93"/>
      <c r="L8" s="93"/>
      <c r="M8" s="93"/>
      <c r="N8" s="93"/>
      <c r="O8" s="93"/>
      <c r="P8" s="93"/>
      <c r="Q8" s="93"/>
      <c r="R8" s="93"/>
      <c r="S8" s="93"/>
      <c r="T8" s="93"/>
      <c r="U8" s="93"/>
      <c r="V8" s="93"/>
      <c r="W8" s="93"/>
      <c r="X8" s="93"/>
      <c r="Y8" s="246"/>
      <c r="Z8" s="93"/>
      <c r="AA8" s="256">
        <v>4</v>
      </c>
      <c r="AB8" s="16">
        <f t="shared" si="0"/>
        <v>-4.4999990000000007</v>
      </c>
      <c r="AC8" s="16">
        <f t="shared" si="1"/>
        <v>-4.4999989999999999</v>
      </c>
      <c r="AD8" s="16">
        <f t="shared" si="2"/>
        <v>20.249991000001007</v>
      </c>
      <c r="AE8" s="16">
        <f t="shared" si="3"/>
        <v>20.249991000001</v>
      </c>
      <c r="AF8" s="16">
        <f t="shared" si="4"/>
        <v>20.249991000001003</v>
      </c>
      <c r="AG8" s="17">
        <f t="shared" si="5"/>
        <v>-4.5</v>
      </c>
      <c r="AH8" s="17">
        <f t="shared" si="6"/>
        <v>-4.5</v>
      </c>
      <c r="AI8" s="18">
        <f t="shared" si="7"/>
        <v>80.75757575757531</v>
      </c>
      <c r="AJ8" s="18">
        <f t="shared" si="8"/>
        <v>1.8027756377319946</v>
      </c>
      <c r="BH8" s="137" t="s">
        <v>168</v>
      </c>
      <c r="BI8" s="137"/>
      <c r="BJ8" s="137"/>
      <c r="BK8" s="137"/>
      <c r="BL8" s="138"/>
    </row>
    <row r="9" spans="1:82" x14ac:dyDescent="0.25">
      <c r="A9" s="45"/>
      <c r="B9" s="50" t="s">
        <v>57</v>
      </c>
      <c r="C9" s="27">
        <v>40</v>
      </c>
      <c r="D9" s="54"/>
      <c r="E9" s="54"/>
      <c r="F9" s="53"/>
      <c r="G9" s="54"/>
      <c r="H9" s="54"/>
      <c r="I9" s="54" t="s">
        <v>0</v>
      </c>
      <c r="J9" s="2"/>
      <c r="K9" s="2"/>
      <c r="L9" s="2"/>
      <c r="M9" s="2"/>
      <c r="N9" s="2"/>
      <c r="O9" s="93"/>
      <c r="P9" s="93"/>
      <c r="Q9" s="93"/>
      <c r="R9" s="93"/>
      <c r="S9" s="93"/>
      <c r="T9" s="93"/>
      <c r="U9" s="93"/>
      <c r="V9" s="93"/>
      <c r="W9" s="93"/>
      <c r="X9" s="93"/>
      <c r="Y9" s="246"/>
      <c r="Z9" s="2"/>
      <c r="AA9" s="256">
        <v>5</v>
      </c>
      <c r="AB9" s="16">
        <f t="shared" si="0"/>
        <v>-1.4999990000000007</v>
      </c>
      <c r="AC9" s="16">
        <f t="shared" si="1"/>
        <v>-4.4999989999999999</v>
      </c>
      <c r="AD9" s="16">
        <f t="shared" si="2"/>
        <v>2.2499970000010023</v>
      </c>
      <c r="AE9" s="16">
        <f t="shared" si="3"/>
        <v>20.249991000001</v>
      </c>
      <c r="AF9" s="16">
        <f t="shared" si="4"/>
        <v>6.7499940000010028</v>
      </c>
      <c r="AG9" s="17">
        <f t="shared" si="5"/>
        <v>-4.5</v>
      </c>
      <c r="AH9" s="17">
        <f t="shared" si="6"/>
        <v>-1.5</v>
      </c>
      <c r="AI9" s="18">
        <f t="shared" si="7"/>
        <v>80.252525252524805</v>
      </c>
      <c r="AJ9" s="18">
        <f t="shared" si="8"/>
        <v>1.8027756377319946</v>
      </c>
      <c r="BP9" s="2"/>
    </row>
    <row r="10" spans="1:82" x14ac:dyDescent="0.25">
      <c r="A10" s="48"/>
      <c r="B10" s="54"/>
      <c r="C10" s="54"/>
      <c r="D10" s="54"/>
      <c r="E10" s="54"/>
      <c r="F10" s="54"/>
      <c r="G10" s="54"/>
      <c r="H10" s="54"/>
      <c r="I10" s="54"/>
      <c r="J10" s="2"/>
      <c r="K10" s="2"/>
      <c r="L10" s="2"/>
      <c r="M10" s="2"/>
      <c r="N10" s="2"/>
      <c r="O10" s="2"/>
      <c r="P10" s="2"/>
      <c r="Q10" s="2"/>
      <c r="R10" s="2"/>
      <c r="S10" s="2"/>
      <c r="T10" s="2"/>
      <c r="U10" s="2"/>
      <c r="V10" s="2"/>
      <c r="W10" s="2"/>
      <c r="X10" s="2"/>
      <c r="Y10" s="259"/>
      <c r="Z10" s="2"/>
      <c r="AA10" s="256">
        <v>6</v>
      </c>
      <c r="AB10" s="16">
        <f t="shared" si="0"/>
        <v>1.5000009999999993</v>
      </c>
      <c r="AC10" s="16">
        <f t="shared" si="1"/>
        <v>-4.4999989999999999</v>
      </c>
      <c r="AD10" s="16">
        <f t="shared" si="2"/>
        <v>2.2500030000009978</v>
      </c>
      <c r="AE10" s="16">
        <f t="shared" si="3"/>
        <v>20.249991000001</v>
      </c>
      <c r="AF10" s="16">
        <f t="shared" si="4"/>
        <v>-6.7500029999989968</v>
      </c>
      <c r="AG10" s="17">
        <f t="shared" si="5"/>
        <v>-4.5</v>
      </c>
      <c r="AH10" s="17">
        <f t="shared" si="6"/>
        <v>1.5</v>
      </c>
      <c r="AI10" s="18">
        <f t="shared" si="7"/>
        <v>79.747474747474314</v>
      </c>
      <c r="AJ10" s="18">
        <f t="shared" si="8"/>
        <v>1.8027756377319946</v>
      </c>
      <c r="BK10" s="8"/>
    </row>
    <row r="11" spans="1:82" x14ac:dyDescent="0.25">
      <c r="A11" s="97"/>
      <c r="B11" s="56" t="s">
        <v>53</v>
      </c>
      <c r="C11" s="53"/>
      <c r="D11" s="74"/>
      <c r="E11" s="56" t="s">
        <v>53</v>
      </c>
      <c r="F11" s="53"/>
      <c r="G11" s="74"/>
      <c r="H11" s="56" t="s">
        <v>54</v>
      </c>
      <c r="I11" s="53"/>
      <c r="J11" s="2"/>
      <c r="K11" s="56" t="s">
        <v>54</v>
      </c>
      <c r="L11" s="53"/>
      <c r="M11" s="2"/>
      <c r="N11" s="56" t="s">
        <v>54</v>
      </c>
      <c r="O11" s="53"/>
      <c r="P11" s="2"/>
      <c r="Q11" s="56" t="s">
        <v>54</v>
      </c>
      <c r="R11" s="53"/>
      <c r="S11" s="2"/>
      <c r="T11" s="56" t="s">
        <v>54</v>
      </c>
      <c r="U11" s="53"/>
      <c r="V11" s="2"/>
      <c r="W11" s="56" t="s">
        <v>54</v>
      </c>
      <c r="X11" s="53"/>
      <c r="Y11" s="259"/>
      <c r="Z11" s="2"/>
      <c r="AA11" s="256">
        <v>7</v>
      </c>
      <c r="AB11" s="16">
        <f t="shared" si="0"/>
        <v>4.500001000000001</v>
      </c>
      <c r="AC11" s="16">
        <f t="shared" si="1"/>
        <v>-4.4999989999999999</v>
      </c>
      <c r="AD11" s="16">
        <f t="shared" si="2"/>
        <v>20.250009000001008</v>
      </c>
      <c r="AE11" s="16">
        <f t="shared" si="3"/>
        <v>20.249991000001</v>
      </c>
      <c r="AF11" s="16">
        <f t="shared" si="4"/>
        <v>-20.249999999999005</v>
      </c>
      <c r="AG11" s="17">
        <f t="shared" si="5"/>
        <v>-4.5</v>
      </c>
      <c r="AH11" s="17">
        <f t="shared" si="6"/>
        <v>4.5</v>
      </c>
      <c r="AI11" s="18">
        <f t="shared" si="7"/>
        <v>79.242424242423809</v>
      </c>
      <c r="AJ11" s="18">
        <f t="shared" si="8"/>
        <v>1.8027756377319946</v>
      </c>
      <c r="AM11" s="2"/>
      <c r="AN11" s="2"/>
      <c r="AO11" s="2"/>
      <c r="AP11" s="2"/>
      <c r="AQ11" s="2"/>
      <c r="AR11" s="2"/>
      <c r="AS11" s="2"/>
      <c r="AT11" s="2"/>
      <c r="AU11" s="2"/>
      <c r="AV11" s="2"/>
      <c r="AW11" s="2"/>
      <c r="AX11" s="2"/>
      <c r="AY11" s="2"/>
      <c r="AZ11" s="2"/>
      <c r="BA11" s="2"/>
      <c r="BB11" s="2"/>
      <c r="BC11" s="2"/>
      <c r="BG11" s="239" t="s">
        <v>163</v>
      </c>
      <c r="BH11" s="22"/>
      <c r="BI11" s="22"/>
      <c r="BJ11" s="22"/>
      <c r="BK11" s="196"/>
    </row>
    <row r="12" spans="1:82" x14ac:dyDescent="0.25">
      <c r="A12" s="45"/>
      <c r="B12" s="77" t="s">
        <v>140</v>
      </c>
      <c r="C12" s="77" t="s">
        <v>141</v>
      </c>
      <c r="D12" s="54"/>
      <c r="E12" s="77" t="s">
        <v>140</v>
      </c>
      <c r="F12" s="77" t="s">
        <v>141</v>
      </c>
      <c r="G12" s="54"/>
      <c r="H12" s="77" t="s">
        <v>140</v>
      </c>
      <c r="I12" s="77" t="s">
        <v>141</v>
      </c>
      <c r="J12" s="2"/>
      <c r="K12" s="77" t="s">
        <v>140</v>
      </c>
      <c r="L12" s="77" t="s">
        <v>141</v>
      </c>
      <c r="M12" s="2"/>
      <c r="N12" s="77" t="s">
        <v>140</v>
      </c>
      <c r="O12" s="77" t="s">
        <v>141</v>
      </c>
      <c r="P12" s="2"/>
      <c r="Q12" s="77" t="s">
        <v>140</v>
      </c>
      <c r="R12" s="77" t="s">
        <v>141</v>
      </c>
      <c r="S12" s="2"/>
      <c r="T12" s="77" t="s">
        <v>140</v>
      </c>
      <c r="U12" s="77" t="s">
        <v>141</v>
      </c>
      <c r="V12" s="2"/>
      <c r="W12" s="77" t="s">
        <v>140</v>
      </c>
      <c r="X12" s="77" t="s">
        <v>141</v>
      </c>
      <c r="Y12" s="259"/>
      <c r="Z12" s="2"/>
      <c r="AA12" s="256">
        <v>8</v>
      </c>
      <c r="AB12" s="16">
        <f t="shared" si="0"/>
        <v>7.500001000000001</v>
      </c>
      <c r="AC12" s="16">
        <f t="shared" si="1"/>
        <v>-4.4999989999999999</v>
      </c>
      <c r="AD12" s="16">
        <f t="shared" si="2"/>
        <v>56.250015000001014</v>
      </c>
      <c r="AE12" s="16">
        <f t="shared" si="3"/>
        <v>20.249991000001</v>
      </c>
      <c r="AF12" s="16">
        <f t="shared" si="4"/>
        <v>-33.749996999999006</v>
      </c>
      <c r="AG12" s="17">
        <f t="shared" si="5"/>
        <v>-4.5</v>
      </c>
      <c r="AH12" s="17">
        <f t="shared" si="6"/>
        <v>7.5</v>
      </c>
      <c r="AI12" s="18">
        <f t="shared" si="7"/>
        <v>78.737373737373318</v>
      </c>
      <c r="AJ12" s="18">
        <f t="shared" si="8"/>
        <v>1.8027756377319946</v>
      </c>
      <c r="AM12" s="2"/>
      <c r="AN12" s="2"/>
      <c r="AO12" s="2"/>
      <c r="AP12" s="2"/>
      <c r="AQ12" s="2"/>
      <c r="AR12" s="2"/>
      <c r="AS12" s="2"/>
      <c r="AT12" s="2"/>
      <c r="AU12" s="2"/>
      <c r="AV12" s="2"/>
      <c r="AW12" s="2"/>
      <c r="AX12" s="2"/>
      <c r="AY12" s="2"/>
      <c r="AZ12" s="2"/>
      <c r="BA12" s="2"/>
      <c r="BB12" s="2"/>
      <c r="BC12" s="2"/>
      <c r="BG12" s="199"/>
      <c r="BH12" s="196" t="s">
        <v>207</v>
      </c>
      <c r="BI12" s="196" t="s">
        <v>208</v>
      </c>
      <c r="BJ12" s="194"/>
      <c r="BK12" s="196" t="s">
        <v>207</v>
      </c>
      <c r="BL12" s="196" t="s">
        <v>208</v>
      </c>
      <c r="BN12" s="196" t="s">
        <v>207</v>
      </c>
      <c r="BO12" s="196" t="s">
        <v>208</v>
      </c>
      <c r="BQ12" s="196" t="s">
        <v>207</v>
      </c>
      <c r="BR12" s="196" t="s">
        <v>208</v>
      </c>
      <c r="BT12" s="196" t="s">
        <v>207</v>
      </c>
      <c r="BU12" s="196" t="s">
        <v>208</v>
      </c>
      <c r="BW12" s="196" t="s">
        <v>207</v>
      </c>
      <c r="BX12" s="196" t="s">
        <v>208</v>
      </c>
      <c r="BZ12" s="196" t="s">
        <v>207</v>
      </c>
      <c r="CA12" s="196" t="s">
        <v>208</v>
      </c>
      <c r="CC12" s="196" t="s">
        <v>207</v>
      </c>
      <c r="CD12" s="196" t="s">
        <v>208</v>
      </c>
    </row>
    <row r="13" spans="1:82" x14ac:dyDescent="0.25">
      <c r="A13" s="260" t="str">
        <f t="shared" ref="A13:A44" si="9">IF($C$9&gt;=$AA5,"#"&amp;$AA5&amp;":","")</f>
        <v>#1:</v>
      </c>
      <c r="B13" s="141">
        <v>0</v>
      </c>
      <c r="C13" s="141">
        <v>0</v>
      </c>
      <c r="D13" s="260" t="str">
        <f t="shared" ref="D13:D44" si="10">IF($C$9&gt;=$AA55,"#"&amp;$AA55&amp;":","")</f>
        <v/>
      </c>
      <c r="E13" s="141"/>
      <c r="F13" s="141"/>
      <c r="G13" s="260" t="str">
        <f t="shared" ref="G13:G44" si="11">IF($C$9&gt;=$AA105,"#"&amp;$AA105&amp;":","")</f>
        <v/>
      </c>
      <c r="H13" s="141"/>
      <c r="I13" s="141"/>
      <c r="J13" s="261" t="str">
        <f t="shared" ref="J13:J44" si="12">IF($C$9&gt;=$AA155,"#"&amp;$AA155&amp;":","")</f>
        <v/>
      </c>
      <c r="K13" s="141"/>
      <c r="L13" s="142"/>
      <c r="M13" s="260" t="str">
        <f t="shared" ref="M13:M44" si="13">IF($C$9&gt;=$AA205,"#"&amp;$AA205&amp;":","")</f>
        <v/>
      </c>
      <c r="N13" s="141"/>
      <c r="O13" s="141"/>
      <c r="P13" s="260" t="str">
        <f t="shared" ref="P13:P44" si="14">IF($C$9&gt;=$AA255,"#"&amp;$AA255&amp;":","")</f>
        <v/>
      </c>
      <c r="Q13" s="141"/>
      <c r="R13" s="141"/>
      <c r="S13" s="260" t="str">
        <f t="shared" ref="S13:S44" si="15">IF($C$9&gt;=$AA305,"#"&amp;$AA305&amp;":","")</f>
        <v/>
      </c>
      <c r="T13" s="141"/>
      <c r="U13" s="141"/>
      <c r="V13" s="260" t="str">
        <f t="shared" ref="V13:V44" si="16">IF($C$9&gt;=$AA355,"#"&amp;$AA355&amp;":","")</f>
        <v/>
      </c>
      <c r="W13" s="141"/>
      <c r="X13" s="141"/>
      <c r="Y13" s="259"/>
      <c r="Z13" s="2"/>
      <c r="AA13" s="256">
        <v>9</v>
      </c>
      <c r="AB13" s="16">
        <f t="shared" si="0"/>
        <v>10.500001000000001</v>
      </c>
      <c r="AC13" s="16">
        <f t="shared" si="1"/>
        <v>-4.4999989999999999</v>
      </c>
      <c r="AD13" s="16">
        <f t="shared" si="2"/>
        <v>110.25002100000103</v>
      </c>
      <c r="AE13" s="16">
        <f t="shared" si="3"/>
        <v>20.249991000001</v>
      </c>
      <c r="AF13" s="16">
        <f t="shared" si="4"/>
        <v>-47.249993999999006</v>
      </c>
      <c r="AG13" s="17">
        <f t="shared" si="5"/>
        <v>-4.5</v>
      </c>
      <c r="AH13" s="17">
        <f t="shared" si="6"/>
        <v>10.5</v>
      </c>
      <c r="AI13" s="18">
        <f t="shared" si="7"/>
        <v>78.232323232322813</v>
      </c>
      <c r="AJ13" s="18">
        <f t="shared" si="8"/>
        <v>1.8027756377319946</v>
      </c>
      <c r="AM13" s="2"/>
      <c r="AN13" s="2"/>
      <c r="AO13" s="2"/>
      <c r="AP13" s="2"/>
      <c r="AQ13" s="2"/>
      <c r="AR13" s="2"/>
      <c r="AS13" s="2"/>
      <c r="AT13" s="2"/>
      <c r="AU13" s="2"/>
      <c r="AV13" s="2"/>
      <c r="AW13" s="2"/>
      <c r="AX13" s="2"/>
      <c r="AY13" s="2"/>
      <c r="AZ13" s="2"/>
      <c r="BA13" s="2"/>
      <c r="BB13" s="2"/>
      <c r="BC13" s="2"/>
      <c r="BG13" s="262" t="str">
        <f t="shared" ref="BG13:BG44" si="17">IF($C$9&gt;=$AA5,"#"&amp;$AA5&amp;":","")</f>
        <v>#1:</v>
      </c>
      <c r="BH13" s="216">
        <f t="shared" ref="BH13:BH44" si="18">IF($C$9&gt;=$AA5,$B13*0.3048,"")</f>
        <v>0</v>
      </c>
      <c r="BI13" s="228">
        <f t="shared" ref="BI13:BI44" si="19">IF($C$9&gt;=$AA5,$C13*0.3048,"")</f>
        <v>0</v>
      </c>
      <c r="BJ13" s="262" t="str">
        <f t="shared" ref="BJ13:BJ44" si="20">IF($C$9&gt;=$AA55,"#"&amp;$AA55&amp;":","")</f>
        <v/>
      </c>
      <c r="BK13" s="216" t="str">
        <f t="shared" ref="BK13:BK44" si="21">IF($C$9&gt;=$AA55,$E13*0.3048,"")</f>
        <v/>
      </c>
      <c r="BL13" s="228" t="str">
        <f t="shared" ref="BL13:BL44" si="22">IF($C$9&gt;=$AA55,$F13*0.3048,"")</f>
        <v/>
      </c>
      <c r="BM13" s="262" t="str">
        <f t="shared" ref="BM13:BM44" si="23">IF($C$9&gt;=$AA105,"#"&amp;$AA105&amp;":","")</f>
        <v/>
      </c>
      <c r="BN13" s="216" t="str">
        <f t="shared" ref="BN13:BN44" si="24">IF($C$9&gt;=$AA105,$H13*0.3048,"")</f>
        <v/>
      </c>
      <c r="BO13" s="228" t="str">
        <f t="shared" ref="BO13:BO44" si="25">IF($C$9&gt;=$AA105,$I13*0.3048,"")</f>
        <v/>
      </c>
      <c r="BP13" s="262" t="str">
        <f t="shared" ref="BP13:BP44" si="26">IF($C$9&gt;=$AA155,"#"&amp;$AA155&amp;":","")</f>
        <v/>
      </c>
      <c r="BQ13" s="216" t="str">
        <f t="shared" ref="BQ13:BQ44" si="27">IF($C$9&gt;=$AA155,$K13*0.3048,"")</f>
        <v/>
      </c>
      <c r="BR13" s="228" t="str">
        <f t="shared" ref="BR13:BR44" si="28">IF($C$9&gt;=$AA155,$L13*0.3048,"")</f>
        <v/>
      </c>
      <c r="BS13" s="262" t="str">
        <f t="shared" ref="BS13:BS44" si="29">IF($C$9&gt;=$AA205,"#"&amp;$AA205&amp;":","")</f>
        <v/>
      </c>
      <c r="BT13" s="216" t="str">
        <f t="shared" ref="BT13:BT44" si="30">IF($C$9&gt;=$AA205,$N13*0.3048,"")</f>
        <v/>
      </c>
      <c r="BU13" s="228" t="str">
        <f t="shared" ref="BU13:BU44" si="31">IF($C$9&gt;=$AA205,$O13*0.3048,"")</f>
        <v/>
      </c>
      <c r="BV13" s="262" t="str">
        <f t="shared" ref="BV13:BV44" si="32">IF($C$9&gt;=$AA255,"#"&amp;$AA255&amp;":","")</f>
        <v/>
      </c>
      <c r="BW13" s="216" t="str">
        <f t="shared" ref="BW13:BW44" si="33">IF($C$9&gt;=$AA255,$Q13*0.3048,"")</f>
        <v/>
      </c>
      <c r="BX13" s="228" t="str">
        <f t="shared" ref="BX13:BX44" si="34">IF($C$9&gt;=$AA255,$R13*0.3048,"")</f>
        <v/>
      </c>
      <c r="BY13" s="262" t="str">
        <f t="shared" ref="BY13:BY44" si="35">IF($C$9&gt;=$AA305,"#"&amp;$AA305&amp;":","")</f>
        <v/>
      </c>
      <c r="BZ13" s="216" t="str">
        <f t="shared" ref="BZ13:BZ44" si="36">IF($C$9&gt;=$AA305,$T13*0.3048,"")</f>
        <v/>
      </c>
      <c r="CA13" s="228" t="str">
        <f t="shared" ref="CA13:CA44" si="37">IF($C$9&gt;=$AA305,$U13*0.3048,"")</f>
        <v/>
      </c>
      <c r="CB13" s="262" t="str">
        <f t="shared" ref="CB13:CB44" si="38">IF($C$9&gt;=$AA355,"#"&amp;$AA355&amp;":","")</f>
        <v/>
      </c>
      <c r="CC13" s="216" t="str">
        <f t="shared" ref="CC13:CC44" si="39">IF($C$9&gt;=$AA355,$W13*0.3048,"")</f>
        <v/>
      </c>
      <c r="CD13" s="228" t="str">
        <f t="shared" ref="CD13:CD44" si="40">IF($C$9&gt;=$AA355,$X13*0.3048,"")</f>
        <v/>
      </c>
    </row>
    <row r="14" spans="1:82" x14ac:dyDescent="0.25">
      <c r="A14" s="260" t="str">
        <f t="shared" si="9"/>
        <v>#2:</v>
      </c>
      <c r="B14" s="145">
        <v>0</v>
      </c>
      <c r="C14" s="145">
        <v>3</v>
      </c>
      <c r="D14" s="260" t="str">
        <f t="shared" si="10"/>
        <v/>
      </c>
      <c r="E14" s="145"/>
      <c r="F14" s="145"/>
      <c r="G14" s="260" t="str">
        <f t="shared" si="11"/>
        <v/>
      </c>
      <c r="H14" s="145"/>
      <c r="I14" s="145"/>
      <c r="J14" s="261" t="str">
        <f t="shared" si="12"/>
        <v/>
      </c>
      <c r="K14" s="145"/>
      <c r="L14" s="145"/>
      <c r="M14" s="260" t="str">
        <f t="shared" si="13"/>
        <v/>
      </c>
      <c r="N14" s="145"/>
      <c r="O14" s="145"/>
      <c r="P14" s="260" t="str">
        <f t="shared" si="14"/>
        <v/>
      </c>
      <c r="Q14" s="145"/>
      <c r="R14" s="145"/>
      <c r="S14" s="260" t="str">
        <f t="shared" si="15"/>
        <v/>
      </c>
      <c r="T14" s="145"/>
      <c r="U14" s="145"/>
      <c r="V14" s="260" t="str">
        <f t="shared" si="16"/>
        <v/>
      </c>
      <c r="W14" s="145"/>
      <c r="X14" s="145"/>
      <c r="Y14" s="259"/>
      <c r="Z14" s="2"/>
      <c r="AA14" s="256">
        <v>10</v>
      </c>
      <c r="AB14" s="16">
        <f t="shared" si="0"/>
        <v>13.500001000000001</v>
      </c>
      <c r="AC14" s="16">
        <f t="shared" si="1"/>
        <v>-4.4999989999999999</v>
      </c>
      <c r="AD14" s="16">
        <f t="shared" si="2"/>
        <v>182.25002700000104</v>
      </c>
      <c r="AE14" s="16">
        <f t="shared" si="3"/>
        <v>20.249991000001</v>
      </c>
      <c r="AF14" s="16">
        <f t="shared" si="4"/>
        <v>-60.749990999999</v>
      </c>
      <c r="AG14" s="17">
        <f t="shared" si="5"/>
        <v>-4.5</v>
      </c>
      <c r="AH14" s="17">
        <f t="shared" si="6"/>
        <v>13.5</v>
      </c>
      <c r="AI14" s="18">
        <f t="shared" si="7"/>
        <v>77.727272727272322</v>
      </c>
      <c r="AJ14" s="18">
        <f t="shared" si="8"/>
        <v>1.8027756377319946</v>
      </c>
      <c r="AM14" s="2"/>
      <c r="AN14" s="2"/>
      <c r="AO14" s="2"/>
      <c r="AP14" s="2"/>
      <c r="AQ14" s="2"/>
      <c r="AR14" s="2"/>
      <c r="AS14" s="2"/>
      <c r="AT14" s="2"/>
      <c r="AU14" s="2"/>
      <c r="AV14" s="2"/>
      <c r="AW14" s="2"/>
      <c r="AX14" s="2"/>
      <c r="AY14" s="2"/>
      <c r="AZ14" s="2"/>
      <c r="BA14" s="2"/>
      <c r="BB14" s="2"/>
      <c r="BC14" s="2"/>
      <c r="BG14" s="262" t="str">
        <f t="shared" si="17"/>
        <v>#2:</v>
      </c>
      <c r="BH14" s="217">
        <f t="shared" si="18"/>
        <v>0</v>
      </c>
      <c r="BI14" s="229">
        <f t="shared" si="19"/>
        <v>0.9144000000000001</v>
      </c>
      <c r="BJ14" s="262" t="str">
        <f t="shared" si="20"/>
        <v/>
      </c>
      <c r="BK14" s="217" t="str">
        <f t="shared" si="21"/>
        <v/>
      </c>
      <c r="BL14" s="229" t="str">
        <f t="shared" si="22"/>
        <v/>
      </c>
      <c r="BM14" s="262" t="str">
        <f t="shared" si="23"/>
        <v/>
      </c>
      <c r="BN14" s="217" t="str">
        <f t="shared" si="24"/>
        <v/>
      </c>
      <c r="BO14" s="229" t="str">
        <f t="shared" si="25"/>
        <v/>
      </c>
      <c r="BP14" s="262" t="str">
        <f t="shared" si="26"/>
        <v/>
      </c>
      <c r="BQ14" s="217" t="str">
        <f t="shared" si="27"/>
        <v/>
      </c>
      <c r="BR14" s="229" t="str">
        <f t="shared" si="28"/>
        <v/>
      </c>
      <c r="BS14" s="262" t="str">
        <f t="shared" si="29"/>
        <v/>
      </c>
      <c r="BT14" s="217" t="str">
        <f t="shared" si="30"/>
        <v/>
      </c>
      <c r="BU14" s="229" t="str">
        <f t="shared" si="31"/>
        <v/>
      </c>
      <c r="BV14" s="262" t="str">
        <f t="shared" si="32"/>
        <v/>
      </c>
      <c r="BW14" s="217" t="str">
        <f t="shared" si="33"/>
        <v/>
      </c>
      <c r="BX14" s="229" t="str">
        <f t="shared" si="34"/>
        <v/>
      </c>
      <c r="BY14" s="262" t="str">
        <f t="shared" si="35"/>
        <v/>
      </c>
      <c r="BZ14" s="217" t="str">
        <f t="shared" si="36"/>
        <v/>
      </c>
      <c r="CA14" s="229" t="str">
        <f t="shared" si="37"/>
        <v/>
      </c>
      <c r="CB14" s="262" t="str">
        <f t="shared" si="38"/>
        <v/>
      </c>
      <c r="CC14" s="217" t="str">
        <f t="shared" si="39"/>
        <v/>
      </c>
      <c r="CD14" s="229" t="str">
        <f t="shared" si="40"/>
        <v/>
      </c>
    </row>
    <row r="15" spans="1:82" x14ac:dyDescent="0.25">
      <c r="A15" s="260" t="str">
        <f t="shared" si="9"/>
        <v>#3:</v>
      </c>
      <c r="B15" s="145">
        <v>0</v>
      </c>
      <c r="C15" s="145">
        <v>6</v>
      </c>
      <c r="D15" s="260" t="str">
        <f t="shared" si="10"/>
        <v/>
      </c>
      <c r="E15" s="145"/>
      <c r="F15" s="145"/>
      <c r="G15" s="260" t="str">
        <f t="shared" si="11"/>
        <v/>
      </c>
      <c r="H15" s="145"/>
      <c r="I15" s="145"/>
      <c r="J15" s="261" t="str">
        <f t="shared" si="12"/>
        <v/>
      </c>
      <c r="K15" s="145"/>
      <c r="L15" s="145"/>
      <c r="M15" s="260" t="str">
        <f t="shared" si="13"/>
        <v/>
      </c>
      <c r="N15" s="145"/>
      <c r="O15" s="145"/>
      <c r="P15" s="260" t="str">
        <f t="shared" si="14"/>
        <v/>
      </c>
      <c r="Q15" s="145"/>
      <c r="R15" s="145"/>
      <c r="S15" s="260" t="str">
        <f t="shared" si="15"/>
        <v/>
      </c>
      <c r="T15" s="145"/>
      <c r="U15" s="145"/>
      <c r="V15" s="260" t="str">
        <f t="shared" si="16"/>
        <v/>
      </c>
      <c r="W15" s="145"/>
      <c r="X15" s="145"/>
      <c r="Y15" s="259"/>
      <c r="Z15" s="2"/>
      <c r="AA15" s="256">
        <v>11</v>
      </c>
      <c r="AB15" s="16">
        <f t="shared" si="0"/>
        <v>-13.499999000000001</v>
      </c>
      <c r="AC15" s="16">
        <f t="shared" si="1"/>
        <v>-1.4999989999999999</v>
      </c>
      <c r="AD15" s="16">
        <f t="shared" si="2"/>
        <v>182.24997300000101</v>
      </c>
      <c r="AE15" s="16">
        <f t="shared" si="3"/>
        <v>2.2499970000009997</v>
      </c>
      <c r="AF15" s="16">
        <f t="shared" si="4"/>
        <v>20.249985000001001</v>
      </c>
      <c r="AG15" s="17">
        <f t="shared" si="5"/>
        <v>-1.5</v>
      </c>
      <c r="AH15" s="17">
        <f t="shared" si="6"/>
        <v>-13.5</v>
      </c>
      <c r="AI15" s="18">
        <f t="shared" si="7"/>
        <v>78.939393939393753</v>
      </c>
      <c r="AJ15" s="18">
        <f t="shared" si="8"/>
        <v>1.8027756377319946</v>
      </c>
      <c r="AM15" s="2"/>
      <c r="AN15" s="2"/>
      <c r="AO15" s="2"/>
      <c r="AP15" s="2"/>
      <c r="AQ15" s="2"/>
      <c r="AR15" s="2"/>
      <c r="AS15" s="2"/>
      <c r="AT15" s="2"/>
      <c r="AU15" s="2"/>
      <c r="AV15" s="2"/>
      <c r="AW15" s="2"/>
      <c r="AX15" s="2"/>
      <c r="AY15" s="2"/>
      <c r="AZ15" s="2"/>
      <c r="BA15" s="2"/>
      <c r="BB15" s="2"/>
      <c r="BC15" s="2"/>
      <c r="BG15" s="262" t="str">
        <f t="shared" si="17"/>
        <v>#3:</v>
      </c>
      <c r="BH15" s="217">
        <f t="shared" si="18"/>
        <v>0</v>
      </c>
      <c r="BI15" s="229">
        <f t="shared" si="19"/>
        <v>1.8288000000000002</v>
      </c>
      <c r="BJ15" s="262" t="str">
        <f t="shared" si="20"/>
        <v/>
      </c>
      <c r="BK15" s="217" t="str">
        <f t="shared" si="21"/>
        <v/>
      </c>
      <c r="BL15" s="229" t="str">
        <f t="shared" si="22"/>
        <v/>
      </c>
      <c r="BM15" s="262" t="str">
        <f t="shared" si="23"/>
        <v/>
      </c>
      <c r="BN15" s="217" t="str">
        <f t="shared" si="24"/>
        <v/>
      </c>
      <c r="BO15" s="229" t="str">
        <f t="shared" si="25"/>
        <v/>
      </c>
      <c r="BP15" s="262" t="str">
        <f t="shared" si="26"/>
        <v/>
      </c>
      <c r="BQ15" s="217" t="str">
        <f t="shared" si="27"/>
        <v/>
      </c>
      <c r="BR15" s="229" t="str">
        <f t="shared" si="28"/>
        <v/>
      </c>
      <c r="BS15" s="262" t="str">
        <f t="shared" si="29"/>
        <v/>
      </c>
      <c r="BT15" s="217" t="str">
        <f t="shared" si="30"/>
        <v/>
      </c>
      <c r="BU15" s="229" t="str">
        <f t="shared" si="31"/>
        <v/>
      </c>
      <c r="BV15" s="262" t="str">
        <f t="shared" si="32"/>
        <v/>
      </c>
      <c r="BW15" s="217" t="str">
        <f t="shared" si="33"/>
        <v/>
      </c>
      <c r="BX15" s="229" t="str">
        <f t="shared" si="34"/>
        <v/>
      </c>
      <c r="BY15" s="262" t="str">
        <f t="shared" si="35"/>
        <v/>
      </c>
      <c r="BZ15" s="217" t="str">
        <f t="shared" si="36"/>
        <v/>
      </c>
      <c r="CA15" s="229" t="str">
        <f t="shared" si="37"/>
        <v/>
      </c>
      <c r="CB15" s="262" t="str">
        <f t="shared" si="38"/>
        <v/>
      </c>
      <c r="CC15" s="217" t="str">
        <f t="shared" si="39"/>
        <v/>
      </c>
      <c r="CD15" s="229" t="str">
        <f t="shared" si="40"/>
        <v/>
      </c>
    </row>
    <row r="16" spans="1:82" x14ac:dyDescent="0.25">
      <c r="A16" s="260" t="str">
        <f t="shared" si="9"/>
        <v>#4:</v>
      </c>
      <c r="B16" s="145">
        <v>0</v>
      </c>
      <c r="C16" s="145">
        <v>9</v>
      </c>
      <c r="D16" s="260" t="str">
        <f t="shared" si="10"/>
        <v/>
      </c>
      <c r="E16" s="145"/>
      <c r="F16" s="145"/>
      <c r="G16" s="260" t="str">
        <f t="shared" si="11"/>
        <v/>
      </c>
      <c r="H16" s="145"/>
      <c r="I16" s="145"/>
      <c r="J16" s="261" t="str">
        <f t="shared" si="12"/>
        <v/>
      </c>
      <c r="K16" s="145"/>
      <c r="L16" s="145"/>
      <c r="M16" s="260" t="str">
        <f t="shared" si="13"/>
        <v/>
      </c>
      <c r="N16" s="145"/>
      <c r="O16" s="145"/>
      <c r="P16" s="260" t="str">
        <f t="shared" si="14"/>
        <v/>
      </c>
      <c r="Q16" s="145"/>
      <c r="R16" s="145"/>
      <c r="S16" s="260" t="str">
        <f t="shared" si="15"/>
        <v/>
      </c>
      <c r="T16" s="145"/>
      <c r="U16" s="145"/>
      <c r="V16" s="260" t="str">
        <f t="shared" si="16"/>
        <v/>
      </c>
      <c r="W16" s="145"/>
      <c r="X16" s="145"/>
      <c r="Y16" s="259"/>
      <c r="Z16" s="2"/>
      <c r="AA16" s="256">
        <v>12</v>
      </c>
      <c r="AB16" s="16">
        <f t="shared" si="0"/>
        <v>-10.499998999999999</v>
      </c>
      <c r="AC16" s="16">
        <f t="shared" si="1"/>
        <v>-1.4999989999999999</v>
      </c>
      <c r="AD16" s="16">
        <f t="shared" si="2"/>
        <v>110.24997900000098</v>
      </c>
      <c r="AE16" s="16">
        <f t="shared" si="3"/>
        <v>2.2499970000009997</v>
      </c>
      <c r="AF16" s="16">
        <f t="shared" si="4"/>
        <v>15.749988000000997</v>
      </c>
      <c r="AG16" s="17">
        <f t="shared" si="5"/>
        <v>-1.5</v>
      </c>
      <c r="AH16" s="17">
        <f t="shared" si="6"/>
        <v>-10.5</v>
      </c>
      <c r="AI16" s="18">
        <f t="shared" si="7"/>
        <v>78.434343434343262</v>
      </c>
      <c r="AJ16" s="18">
        <f t="shared" si="8"/>
        <v>1.8027756377319946</v>
      </c>
      <c r="AM16" s="2"/>
      <c r="AN16" s="2"/>
      <c r="AO16" s="2"/>
      <c r="AP16" s="2"/>
      <c r="AQ16" s="2"/>
      <c r="AR16" s="2"/>
      <c r="AS16" s="2"/>
      <c r="AT16" s="2"/>
      <c r="AU16" s="2"/>
      <c r="AV16" s="2"/>
      <c r="AW16" s="2"/>
      <c r="AX16" s="2"/>
      <c r="AY16" s="2"/>
      <c r="AZ16" s="2"/>
      <c r="BA16" s="2"/>
      <c r="BB16" s="2"/>
      <c r="BC16" s="2"/>
      <c r="BG16" s="262" t="str">
        <f t="shared" si="17"/>
        <v>#4:</v>
      </c>
      <c r="BH16" s="217">
        <f t="shared" si="18"/>
        <v>0</v>
      </c>
      <c r="BI16" s="229">
        <f t="shared" si="19"/>
        <v>2.7432000000000003</v>
      </c>
      <c r="BJ16" s="262" t="str">
        <f t="shared" si="20"/>
        <v/>
      </c>
      <c r="BK16" s="217" t="str">
        <f t="shared" si="21"/>
        <v/>
      </c>
      <c r="BL16" s="229" t="str">
        <f t="shared" si="22"/>
        <v/>
      </c>
      <c r="BM16" s="262" t="str">
        <f t="shared" si="23"/>
        <v/>
      </c>
      <c r="BN16" s="217" t="str">
        <f t="shared" si="24"/>
        <v/>
      </c>
      <c r="BO16" s="229" t="str">
        <f t="shared" si="25"/>
        <v/>
      </c>
      <c r="BP16" s="262" t="str">
        <f t="shared" si="26"/>
        <v/>
      </c>
      <c r="BQ16" s="217" t="str">
        <f t="shared" si="27"/>
        <v/>
      </c>
      <c r="BR16" s="229" t="str">
        <f t="shared" si="28"/>
        <v/>
      </c>
      <c r="BS16" s="262" t="str">
        <f t="shared" si="29"/>
        <v/>
      </c>
      <c r="BT16" s="217" t="str">
        <f t="shared" si="30"/>
        <v/>
      </c>
      <c r="BU16" s="229" t="str">
        <f t="shared" si="31"/>
        <v/>
      </c>
      <c r="BV16" s="262" t="str">
        <f t="shared" si="32"/>
        <v/>
      </c>
      <c r="BW16" s="217" t="str">
        <f t="shared" si="33"/>
        <v/>
      </c>
      <c r="BX16" s="229" t="str">
        <f t="shared" si="34"/>
        <v/>
      </c>
      <c r="BY16" s="262" t="str">
        <f t="shared" si="35"/>
        <v/>
      </c>
      <c r="BZ16" s="217" t="str">
        <f t="shared" si="36"/>
        <v/>
      </c>
      <c r="CA16" s="229" t="str">
        <f t="shared" si="37"/>
        <v/>
      </c>
      <c r="CB16" s="262" t="str">
        <f t="shared" si="38"/>
        <v/>
      </c>
      <c r="CC16" s="217" t="str">
        <f t="shared" si="39"/>
        <v/>
      </c>
      <c r="CD16" s="229" t="str">
        <f t="shared" si="40"/>
        <v/>
      </c>
    </row>
    <row r="17" spans="1:82" x14ac:dyDescent="0.25">
      <c r="A17" s="260" t="str">
        <f t="shared" si="9"/>
        <v>#5:</v>
      </c>
      <c r="B17" s="145">
        <v>0</v>
      </c>
      <c r="C17" s="145">
        <v>12</v>
      </c>
      <c r="D17" s="260" t="str">
        <f t="shared" si="10"/>
        <v/>
      </c>
      <c r="E17" s="145"/>
      <c r="F17" s="145"/>
      <c r="G17" s="260" t="str">
        <f t="shared" si="11"/>
        <v/>
      </c>
      <c r="H17" s="145"/>
      <c r="I17" s="145"/>
      <c r="J17" s="261" t="str">
        <f t="shared" si="12"/>
        <v/>
      </c>
      <c r="K17" s="145"/>
      <c r="L17" s="145"/>
      <c r="M17" s="260" t="str">
        <f t="shared" si="13"/>
        <v/>
      </c>
      <c r="N17" s="145"/>
      <c r="O17" s="145"/>
      <c r="P17" s="260" t="str">
        <f t="shared" si="14"/>
        <v/>
      </c>
      <c r="Q17" s="145"/>
      <c r="R17" s="145"/>
      <c r="S17" s="260" t="str">
        <f t="shared" si="15"/>
        <v/>
      </c>
      <c r="T17" s="145"/>
      <c r="U17" s="145"/>
      <c r="V17" s="260" t="str">
        <f t="shared" si="16"/>
        <v/>
      </c>
      <c r="W17" s="145"/>
      <c r="X17" s="145"/>
      <c r="Y17" s="259"/>
      <c r="Z17" s="2"/>
      <c r="AA17" s="256">
        <v>13</v>
      </c>
      <c r="AB17" s="16">
        <f t="shared" si="0"/>
        <v>-7.4999989999999999</v>
      </c>
      <c r="AC17" s="16">
        <f t="shared" si="1"/>
        <v>-1.4999989999999999</v>
      </c>
      <c r="AD17" s="16">
        <f t="shared" si="2"/>
        <v>56.249985000000997</v>
      </c>
      <c r="AE17" s="16">
        <f t="shared" si="3"/>
        <v>2.2499970000009997</v>
      </c>
      <c r="AF17" s="16">
        <f t="shared" si="4"/>
        <v>11.249991000000998</v>
      </c>
      <c r="AG17" s="17">
        <f t="shared" si="5"/>
        <v>-1.5</v>
      </c>
      <c r="AH17" s="17">
        <f t="shared" si="6"/>
        <v>-7.5</v>
      </c>
      <c r="AI17" s="18">
        <f t="shared" si="7"/>
        <v>77.929292929292757</v>
      </c>
      <c r="AJ17" s="18">
        <f t="shared" si="8"/>
        <v>1.8027756377319946</v>
      </c>
      <c r="AM17" s="2"/>
      <c r="AN17" s="2"/>
      <c r="AO17" s="2"/>
      <c r="AP17" s="2"/>
      <c r="AQ17" s="2"/>
      <c r="AR17" s="2"/>
      <c r="AS17" s="2"/>
      <c r="AT17" s="2"/>
      <c r="AU17" s="2"/>
      <c r="AV17" s="2"/>
      <c r="AW17" s="2"/>
      <c r="AX17" s="2"/>
      <c r="AY17" s="2"/>
      <c r="AZ17" s="2"/>
      <c r="BA17" s="2"/>
      <c r="BB17" s="2"/>
      <c r="BC17" s="2"/>
      <c r="BG17" s="262" t="str">
        <f t="shared" si="17"/>
        <v>#5:</v>
      </c>
      <c r="BH17" s="217">
        <f t="shared" si="18"/>
        <v>0</v>
      </c>
      <c r="BI17" s="229">
        <f t="shared" si="19"/>
        <v>3.6576000000000004</v>
      </c>
      <c r="BJ17" s="262" t="str">
        <f t="shared" si="20"/>
        <v/>
      </c>
      <c r="BK17" s="217" t="str">
        <f t="shared" si="21"/>
        <v/>
      </c>
      <c r="BL17" s="229" t="str">
        <f t="shared" si="22"/>
        <v/>
      </c>
      <c r="BM17" s="262" t="str">
        <f t="shared" si="23"/>
        <v/>
      </c>
      <c r="BN17" s="217" t="str">
        <f t="shared" si="24"/>
        <v/>
      </c>
      <c r="BO17" s="229" t="str">
        <f t="shared" si="25"/>
        <v/>
      </c>
      <c r="BP17" s="262" t="str">
        <f t="shared" si="26"/>
        <v/>
      </c>
      <c r="BQ17" s="217" t="str">
        <f t="shared" si="27"/>
        <v/>
      </c>
      <c r="BR17" s="229" t="str">
        <f t="shared" si="28"/>
        <v/>
      </c>
      <c r="BS17" s="262" t="str">
        <f t="shared" si="29"/>
        <v/>
      </c>
      <c r="BT17" s="217" t="str">
        <f t="shared" si="30"/>
        <v/>
      </c>
      <c r="BU17" s="229" t="str">
        <f t="shared" si="31"/>
        <v/>
      </c>
      <c r="BV17" s="262" t="str">
        <f t="shared" si="32"/>
        <v/>
      </c>
      <c r="BW17" s="217" t="str">
        <f t="shared" si="33"/>
        <v/>
      </c>
      <c r="BX17" s="229" t="str">
        <f t="shared" si="34"/>
        <v/>
      </c>
      <c r="BY17" s="262" t="str">
        <f t="shared" si="35"/>
        <v/>
      </c>
      <c r="BZ17" s="217" t="str">
        <f t="shared" si="36"/>
        <v/>
      </c>
      <c r="CA17" s="229" t="str">
        <f t="shared" si="37"/>
        <v/>
      </c>
      <c r="CB17" s="262" t="str">
        <f t="shared" si="38"/>
        <v/>
      </c>
      <c r="CC17" s="217" t="str">
        <f t="shared" si="39"/>
        <v/>
      </c>
      <c r="CD17" s="229" t="str">
        <f t="shared" si="40"/>
        <v/>
      </c>
    </row>
    <row r="18" spans="1:82" x14ac:dyDescent="0.25">
      <c r="A18" s="260" t="str">
        <f t="shared" si="9"/>
        <v>#6:</v>
      </c>
      <c r="B18" s="145">
        <v>0</v>
      </c>
      <c r="C18" s="145">
        <v>15</v>
      </c>
      <c r="D18" s="260" t="str">
        <f t="shared" si="10"/>
        <v/>
      </c>
      <c r="E18" s="145"/>
      <c r="F18" s="145"/>
      <c r="G18" s="260" t="str">
        <f t="shared" si="11"/>
        <v/>
      </c>
      <c r="H18" s="145"/>
      <c r="I18" s="145"/>
      <c r="J18" s="261" t="str">
        <f t="shared" si="12"/>
        <v/>
      </c>
      <c r="K18" s="145"/>
      <c r="L18" s="145"/>
      <c r="M18" s="260" t="str">
        <f t="shared" si="13"/>
        <v/>
      </c>
      <c r="N18" s="145"/>
      <c r="O18" s="145"/>
      <c r="P18" s="260" t="str">
        <f t="shared" si="14"/>
        <v/>
      </c>
      <c r="Q18" s="145"/>
      <c r="R18" s="145"/>
      <c r="S18" s="260" t="str">
        <f t="shared" si="15"/>
        <v/>
      </c>
      <c r="T18" s="145"/>
      <c r="U18" s="145"/>
      <c r="V18" s="260" t="str">
        <f t="shared" si="16"/>
        <v/>
      </c>
      <c r="W18" s="145"/>
      <c r="X18" s="145"/>
      <c r="Y18" s="259"/>
      <c r="Z18" s="2"/>
      <c r="AA18" s="256">
        <v>14</v>
      </c>
      <c r="AB18" s="16">
        <f t="shared" si="0"/>
        <v>-4.4999990000000007</v>
      </c>
      <c r="AC18" s="16">
        <f t="shared" si="1"/>
        <v>-1.4999989999999999</v>
      </c>
      <c r="AD18" s="16">
        <f t="shared" si="2"/>
        <v>20.249991000001007</v>
      </c>
      <c r="AE18" s="16">
        <f t="shared" si="3"/>
        <v>2.2499970000009997</v>
      </c>
      <c r="AF18" s="16">
        <f t="shared" si="4"/>
        <v>6.7499940000010001</v>
      </c>
      <c r="AG18" s="17">
        <f t="shared" si="5"/>
        <v>-1.5</v>
      </c>
      <c r="AH18" s="17">
        <f t="shared" si="6"/>
        <v>-4.5</v>
      </c>
      <c r="AI18" s="18">
        <f t="shared" si="7"/>
        <v>77.424242424242266</v>
      </c>
      <c r="AJ18" s="18">
        <f t="shared" si="8"/>
        <v>1.8027756377319946</v>
      </c>
      <c r="AM18" s="2"/>
      <c r="AN18" s="2"/>
      <c r="AO18" s="2"/>
      <c r="AP18" s="2"/>
      <c r="AQ18" s="2"/>
      <c r="AR18" s="2"/>
      <c r="AS18" s="2"/>
      <c r="AT18" s="2"/>
      <c r="AU18" s="2"/>
      <c r="AV18" s="2"/>
      <c r="AW18" s="2"/>
      <c r="AX18" s="2"/>
      <c r="AY18" s="2"/>
      <c r="AZ18" s="2"/>
      <c r="BA18" s="2"/>
      <c r="BB18" s="2"/>
      <c r="BC18" s="2"/>
      <c r="BG18" s="262" t="str">
        <f t="shared" si="17"/>
        <v>#6:</v>
      </c>
      <c r="BH18" s="217">
        <f t="shared" si="18"/>
        <v>0</v>
      </c>
      <c r="BI18" s="229">
        <f t="shared" si="19"/>
        <v>4.5720000000000001</v>
      </c>
      <c r="BJ18" s="262" t="str">
        <f t="shared" si="20"/>
        <v/>
      </c>
      <c r="BK18" s="217" t="str">
        <f t="shared" si="21"/>
        <v/>
      </c>
      <c r="BL18" s="229" t="str">
        <f t="shared" si="22"/>
        <v/>
      </c>
      <c r="BM18" s="262" t="str">
        <f t="shared" si="23"/>
        <v/>
      </c>
      <c r="BN18" s="217" t="str">
        <f t="shared" si="24"/>
        <v/>
      </c>
      <c r="BO18" s="229" t="str">
        <f t="shared" si="25"/>
        <v/>
      </c>
      <c r="BP18" s="262" t="str">
        <f t="shared" si="26"/>
        <v/>
      </c>
      <c r="BQ18" s="217" t="str">
        <f t="shared" si="27"/>
        <v/>
      </c>
      <c r="BR18" s="229" t="str">
        <f t="shared" si="28"/>
        <v/>
      </c>
      <c r="BS18" s="262" t="str">
        <f t="shared" si="29"/>
        <v/>
      </c>
      <c r="BT18" s="217" t="str">
        <f t="shared" si="30"/>
        <v/>
      </c>
      <c r="BU18" s="229" t="str">
        <f t="shared" si="31"/>
        <v/>
      </c>
      <c r="BV18" s="262" t="str">
        <f t="shared" si="32"/>
        <v/>
      </c>
      <c r="BW18" s="217" t="str">
        <f t="shared" si="33"/>
        <v/>
      </c>
      <c r="BX18" s="229" t="str">
        <f t="shared" si="34"/>
        <v/>
      </c>
      <c r="BY18" s="262" t="str">
        <f t="shared" si="35"/>
        <v/>
      </c>
      <c r="BZ18" s="217" t="str">
        <f t="shared" si="36"/>
        <v/>
      </c>
      <c r="CA18" s="229" t="str">
        <f t="shared" si="37"/>
        <v/>
      </c>
      <c r="CB18" s="262" t="str">
        <f t="shared" si="38"/>
        <v/>
      </c>
      <c r="CC18" s="217" t="str">
        <f t="shared" si="39"/>
        <v/>
      </c>
      <c r="CD18" s="229" t="str">
        <f t="shared" si="40"/>
        <v/>
      </c>
    </row>
    <row r="19" spans="1:82" x14ac:dyDescent="0.25">
      <c r="A19" s="260" t="str">
        <f t="shared" si="9"/>
        <v>#7:</v>
      </c>
      <c r="B19" s="145">
        <v>0</v>
      </c>
      <c r="C19" s="145">
        <v>18</v>
      </c>
      <c r="D19" s="260" t="str">
        <f t="shared" si="10"/>
        <v/>
      </c>
      <c r="E19" s="145"/>
      <c r="F19" s="145"/>
      <c r="G19" s="260" t="str">
        <f t="shared" si="11"/>
        <v/>
      </c>
      <c r="H19" s="145"/>
      <c r="I19" s="145"/>
      <c r="J19" s="261" t="str">
        <f t="shared" si="12"/>
        <v/>
      </c>
      <c r="K19" s="145"/>
      <c r="L19" s="145"/>
      <c r="M19" s="260" t="str">
        <f t="shared" si="13"/>
        <v/>
      </c>
      <c r="N19" s="145"/>
      <c r="O19" s="145"/>
      <c r="P19" s="260" t="str">
        <f t="shared" si="14"/>
        <v/>
      </c>
      <c r="Q19" s="145"/>
      <c r="R19" s="145"/>
      <c r="S19" s="260" t="str">
        <f t="shared" si="15"/>
        <v/>
      </c>
      <c r="T19" s="145"/>
      <c r="U19" s="145"/>
      <c r="V19" s="260" t="str">
        <f t="shared" si="16"/>
        <v/>
      </c>
      <c r="W19" s="145"/>
      <c r="X19" s="145"/>
      <c r="Y19" s="259"/>
      <c r="Z19" s="2"/>
      <c r="AA19" s="256">
        <v>15</v>
      </c>
      <c r="AB19" s="16">
        <f t="shared" si="0"/>
        <v>-1.4999990000000007</v>
      </c>
      <c r="AC19" s="16">
        <f t="shared" si="1"/>
        <v>-1.4999989999999999</v>
      </c>
      <c r="AD19" s="16">
        <f t="shared" si="2"/>
        <v>2.2499970000010023</v>
      </c>
      <c r="AE19" s="16">
        <f t="shared" si="3"/>
        <v>2.2499970000009997</v>
      </c>
      <c r="AF19" s="16">
        <f t="shared" si="4"/>
        <v>2.249997000001001</v>
      </c>
      <c r="AG19" s="17">
        <f t="shared" si="5"/>
        <v>-1.5</v>
      </c>
      <c r="AH19" s="17">
        <f t="shared" si="6"/>
        <v>-1.5</v>
      </c>
      <c r="AI19" s="18">
        <f t="shared" si="7"/>
        <v>76.919191919191761</v>
      </c>
      <c r="AJ19" s="18">
        <f t="shared" si="8"/>
        <v>1.8027756377319946</v>
      </c>
      <c r="AM19" s="2"/>
      <c r="AN19" s="2"/>
      <c r="AO19" s="2"/>
      <c r="AP19" s="2"/>
      <c r="AQ19" s="2"/>
      <c r="AR19" s="2"/>
      <c r="AS19" s="2"/>
      <c r="AT19" s="2"/>
      <c r="AU19" s="2"/>
      <c r="AV19" s="2"/>
      <c r="AW19" s="2"/>
      <c r="AX19" s="2"/>
      <c r="AY19" s="2"/>
      <c r="AZ19" s="2"/>
      <c r="BA19" s="2"/>
      <c r="BB19" s="2"/>
      <c r="BC19" s="2"/>
      <c r="BG19" s="262" t="str">
        <f t="shared" si="17"/>
        <v>#7:</v>
      </c>
      <c r="BH19" s="217">
        <f t="shared" si="18"/>
        <v>0</v>
      </c>
      <c r="BI19" s="229">
        <f t="shared" si="19"/>
        <v>5.4864000000000006</v>
      </c>
      <c r="BJ19" s="262" t="str">
        <f t="shared" si="20"/>
        <v/>
      </c>
      <c r="BK19" s="217" t="str">
        <f t="shared" si="21"/>
        <v/>
      </c>
      <c r="BL19" s="229" t="str">
        <f t="shared" si="22"/>
        <v/>
      </c>
      <c r="BM19" s="262" t="str">
        <f t="shared" si="23"/>
        <v/>
      </c>
      <c r="BN19" s="217" t="str">
        <f t="shared" si="24"/>
        <v/>
      </c>
      <c r="BO19" s="229" t="str">
        <f t="shared" si="25"/>
        <v/>
      </c>
      <c r="BP19" s="262" t="str">
        <f t="shared" si="26"/>
        <v/>
      </c>
      <c r="BQ19" s="217" t="str">
        <f t="shared" si="27"/>
        <v/>
      </c>
      <c r="BR19" s="229" t="str">
        <f t="shared" si="28"/>
        <v/>
      </c>
      <c r="BS19" s="262" t="str">
        <f t="shared" si="29"/>
        <v/>
      </c>
      <c r="BT19" s="217" t="str">
        <f t="shared" si="30"/>
        <v/>
      </c>
      <c r="BU19" s="229" t="str">
        <f t="shared" si="31"/>
        <v/>
      </c>
      <c r="BV19" s="262" t="str">
        <f t="shared" si="32"/>
        <v/>
      </c>
      <c r="BW19" s="217" t="str">
        <f t="shared" si="33"/>
        <v/>
      </c>
      <c r="BX19" s="229" t="str">
        <f t="shared" si="34"/>
        <v/>
      </c>
      <c r="BY19" s="262" t="str">
        <f t="shared" si="35"/>
        <v/>
      </c>
      <c r="BZ19" s="217" t="str">
        <f t="shared" si="36"/>
        <v/>
      </c>
      <c r="CA19" s="229" t="str">
        <f t="shared" si="37"/>
        <v/>
      </c>
      <c r="CB19" s="262" t="str">
        <f t="shared" si="38"/>
        <v/>
      </c>
      <c r="CC19" s="217" t="str">
        <f t="shared" si="39"/>
        <v/>
      </c>
      <c r="CD19" s="229" t="str">
        <f t="shared" si="40"/>
        <v/>
      </c>
    </row>
    <row r="20" spans="1:82" x14ac:dyDescent="0.25">
      <c r="A20" s="260" t="str">
        <f t="shared" si="9"/>
        <v>#8:</v>
      </c>
      <c r="B20" s="145">
        <v>0</v>
      </c>
      <c r="C20" s="145">
        <v>21</v>
      </c>
      <c r="D20" s="260" t="str">
        <f t="shared" si="10"/>
        <v/>
      </c>
      <c r="E20" s="145"/>
      <c r="F20" s="145"/>
      <c r="G20" s="260" t="str">
        <f t="shared" si="11"/>
        <v/>
      </c>
      <c r="H20" s="145"/>
      <c r="I20" s="145"/>
      <c r="J20" s="261" t="str">
        <f t="shared" si="12"/>
        <v/>
      </c>
      <c r="K20" s="145"/>
      <c r="L20" s="145"/>
      <c r="M20" s="260" t="str">
        <f t="shared" si="13"/>
        <v/>
      </c>
      <c r="N20" s="145"/>
      <c r="O20" s="145"/>
      <c r="P20" s="260" t="str">
        <f t="shared" si="14"/>
        <v/>
      </c>
      <c r="Q20" s="145"/>
      <c r="R20" s="145"/>
      <c r="S20" s="260" t="str">
        <f t="shared" si="15"/>
        <v/>
      </c>
      <c r="T20" s="145"/>
      <c r="U20" s="145"/>
      <c r="V20" s="260" t="str">
        <f t="shared" si="16"/>
        <v/>
      </c>
      <c r="W20" s="145"/>
      <c r="X20" s="145"/>
      <c r="Y20" s="259"/>
      <c r="Z20" s="2"/>
      <c r="AA20" s="256">
        <v>16</v>
      </c>
      <c r="AB20" s="16">
        <f t="shared" si="0"/>
        <v>1.5000009999999993</v>
      </c>
      <c r="AC20" s="16">
        <f t="shared" si="1"/>
        <v>-1.4999989999999999</v>
      </c>
      <c r="AD20" s="16">
        <f t="shared" si="2"/>
        <v>2.2500030000009978</v>
      </c>
      <c r="AE20" s="16">
        <f t="shared" si="3"/>
        <v>2.2499970000009997</v>
      </c>
      <c r="AF20" s="16">
        <f t="shared" si="4"/>
        <v>-2.2499999999989986</v>
      </c>
      <c r="AG20" s="17">
        <f t="shared" si="5"/>
        <v>-1.5</v>
      </c>
      <c r="AH20" s="17">
        <f t="shared" si="6"/>
        <v>1.5</v>
      </c>
      <c r="AI20" s="18">
        <f t="shared" si="7"/>
        <v>76.41414141414127</v>
      </c>
      <c r="AJ20" s="18">
        <f t="shared" si="8"/>
        <v>1.8027756377319946</v>
      </c>
      <c r="AM20" s="2"/>
      <c r="AN20" s="2"/>
      <c r="AO20" s="2"/>
      <c r="AP20" s="2"/>
      <c r="AQ20" s="2"/>
      <c r="AR20" s="2"/>
      <c r="AS20" s="2"/>
      <c r="AT20" s="2"/>
      <c r="AU20" s="2"/>
      <c r="AV20" s="2"/>
      <c r="AW20" s="2"/>
      <c r="AX20" s="2"/>
      <c r="AY20" s="2"/>
      <c r="AZ20" s="2"/>
      <c r="BA20" s="2"/>
      <c r="BB20" s="2"/>
      <c r="BC20" s="2"/>
      <c r="BG20" s="262" t="str">
        <f t="shared" si="17"/>
        <v>#8:</v>
      </c>
      <c r="BH20" s="217">
        <f t="shared" si="18"/>
        <v>0</v>
      </c>
      <c r="BI20" s="229">
        <f t="shared" si="19"/>
        <v>6.4008000000000003</v>
      </c>
      <c r="BJ20" s="262" t="str">
        <f t="shared" si="20"/>
        <v/>
      </c>
      <c r="BK20" s="217" t="str">
        <f t="shared" si="21"/>
        <v/>
      </c>
      <c r="BL20" s="229" t="str">
        <f t="shared" si="22"/>
        <v/>
      </c>
      <c r="BM20" s="262" t="str">
        <f t="shared" si="23"/>
        <v/>
      </c>
      <c r="BN20" s="217" t="str">
        <f t="shared" si="24"/>
        <v/>
      </c>
      <c r="BO20" s="229" t="str">
        <f t="shared" si="25"/>
        <v/>
      </c>
      <c r="BP20" s="262" t="str">
        <f t="shared" si="26"/>
        <v/>
      </c>
      <c r="BQ20" s="217" t="str">
        <f t="shared" si="27"/>
        <v/>
      </c>
      <c r="BR20" s="229" t="str">
        <f t="shared" si="28"/>
        <v/>
      </c>
      <c r="BS20" s="262" t="str">
        <f t="shared" si="29"/>
        <v/>
      </c>
      <c r="BT20" s="217" t="str">
        <f t="shared" si="30"/>
        <v/>
      </c>
      <c r="BU20" s="229" t="str">
        <f t="shared" si="31"/>
        <v/>
      </c>
      <c r="BV20" s="262" t="str">
        <f t="shared" si="32"/>
        <v/>
      </c>
      <c r="BW20" s="217" t="str">
        <f t="shared" si="33"/>
        <v/>
      </c>
      <c r="BX20" s="229" t="str">
        <f t="shared" si="34"/>
        <v/>
      </c>
      <c r="BY20" s="262" t="str">
        <f t="shared" si="35"/>
        <v/>
      </c>
      <c r="BZ20" s="217" t="str">
        <f t="shared" si="36"/>
        <v/>
      </c>
      <c r="CA20" s="229" t="str">
        <f t="shared" si="37"/>
        <v/>
      </c>
      <c r="CB20" s="262" t="str">
        <f t="shared" si="38"/>
        <v/>
      </c>
      <c r="CC20" s="217" t="str">
        <f t="shared" si="39"/>
        <v/>
      </c>
      <c r="CD20" s="229" t="str">
        <f t="shared" si="40"/>
        <v/>
      </c>
    </row>
    <row r="21" spans="1:82" x14ac:dyDescent="0.25">
      <c r="A21" s="260" t="str">
        <f t="shared" si="9"/>
        <v>#9:</v>
      </c>
      <c r="B21" s="145">
        <v>0</v>
      </c>
      <c r="C21" s="145">
        <v>24</v>
      </c>
      <c r="D21" s="260" t="str">
        <f t="shared" si="10"/>
        <v/>
      </c>
      <c r="E21" s="145"/>
      <c r="F21" s="145"/>
      <c r="G21" s="260" t="str">
        <f t="shared" si="11"/>
        <v/>
      </c>
      <c r="H21" s="145"/>
      <c r="I21" s="145"/>
      <c r="J21" s="261" t="str">
        <f t="shared" si="12"/>
        <v/>
      </c>
      <c r="K21" s="145"/>
      <c r="L21" s="145"/>
      <c r="M21" s="260" t="str">
        <f t="shared" si="13"/>
        <v/>
      </c>
      <c r="N21" s="145"/>
      <c r="O21" s="145"/>
      <c r="P21" s="260" t="str">
        <f t="shared" si="14"/>
        <v/>
      </c>
      <c r="Q21" s="145"/>
      <c r="R21" s="145"/>
      <c r="S21" s="260" t="str">
        <f t="shared" si="15"/>
        <v/>
      </c>
      <c r="T21" s="145"/>
      <c r="U21" s="145"/>
      <c r="V21" s="260" t="str">
        <f t="shared" si="16"/>
        <v/>
      </c>
      <c r="W21" s="145"/>
      <c r="X21" s="145"/>
      <c r="Y21" s="259"/>
      <c r="Z21" s="2"/>
      <c r="AA21" s="256">
        <v>17</v>
      </c>
      <c r="AB21" s="16">
        <f t="shared" si="0"/>
        <v>4.500001000000001</v>
      </c>
      <c r="AC21" s="16">
        <f t="shared" si="1"/>
        <v>-1.4999989999999999</v>
      </c>
      <c r="AD21" s="16">
        <f t="shared" si="2"/>
        <v>20.250009000001008</v>
      </c>
      <c r="AE21" s="16">
        <f t="shared" si="3"/>
        <v>2.2499970000009997</v>
      </c>
      <c r="AF21" s="16">
        <f t="shared" si="4"/>
        <v>-6.7499969999990013</v>
      </c>
      <c r="AG21" s="17">
        <f t="shared" si="5"/>
        <v>-1.5</v>
      </c>
      <c r="AH21" s="17">
        <f t="shared" si="6"/>
        <v>4.5</v>
      </c>
      <c r="AI21" s="18">
        <f t="shared" si="7"/>
        <v>75.909090909090764</v>
      </c>
      <c r="AJ21" s="18">
        <f t="shared" si="8"/>
        <v>1.8027756377319946</v>
      </c>
      <c r="AM21" s="2"/>
      <c r="AN21" s="2"/>
      <c r="AO21" s="2"/>
      <c r="AP21" s="2"/>
      <c r="AQ21" s="2"/>
      <c r="AR21" s="2"/>
      <c r="AS21" s="2"/>
      <c r="AT21" s="2"/>
      <c r="AU21" s="2"/>
      <c r="AV21" s="2"/>
      <c r="AW21" s="2"/>
      <c r="AX21" s="2"/>
      <c r="AY21" s="2"/>
      <c r="AZ21" s="2"/>
      <c r="BA21" s="2"/>
      <c r="BB21" s="2"/>
      <c r="BC21" s="2"/>
      <c r="BG21" s="262" t="str">
        <f t="shared" si="17"/>
        <v>#9:</v>
      </c>
      <c r="BH21" s="217">
        <f t="shared" si="18"/>
        <v>0</v>
      </c>
      <c r="BI21" s="229">
        <f t="shared" si="19"/>
        <v>7.3152000000000008</v>
      </c>
      <c r="BJ21" s="262" t="str">
        <f t="shared" si="20"/>
        <v/>
      </c>
      <c r="BK21" s="217" t="str">
        <f t="shared" si="21"/>
        <v/>
      </c>
      <c r="BL21" s="229" t="str">
        <f t="shared" si="22"/>
        <v/>
      </c>
      <c r="BM21" s="262" t="str">
        <f t="shared" si="23"/>
        <v/>
      </c>
      <c r="BN21" s="217" t="str">
        <f t="shared" si="24"/>
        <v/>
      </c>
      <c r="BO21" s="229" t="str">
        <f t="shared" si="25"/>
        <v/>
      </c>
      <c r="BP21" s="262" t="str">
        <f t="shared" si="26"/>
        <v/>
      </c>
      <c r="BQ21" s="217" t="str">
        <f t="shared" si="27"/>
        <v/>
      </c>
      <c r="BR21" s="229" t="str">
        <f t="shared" si="28"/>
        <v/>
      </c>
      <c r="BS21" s="262" t="str">
        <f t="shared" si="29"/>
        <v/>
      </c>
      <c r="BT21" s="217" t="str">
        <f t="shared" si="30"/>
        <v/>
      </c>
      <c r="BU21" s="229" t="str">
        <f t="shared" si="31"/>
        <v/>
      </c>
      <c r="BV21" s="262" t="str">
        <f t="shared" si="32"/>
        <v/>
      </c>
      <c r="BW21" s="217" t="str">
        <f t="shared" si="33"/>
        <v/>
      </c>
      <c r="BX21" s="229" t="str">
        <f t="shared" si="34"/>
        <v/>
      </c>
      <c r="BY21" s="262" t="str">
        <f t="shared" si="35"/>
        <v/>
      </c>
      <c r="BZ21" s="217" t="str">
        <f t="shared" si="36"/>
        <v/>
      </c>
      <c r="CA21" s="229" t="str">
        <f t="shared" si="37"/>
        <v/>
      </c>
      <c r="CB21" s="262" t="str">
        <f t="shared" si="38"/>
        <v/>
      </c>
      <c r="CC21" s="217" t="str">
        <f t="shared" si="39"/>
        <v/>
      </c>
      <c r="CD21" s="229" t="str">
        <f t="shared" si="40"/>
        <v/>
      </c>
    </row>
    <row r="22" spans="1:82" x14ac:dyDescent="0.25">
      <c r="A22" s="260" t="str">
        <f t="shared" si="9"/>
        <v>#10:</v>
      </c>
      <c r="B22" s="145">
        <v>0</v>
      </c>
      <c r="C22" s="145">
        <v>27</v>
      </c>
      <c r="D22" s="260" t="str">
        <f t="shared" si="10"/>
        <v/>
      </c>
      <c r="E22" s="145"/>
      <c r="F22" s="145"/>
      <c r="G22" s="260" t="str">
        <f t="shared" si="11"/>
        <v/>
      </c>
      <c r="H22" s="145"/>
      <c r="I22" s="145"/>
      <c r="J22" s="261" t="str">
        <f t="shared" si="12"/>
        <v/>
      </c>
      <c r="K22" s="145"/>
      <c r="L22" s="145"/>
      <c r="M22" s="260" t="str">
        <f t="shared" si="13"/>
        <v/>
      </c>
      <c r="N22" s="145"/>
      <c r="O22" s="145"/>
      <c r="P22" s="260" t="str">
        <f t="shared" si="14"/>
        <v/>
      </c>
      <c r="Q22" s="145"/>
      <c r="R22" s="145"/>
      <c r="S22" s="260" t="str">
        <f t="shared" si="15"/>
        <v/>
      </c>
      <c r="T22" s="145"/>
      <c r="U22" s="145"/>
      <c r="V22" s="260" t="str">
        <f t="shared" si="16"/>
        <v/>
      </c>
      <c r="W22" s="145"/>
      <c r="X22" s="145"/>
      <c r="Y22" s="259"/>
      <c r="Z22" s="2"/>
      <c r="AA22" s="256">
        <v>18</v>
      </c>
      <c r="AB22" s="16">
        <f t="shared" si="0"/>
        <v>7.500001000000001</v>
      </c>
      <c r="AC22" s="16">
        <f t="shared" si="1"/>
        <v>-1.4999989999999999</v>
      </c>
      <c r="AD22" s="16">
        <f t="shared" si="2"/>
        <v>56.250015000001014</v>
      </c>
      <c r="AE22" s="16">
        <f t="shared" si="3"/>
        <v>2.2499970000009997</v>
      </c>
      <c r="AF22" s="16">
        <f t="shared" si="4"/>
        <v>-11.249993999999001</v>
      </c>
      <c r="AG22" s="17">
        <f t="shared" si="5"/>
        <v>-1.5</v>
      </c>
      <c r="AH22" s="17">
        <f t="shared" si="6"/>
        <v>7.5</v>
      </c>
      <c r="AI22" s="18">
        <f t="shared" si="7"/>
        <v>75.404040404040273</v>
      </c>
      <c r="AJ22" s="18">
        <f t="shared" si="8"/>
        <v>1.8027756377319946</v>
      </c>
      <c r="AM22" s="2"/>
      <c r="AN22" s="2"/>
      <c r="AO22" s="2"/>
      <c r="AP22" s="2"/>
      <c r="AQ22" s="2"/>
      <c r="AR22" s="2"/>
      <c r="AS22" s="2"/>
      <c r="AT22" s="2"/>
      <c r="AU22" s="2"/>
      <c r="AV22" s="2"/>
      <c r="AW22" s="2"/>
      <c r="AX22" s="2"/>
      <c r="AY22" s="2"/>
      <c r="AZ22" s="2"/>
      <c r="BA22" s="2"/>
      <c r="BB22" s="2"/>
      <c r="BC22" s="2"/>
      <c r="BG22" s="262" t="str">
        <f t="shared" si="17"/>
        <v>#10:</v>
      </c>
      <c r="BH22" s="217">
        <f t="shared" si="18"/>
        <v>0</v>
      </c>
      <c r="BI22" s="229">
        <f t="shared" si="19"/>
        <v>8.2295999999999996</v>
      </c>
      <c r="BJ22" s="262" t="str">
        <f t="shared" si="20"/>
        <v/>
      </c>
      <c r="BK22" s="217" t="str">
        <f t="shared" si="21"/>
        <v/>
      </c>
      <c r="BL22" s="229" t="str">
        <f t="shared" si="22"/>
        <v/>
      </c>
      <c r="BM22" s="262" t="str">
        <f t="shared" si="23"/>
        <v/>
      </c>
      <c r="BN22" s="217" t="str">
        <f t="shared" si="24"/>
        <v/>
      </c>
      <c r="BO22" s="229" t="str">
        <f t="shared" si="25"/>
        <v/>
      </c>
      <c r="BP22" s="262" t="str">
        <f t="shared" si="26"/>
        <v/>
      </c>
      <c r="BQ22" s="217" t="str">
        <f t="shared" si="27"/>
        <v/>
      </c>
      <c r="BR22" s="229" t="str">
        <f t="shared" si="28"/>
        <v/>
      </c>
      <c r="BS22" s="262" t="str">
        <f t="shared" si="29"/>
        <v/>
      </c>
      <c r="BT22" s="217" t="str">
        <f t="shared" si="30"/>
        <v/>
      </c>
      <c r="BU22" s="229" t="str">
        <f t="shared" si="31"/>
        <v/>
      </c>
      <c r="BV22" s="262" t="str">
        <f t="shared" si="32"/>
        <v/>
      </c>
      <c r="BW22" s="217" t="str">
        <f t="shared" si="33"/>
        <v/>
      </c>
      <c r="BX22" s="229" t="str">
        <f t="shared" si="34"/>
        <v/>
      </c>
      <c r="BY22" s="262" t="str">
        <f t="shared" si="35"/>
        <v/>
      </c>
      <c r="BZ22" s="217" t="str">
        <f t="shared" si="36"/>
        <v/>
      </c>
      <c r="CA22" s="229" t="str">
        <f t="shared" si="37"/>
        <v/>
      </c>
      <c r="CB22" s="262" t="str">
        <f t="shared" si="38"/>
        <v/>
      </c>
      <c r="CC22" s="217" t="str">
        <f t="shared" si="39"/>
        <v/>
      </c>
      <c r="CD22" s="229" t="str">
        <f t="shared" si="40"/>
        <v/>
      </c>
    </row>
    <row r="23" spans="1:82" x14ac:dyDescent="0.25">
      <c r="A23" s="260" t="str">
        <f t="shared" si="9"/>
        <v>#11:</v>
      </c>
      <c r="B23" s="145">
        <v>3</v>
      </c>
      <c r="C23" s="145">
        <v>0</v>
      </c>
      <c r="D23" s="260" t="str">
        <f t="shared" si="10"/>
        <v/>
      </c>
      <c r="E23" s="145"/>
      <c r="F23" s="145"/>
      <c r="G23" s="260" t="str">
        <f t="shared" si="11"/>
        <v/>
      </c>
      <c r="H23" s="145"/>
      <c r="I23" s="145"/>
      <c r="J23" s="261" t="str">
        <f t="shared" si="12"/>
        <v/>
      </c>
      <c r="K23" s="145"/>
      <c r="L23" s="145"/>
      <c r="M23" s="260" t="str">
        <f t="shared" si="13"/>
        <v/>
      </c>
      <c r="N23" s="145"/>
      <c r="O23" s="145"/>
      <c r="P23" s="260" t="str">
        <f t="shared" si="14"/>
        <v/>
      </c>
      <c r="Q23" s="145"/>
      <c r="R23" s="145"/>
      <c r="S23" s="260" t="str">
        <f t="shared" si="15"/>
        <v/>
      </c>
      <c r="T23" s="145"/>
      <c r="U23" s="145"/>
      <c r="V23" s="260" t="str">
        <f t="shared" si="16"/>
        <v/>
      </c>
      <c r="W23" s="145"/>
      <c r="X23" s="145"/>
      <c r="Y23" s="259"/>
      <c r="Z23" s="2"/>
      <c r="AA23" s="256">
        <v>19</v>
      </c>
      <c r="AB23" s="16">
        <f t="shared" si="0"/>
        <v>10.500001000000001</v>
      </c>
      <c r="AC23" s="16">
        <f t="shared" si="1"/>
        <v>-1.4999989999999999</v>
      </c>
      <c r="AD23" s="16">
        <f t="shared" si="2"/>
        <v>110.25002100000103</v>
      </c>
      <c r="AE23" s="16">
        <f t="shared" si="3"/>
        <v>2.2499970000009997</v>
      </c>
      <c r="AF23" s="16">
        <f t="shared" si="4"/>
        <v>-15.749990999999</v>
      </c>
      <c r="AG23" s="17">
        <f t="shared" si="5"/>
        <v>-1.5</v>
      </c>
      <c r="AH23" s="17">
        <f t="shared" si="6"/>
        <v>10.5</v>
      </c>
      <c r="AI23" s="18">
        <f t="shared" si="7"/>
        <v>74.898989898989768</v>
      </c>
      <c r="AJ23" s="18">
        <f t="shared" si="8"/>
        <v>1.8027756377319946</v>
      </c>
      <c r="AM23" s="2"/>
      <c r="AN23" s="2"/>
      <c r="AO23" s="2"/>
      <c r="AP23" s="2"/>
      <c r="AQ23" s="2"/>
      <c r="AR23" s="2"/>
      <c r="AS23" s="2"/>
      <c r="AT23" s="2"/>
      <c r="AU23" s="2"/>
      <c r="AV23" s="2"/>
      <c r="AW23" s="2"/>
      <c r="AX23" s="2"/>
      <c r="AY23" s="2"/>
      <c r="AZ23" s="2"/>
      <c r="BA23" s="2"/>
      <c r="BB23" s="2"/>
      <c r="BC23" s="2"/>
      <c r="BG23" s="262" t="str">
        <f t="shared" si="17"/>
        <v>#11:</v>
      </c>
      <c r="BH23" s="217">
        <f t="shared" si="18"/>
        <v>0.9144000000000001</v>
      </c>
      <c r="BI23" s="229">
        <f t="shared" si="19"/>
        <v>0</v>
      </c>
      <c r="BJ23" s="262" t="str">
        <f t="shared" si="20"/>
        <v/>
      </c>
      <c r="BK23" s="217" t="str">
        <f t="shared" si="21"/>
        <v/>
      </c>
      <c r="BL23" s="229" t="str">
        <f t="shared" si="22"/>
        <v/>
      </c>
      <c r="BM23" s="262" t="str">
        <f t="shared" si="23"/>
        <v/>
      </c>
      <c r="BN23" s="217" t="str">
        <f t="shared" si="24"/>
        <v/>
      </c>
      <c r="BO23" s="229" t="str">
        <f t="shared" si="25"/>
        <v/>
      </c>
      <c r="BP23" s="262" t="str">
        <f t="shared" si="26"/>
        <v/>
      </c>
      <c r="BQ23" s="217" t="str">
        <f t="shared" si="27"/>
        <v/>
      </c>
      <c r="BR23" s="229" t="str">
        <f t="shared" si="28"/>
        <v/>
      </c>
      <c r="BS23" s="262" t="str">
        <f t="shared" si="29"/>
        <v/>
      </c>
      <c r="BT23" s="217" t="str">
        <f t="shared" si="30"/>
        <v/>
      </c>
      <c r="BU23" s="229" t="str">
        <f t="shared" si="31"/>
        <v/>
      </c>
      <c r="BV23" s="262" t="str">
        <f t="shared" si="32"/>
        <v/>
      </c>
      <c r="BW23" s="217" t="str">
        <f t="shared" si="33"/>
        <v/>
      </c>
      <c r="BX23" s="229" t="str">
        <f t="shared" si="34"/>
        <v/>
      </c>
      <c r="BY23" s="262" t="str">
        <f t="shared" si="35"/>
        <v/>
      </c>
      <c r="BZ23" s="217" t="str">
        <f t="shared" si="36"/>
        <v/>
      </c>
      <c r="CA23" s="229" t="str">
        <f t="shared" si="37"/>
        <v/>
      </c>
      <c r="CB23" s="262" t="str">
        <f t="shared" si="38"/>
        <v/>
      </c>
      <c r="CC23" s="217" t="str">
        <f t="shared" si="39"/>
        <v/>
      </c>
      <c r="CD23" s="229" t="str">
        <f t="shared" si="40"/>
        <v/>
      </c>
    </row>
    <row r="24" spans="1:82" x14ac:dyDescent="0.25">
      <c r="A24" s="260" t="str">
        <f t="shared" si="9"/>
        <v>#12:</v>
      </c>
      <c r="B24" s="145">
        <v>3</v>
      </c>
      <c r="C24" s="145">
        <v>3</v>
      </c>
      <c r="D24" s="260" t="str">
        <f t="shared" si="10"/>
        <v/>
      </c>
      <c r="E24" s="145"/>
      <c r="F24" s="145"/>
      <c r="G24" s="260" t="str">
        <f t="shared" si="11"/>
        <v/>
      </c>
      <c r="H24" s="145"/>
      <c r="I24" s="145"/>
      <c r="J24" s="261" t="str">
        <f t="shared" si="12"/>
        <v/>
      </c>
      <c r="K24" s="145"/>
      <c r="L24" s="145"/>
      <c r="M24" s="260" t="str">
        <f t="shared" si="13"/>
        <v/>
      </c>
      <c r="N24" s="145"/>
      <c r="O24" s="145"/>
      <c r="P24" s="260" t="str">
        <f t="shared" si="14"/>
        <v/>
      </c>
      <c r="Q24" s="145"/>
      <c r="R24" s="145"/>
      <c r="S24" s="260" t="str">
        <f t="shared" si="15"/>
        <v/>
      </c>
      <c r="T24" s="145"/>
      <c r="U24" s="145"/>
      <c r="V24" s="260" t="str">
        <f t="shared" si="16"/>
        <v/>
      </c>
      <c r="W24" s="145"/>
      <c r="X24" s="145"/>
      <c r="Y24" s="259"/>
      <c r="Z24" s="2"/>
      <c r="AA24" s="256">
        <v>20</v>
      </c>
      <c r="AB24" s="16">
        <f t="shared" si="0"/>
        <v>13.500001000000001</v>
      </c>
      <c r="AC24" s="16">
        <f t="shared" si="1"/>
        <v>-1.4999989999999999</v>
      </c>
      <c r="AD24" s="16">
        <f t="shared" si="2"/>
        <v>182.25002700000104</v>
      </c>
      <c r="AE24" s="16">
        <f t="shared" si="3"/>
        <v>2.2499970000009997</v>
      </c>
      <c r="AF24" s="16">
        <f t="shared" si="4"/>
        <v>-20.249987999999</v>
      </c>
      <c r="AG24" s="17">
        <f t="shared" si="5"/>
        <v>-1.5</v>
      </c>
      <c r="AH24" s="17">
        <f t="shared" si="6"/>
        <v>13.5</v>
      </c>
      <c r="AI24" s="18">
        <f t="shared" si="7"/>
        <v>74.393939393939277</v>
      </c>
      <c r="AJ24" s="18">
        <f t="shared" si="8"/>
        <v>1.8027756377319946</v>
      </c>
      <c r="AM24" s="2"/>
      <c r="AN24" s="2"/>
      <c r="AO24" s="2"/>
      <c r="AP24" s="2"/>
      <c r="AQ24" s="2"/>
      <c r="AR24" s="2"/>
      <c r="AS24" s="2"/>
      <c r="AT24" s="2"/>
      <c r="AU24" s="2"/>
      <c r="AV24" s="2"/>
      <c r="AW24" s="2"/>
      <c r="AX24" s="2"/>
      <c r="AY24" s="2"/>
      <c r="AZ24" s="2"/>
      <c r="BA24" s="2"/>
      <c r="BB24" s="2"/>
      <c r="BC24" s="2"/>
      <c r="BG24" s="262" t="str">
        <f t="shared" si="17"/>
        <v>#12:</v>
      </c>
      <c r="BH24" s="217">
        <f t="shared" si="18"/>
        <v>0.9144000000000001</v>
      </c>
      <c r="BI24" s="229">
        <f t="shared" si="19"/>
        <v>0.9144000000000001</v>
      </c>
      <c r="BJ24" s="262" t="str">
        <f t="shared" si="20"/>
        <v/>
      </c>
      <c r="BK24" s="217" t="str">
        <f t="shared" si="21"/>
        <v/>
      </c>
      <c r="BL24" s="229" t="str">
        <f t="shared" si="22"/>
        <v/>
      </c>
      <c r="BM24" s="262" t="str">
        <f t="shared" si="23"/>
        <v/>
      </c>
      <c r="BN24" s="217" t="str">
        <f t="shared" si="24"/>
        <v/>
      </c>
      <c r="BO24" s="229" t="str">
        <f t="shared" si="25"/>
        <v/>
      </c>
      <c r="BP24" s="262" t="str">
        <f t="shared" si="26"/>
        <v/>
      </c>
      <c r="BQ24" s="217" t="str">
        <f t="shared" si="27"/>
        <v/>
      </c>
      <c r="BR24" s="229" t="str">
        <f t="shared" si="28"/>
        <v/>
      </c>
      <c r="BS24" s="262" t="str">
        <f t="shared" si="29"/>
        <v/>
      </c>
      <c r="BT24" s="217" t="str">
        <f t="shared" si="30"/>
        <v/>
      </c>
      <c r="BU24" s="229" t="str">
        <f t="shared" si="31"/>
        <v/>
      </c>
      <c r="BV24" s="262" t="str">
        <f t="shared" si="32"/>
        <v/>
      </c>
      <c r="BW24" s="217" t="str">
        <f t="shared" si="33"/>
        <v/>
      </c>
      <c r="BX24" s="229" t="str">
        <f t="shared" si="34"/>
        <v/>
      </c>
      <c r="BY24" s="262" t="str">
        <f t="shared" si="35"/>
        <v/>
      </c>
      <c r="BZ24" s="217" t="str">
        <f t="shared" si="36"/>
        <v/>
      </c>
      <c r="CA24" s="229" t="str">
        <f t="shared" si="37"/>
        <v/>
      </c>
      <c r="CB24" s="262" t="str">
        <f t="shared" si="38"/>
        <v/>
      </c>
      <c r="CC24" s="217" t="str">
        <f t="shared" si="39"/>
        <v/>
      </c>
      <c r="CD24" s="229" t="str">
        <f t="shared" si="40"/>
        <v/>
      </c>
    </row>
    <row r="25" spans="1:82" x14ac:dyDescent="0.25">
      <c r="A25" s="260" t="str">
        <f t="shared" si="9"/>
        <v>#13:</v>
      </c>
      <c r="B25" s="145">
        <v>3</v>
      </c>
      <c r="C25" s="145">
        <v>6</v>
      </c>
      <c r="D25" s="260" t="str">
        <f t="shared" si="10"/>
        <v/>
      </c>
      <c r="E25" s="145"/>
      <c r="F25" s="145"/>
      <c r="G25" s="260" t="str">
        <f t="shared" si="11"/>
        <v/>
      </c>
      <c r="H25" s="145"/>
      <c r="I25" s="145"/>
      <c r="J25" s="261" t="str">
        <f t="shared" si="12"/>
        <v/>
      </c>
      <c r="K25" s="145"/>
      <c r="L25" s="145"/>
      <c r="M25" s="260" t="str">
        <f t="shared" si="13"/>
        <v/>
      </c>
      <c r="N25" s="145"/>
      <c r="O25" s="145"/>
      <c r="P25" s="260" t="str">
        <f t="shared" si="14"/>
        <v/>
      </c>
      <c r="Q25" s="145"/>
      <c r="R25" s="145"/>
      <c r="S25" s="260" t="str">
        <f t="shared" si="15"/>
        <v/>
      </c>
      <c r="T25" s="145"/>
      <c r="U25" s="145"/>
      <c r="V25" s="260" t="str">
        <f t="shared" si="16"/>
        <v/>
      </c>
      <c r="W25" s="145"/>
      <c r="X25" s="145"/>
      <c r="Y25" s="259"/>
      <c r="Z25" s="2"/>
      <c r="AA25" s="256">
        <v>21</v>
      </c>
      <c r="AB25" s="16">
        <f t="shared" si="0"/>
        <v>-13.499999000000001</v>
      </c>
      <c r="AC25" s="16">
        <f t="shared" si="1"/>
        <v>1.5000010000000001</v>
      </c>
      <c r="AD25" s="16">
        <f t="shared" si="2"/>
        <v>182.24997300000101</v>
      </c>
      <c r="AE25" s="16">
        <f t="shared" si="3"/>
        <v>2.2500030000010005</v>
      </c>
      <c r="AF25" s="16">
        <f t="shared" si="4"/>
        <v>-20.250011999999003</v>
      </c>
      <c r="AG25" s="17">
        <f t="shared" si="5"/>
        <v>1.5</v>
      </c>
      <c r="AH25" s="17">
        <f t="shared" si="6"/>
        <v>-13.5</v>
      </c>
      <c r="AI25" s="18">
        <f t="shared" si="7"/>
        <v>75.606060606060723</v>
      </c>
      <c r="AJ25" s="18">
        <f t="shared" si="8"/>
        <v>1.8027756377319946</v>
      </c>
      <c r="AM25" s="2"/>
      <c r="AN25" s="2"/>
      <c r="AO25" s="2"/>
      <c r="AP25" s="2"/>
      <c r="AQ25" s="2"/>
      <c r="AR25" s="2"/>
      <c r="AS25" s="2"/>
      <c r="AT25" s="2"/>
      <c r="AU25" s="2"/>
      <c r="AV25" s="2"/>
      <c r="AW25" s="2"/>
      <c r="AX25" s="2"/>
      <c r="AY25" s="2"/>
      <c r="AZ25" s="2"/>
      <c r="BA25" s="2"/>
      <c r="BB25" s="2"/>
      <c r="BC25" s="2"/>
      <c r="BG25" s="262" t="str">
        <f t="shared" si="17"/>
        <v>#13:</v>
      </c>
      <c r="BH25" s="217">
        <f t="shared" si="18"/>
        <v>0.9144000000000001</v>
      </c>
      <c r="BI25" s="229">
        <f t="shared" si="19"/>
        <v>1.8288000000000002</v>
      </c>
      <c r="BJ25" s="262" t="str">
        <f t="shared" si="20"/>
        <v/>
      </c>
      <c r="BK25" s="217" t="str">
        <f t="shared" si="21"/>
        <v/>
      </c>
      <c r="BL25" s="229" t="str">
        <f t="shared" si="22"/>
        <v/>
      </c>
      <c r="BM25" s="262" t="str">
        <f t="shared" si="23"/>
        <v/>
      </c>
      <c r="BN25" s="217" t="str">
        <f t="shared" si="24"/>
        <v/>
      </c>
      <c r="BO25" s="229" t="str">
        <f t="shared" si="25"/>
        <v/>
      </c>
      <c r="BP25" s="262" t="str">
        <f t="shared" si="26"/>
        <v/>
      </c>
      <c r="BQ25" s="217" t="str">
        <f t="shared" si="27"/>
        <v/>
      </c>
      <c r="BR25" s="229" t="str">
        <f t="shared" si="28"/>
        <v/>
      </c>
      <c r="BS25" s="262" t="str">
        <f t="shared" si="29"/>
        <v/>
      </c>
      <c r="BT25" s="217" t="str">
        <f t="shared" si="30"/>
        <v/>
      </c>
      <c r="BU25" s="229" t="str">
        <f t="shared" si="31"/>
        <v/>
      </c>
      <c r="BV25" s="262" t="str">
        <f t="shared" si="32"/>
        <v/>
      </c>
      <c r="BW25" s="217" t="str">
        <f t="shared" si="33"/>
        <v/>
      </c>
      <c r="BX25" s="229" t="str">
        <f t="shared" si="34"/>
        <v/>
      </c>
      <c r="BY25" s="262" t="str">
        <f t="shared" si="35"/>
        <v/>
      </c>
      <c r="BZ25" s="217" t="str">
        <f t="shared" si="36"/>
        <v/>
      </c>
      <c r="CA25" s="229" t="str">
        <f t="shared" si="37"/>
        <v/>
      </c>
      <c r="CB25" s="262" t="str">
        <f t="shared" si="38"/>
        <v/>
      </c>
      <c r="CC25" s="217" t="str">
        <f t="shared" si="39"/>
        <v/>
      </c>
      <c r="CD25" s="229" t="str">
        <f t="shared" si="40"/>
        <v/>
      </c>
    </row>
    <row r="26" spans="1:82" x14ac:dyDescent="0.25">
      <c r="A26" s="260" t="str">
        <f t="shared" si="9"/>
        <v>#14:</v>
      </c>
      <c r="B26" s="145">
        <v>3</v>
      </c>
      <c r="C26" s="145">
        <v>9</v>
      </c>
      <c r="D26" s="260" t="str">
        <f t="shared" si="10"/>
        <v/>
      </c>
      <c r="E26" s="145"/>
      <c r="F26" s="145"/>
      <c r="G26" s="260" t="str">
        <f t="shared" si="11"/>
        <v/>
      </c>
      <c r="H26" s="145"/>
      <c r="I26" s="145"/>
      <c r="J26" s="261" t="str">
        <f t="shared" si="12"/>
        <v/>
      </c>
      <c r="K26" s="145"/>
      <c r="L26" s="145"/>
      <c r="M26" s="260" t="str">
        <f t="shared" si="13"/>
        <v/>
      </c>
      <c r="N26" s="145"/>
      <c r="O26" s="145"/>
      <c r="P26" s="260" t="str">
        <f t="shared" si="14"/>
        <v/>
      </c>
      <c r="Q26" s="145"/>
      <c r="R26" s="145"/>
      <c r="S26" s="260" t="str">
        <f t="shared" si="15"/>
        <v/>
      </c>
      <c r="T26" s="145"/>
      <c r="U26" s="145"/>
      <c r="V26" s="260" t="str">
        <f t="shared" si="16"/>
        <v/>
      </c>
      <c r="W26" s="145"/>
      <c r="X26" s="145"/>
      <c r="Y26" s="259"/>
      <c r="Z26" s="2"/>
      <c r="AA26" s="256">
        <v>22</v>
      </c>
      <c r="AB26" s="16">
        <f t="shared" si="0"/>
        <v>-10.499998999999999</v>
      </c>
      <c r="AC26" s="16">
        <f t="shared" si="1"/>
        <v>1.5000010000000001</v>
      </c>
      <c r="AD26" s="16">
        <f t="shared" si="2"/>
        <v>110.24997900000098</v>
      </c>
      <c r="AE26" s="16">
        <f t="shared" si="3"/>
        <v>2.2500030000010005</v>
      </c>
      <c r="AF26" s="16">
        <f t="shared" si="4"/>
        <v>-15.750008999999</v>
      </c>
      <c r="AG26" s="17">
        <f t="shared" si="5"/>
        <v>1.5</v>
      </c>
      <c r="AH26" s="17">
        <f t="shared" si="6"/>
        <v>-10.5</v>
      </c>
      <c r="AI26" s="18">
        <f t="shared" si="7"/>
        <v>75.101010101010232</v>
      </c>
      <c r="AJ26" s="18">
        <f t="shared" si="8"/>
        <v>1.8027756377319946</v>
      </c>
      <c r="AM26" s="2"/>
      <c r="AN26" s="2"/>
      <c r="AO26" s="2"/>
      <c r="AP26" s="2"/>
      <c r="AQ26" s="2"/>
      <c r="AR26" s="2"/>
      <c r="AS26" s="2"/>
      <c r="AT26" s="2"/>
      <c r="AU26" s="2"/>
      <c r="AV26" s="2"/>
      <c r="AW26" s="2"/>
      <c r="AX26" s="2"/>
      <c r="AY26" s="2"/>
      <c r="AZ26" s="2"/>
      <c r="BA26" s="2"/>
      <c r="BB26" s="2"/>
      <c r="BC26" s="2"/>
      <c r="BF26" s="2"/>
      <c r="BG26" s="262" t="str">
        <f t="shared" si="17"/>
        <v>#14:</v>
      </c>
      <c r="BH26" s="217">
        <f t="shared" si="18"/>
        <v>0.9144000000000001</v>
      </c>
      <c r="BI26" s="229">
        <f t="shared" si="19"/>
        <v>2.7432000000000003</v>
      </c>
      <c r="BJ26" s="262" t="str">
        <f t="shared" si="20"/>
        <v/>
      </c>
      <c r="BK26" s="217" t="str">
        <f t="shared" si="21"/>
        <v/>
      </c>
      <c r="BL26" s="229" t="str">
        <f t="shared" si="22"/>
        <v/>
      </c>
      <c r="BM26" s="262" t="str">
        <f t="shared" si="23"/>
        <v/>
      </c>
      <c r="BN26" s="217" t="str">
        <f t="shared" si="24"/>
        <v/>
      </c>
      <c r="BO26" s="229" t="str">
        <f t="shared" si="25"/>
        <v/>
      </c>
      <c r="BP26" s="262" t="str">
        <f t="shared" si="26"/>
        <v/>
      </c>
      <c r="BQ26" s="217" t="str">
        <f t="shared" si="27"/>
        <v/>
      </c>
      <c r="BR26" s="229" t="str">
        <f t="shared" si="28"/>
        <v/>
      </c>
      <c r="BS26" s="262" t="str">
        <f t="shared" si="29"/>
        <v/>
      </c>
      <c r="BT26" s="217" t="str">
        <f t="shared" si="30"/>
        <v/>
      </c>
      <c r="BU26" s="229" t="str">
        <f t="shared" si="31"/>
        <v/>
      </c>
      <c r="BV26" s="262" t="str">
        <f t="shared" si="32"/>
        <v/>
      </c>
      <c r="BW26" s="217" t="str">
        <f t="shared" si="33"/>
        <v/>
      </c>
      <c r="BX26" s="229" t="str">
        <f t="shared" si="34"/>
        <v/>
      </c>
      <c r="BY26" s="262" t="str">
        <f t="shared" si="35"/>
        <v/>
      </c>
      <c r="BZ26" s="217" t="str">
        <f t="shared" si="36"/>
        <v/>
      </c>
      <c r="CA26" s="229" t="str">
        <f t="shared" si="37"/>
        <v/>
      </c>
      <c r="CB26" s="262" t="str">
        <f t="shared" si="38"/>
        <v/>
      </c>
      <c r="CC26" s="217" t="str">
        <f t="shared" si="39"/>
        <v/>
      </c>
      <c r="CD26" s="229" t="str">
        <f t="shared" si="40"/>
        <v/>
      </c>
    </row>
    <row r="27" spans="1:82" x14ac:dyDescent="0.25">
      <c r="A27" s="260" t="str">
        <f t="shared" si="9"/>
        <v>#15:</v>
      </c>
      <c r="B27" s="145">
        <v>3</v>
      </c>
      <c r="C27" s="145">
        <v>12</v>
      </c>
      <c r="D27" s="260" t="str">
        <f t="shared" si="10"/>
        <v/>
      </c>
      <c r="E27" s="145"/>
      <c r="F27" s="145"/>
      <c r="G27" s="260" t="str">
        <f t="shared" si="11"/>
        <v/>
      </c>
      <c r="H27" s="145"/>
      <c r="I27" s="145"/>
      <c r="J27" s="261" t="str">
        <f t="shared" si="12"/>
        <v/>
      </c>
      <c r="K27" s="145"/>
      <c r="L27" s="145"/>
      <c r="M27" s="260" t="str">
        <f t="shared" si="13"/>
        <v/>
      </c>
      <c r="N27" s="145"/>
      <c r="O27" s="145"/>
      <c r="P27" s="260" t="str">
        <f t="shared" si="14"/>
        <v/>
      </c>
      <c r="Q27" s="145"/>
      <c r="R27" s="145"/>
      <c r="S27" s="260" t="str">
        <f t="shared" si="15"/>
        <v/>
      </c>
      <c r="T27" s="145"/>
      <c r="U27" s="145"/>
      <c r="V27" s="260" t="str">
        <f t="shared" si="16"/>
        <v/>
      </c>
      <c r="W27" s="145"/>
      <c r="X27" s="145"/>
      <c r="Y27" s="259"/>
      <c r="Z27" s="2"/>
      <c r="AA27" s="256">
        <v>23</v>
      </c>
      <c r="AB27" s="16">
        <f t="shared" si="0"/>
        <v>-7.4999989999999999</v>
      </c>
      <c r="AC27" s="16">
        <f t="shared" si="1"/>
        <v>1.5000010000000001</v>
      </c>
      <c r="AD27" s="16">
        <f t="shared" si="2"/>
        <v>56.249985000000997</v>
      </c>
      <c r="AE27" s="16">
        <f t="shared" si="3"/>
        <v>2.2500030000010005</v>
      </c>
      <c r="AF27" s="16">
        <f t="shared" si="4"/>
        <v>-11.250005999999001</v>
      </c>
      <c r="AG27" s="17">
        <f t="shared" si="5"/>
        <v>1.5</v>
      </c>
      <c r="AH27" s="17">
        <f t="shared" si="6"/>
        <v>-7.5</v>
      </c>
      <c r="AI27" s="18">
        <f t="shared" si="7"/>
        <v>74.595959595959727</v>
      </c>
      <c r="AJ27" s="18">
        <f t="shared" si="8"/>
        <v>1.8027756377319946</v>
      </c>
      <c r="AM27" s="2"/>
      <c r="AN27" s="2"/>
      <c r="AO27" s="2"/>
      <c r="AP27" s="2"/>
      <c r="AQ27" s="2"/>
      <c r="AR27" s="2"/>
      <c r="AS27" s="2"/>
      <c r="AT27" s="2"/>
      <c r="AU27" s="2"/>
      <c r="AV27" s="2"/>
      <c r="AW27" s="2"/>
      <c r="AX27" s="2"/>
      <c r="AY27" s="2"/>
      <c r="AZ27" s="2"/>
      <c r="BA27" s="2"/>
      <c r="BB27" s="2"/>
      <c r="BC27" s="2"/>
      <c r="BF27" s="2"/>
      <c r="BG27" s="262" t="str">
        <f t="shared" si="17"/>
        <v>#15:</v>
      </c>
      <c r="BH27" s="217">
        <f t="shared" si="18"/>
        <v>0.9144000000000001</v>
      </c>
      <c r="BI27" s="229">
        <f t="shared" si="19"/>
        <v>3.6576000000000004</v>
      </c>
      <c r="BJ27" s="262" t="str">
        <f t="shared" si="20"/>
        <v/>
      </c>
      <c r="BK27" s="217" t="str">
        <f t="shared" si="21"/>
        <v/>
      </c>
      <c r="BL27" s="229" t="str">
        <f t="shared" si="22"/>
        <v/>
      </c>
      <c r="BM27" s="262" t="str">
        <f t="shared" si="23"/>
        <v/>
      </c>
      <c r="BN27" s="217" t="str">
        <f t="shared" si="24"/>
        <v/>
      </c>
      <c r="BO27" s="229" t="str">
        <f t="shared" si="25"/>
        <v/>
      </c>
      <c r="BP27" s="262" t="str">
        <f t="shared" si="26"/>
        <v/>
      </c>
      <c r="BQ27" s="217" t="str">
        <f t="shared" si="27"/>
        <v/>
      </c>
      <c r="BR27" s="229" t="str">
        <f t="shared" si="28"/>
        <v/>
      </c>
      <c r="BS27" s="262" t="str">
        <f t="shared" si="29"/>
        <v/>
      </c>
      <c r="BT27" s="217" t="str">
        <f t="shared" si="30"/>
        <v/>
      </c>
      <c r="BU27" s="229" t="str">
        <f t="shared" si="31"/>
        <v/>
      </c>
      <c r="BV27" s="262" t="str">
        <f t="shared" si="32"/>
        <v/>
      </c>
      <c r="BW27" s="217" t="str">
        <f t="shared" si="33"/>
        <v/>
      </c>
      <c r="BX27" s="229" t="str">
        <f t="shared" si="34"/>
        <v/>
      </c>
      <c r="BY27" s="262" t="str">
        <f t="shared" si="35"/>
        <v/>
      </c>
      <c r="BZ27" s="217" t="str">
        <f t="shared" si="36"/>
        <v/>
      </c>
      <c r="CA27" s="229" t="str">
        <f t="shared" si="37"/>
        <v/>
      </c>
      <c r="CB27" s="262" t="str">
        <f t="shared" si="38"/>
        <v/>
      </c>
      <c r="CC27" s="217" t="str">
        <f t="shared" si="39"/>
        <v/>
      </c>
      <c r="CD27" s="229" t="str">
        <f t="shared" si="40"/>
        <v/>
      </c>
    </row>
    <row r="28" spans="1:82" x14ac:dyDescent="0.25">
      <c r="A28" s="260" t="str">
        <f t="shared" si="9"/>
        <v>#16:</v>
      </c>
      <c r="B28" s="145">
        <v>3</v>
      </c>
      <c r="C28" s="145">
        <v>15</v>
      </c>
      <c r="D28" s="260" t="str">
        <f t="shared" si="10"/>
        <v/>
      </c>
      <c r="E28" s="145"/>
      <c r="F28" s="145"/>
      <c r="G28" s="260" t="str">
        <f t="shared" si="11"/>
        <v/>
      </c>
      <c r="H28" s="145"/>
      <c r="I28" s="145"/>
      <c r="J28" s="261" t="str">
        <f t="shared" si="12"/>
        <v/>
      </c>
      <c r="K28" s="145"/>
      <c r="L28" s="145"/>
      <c r="M28" s="260" t="str">
        <f t="shared" si="13"/>
        <v/>
      </c>
      <c r="N28" s="145"/>
      <c r="O28" s="145"/>
      <c r="P28" s="260" t="str">
        <f t="shared" si="14"/>
        <v/>
      </c>
      <c r="Q28" s="145"/>
      <c r="R28" s="145"/>
      <c r="S28" s="260" t="str">
        <f t="shared" si="15"/>
        <v/>
      </c>
      <c r="T28" s="145"/>
      <c r="U28" s="145"/>
      <c r="V28" s="260" t="str">
        <f t="shared" si="16"/>
        <v/>
      </c>
      <c r="W28" s="145"/>
      <c r="X28" s="145"/>
      <c r="Y28" s="259"/>
      <c r="Z28" s="2"/>
      <c r="AA28" s="256">
        <v>24</v>
      </c>
      <c r="AB28" s="16">
        <f t="shared" si="0"/>
        <v>-4.4999990000000007</v>
      </c>
      <c r="AC28" s="16">
        <f t="shared" si="1"/>
        <v>1.5000010000000001</v>
      </c>
      <c r="AD28" s="16">
        <f t="shared" si="2"/>
        <v>20.249991000001007</v>
      </c>
      <c r="AE28" s="16">
        <f t="shared" si="3"/>
        <v>2.2500030000010005</v>
      </c>
      <c r="AF28" s="16">
        <f t="shared" si="4"/>
        <v>-6.7500029999990021</v>
      </c>
      <c r="AG28" s="17">
        <f t="shared" si="5"/>
        <v>1.5</v>
      </c>
      <c r="AH28" s="17">
        <f t="shared" si="6"/>
        <v>-4.5</v>
      </c>
      <c r="AI28" s="18">
        <f t="shared" si="7"/>
        <v>74.090909090909236</v>
      </c>
      <c r="AJ28" s="18">
        <f t="shared" si="8"/>
        <v>1.8027756377319946</v>
      </c>
      <c r="AM28" s="2"/>
      <c r="AN28" s="2"/>
      <c r="AO28" s="2"/>
      <c r="AP28" s="2"/>
      <c r="AQ28" s="2"/>
      <c r="AR28" s="2"/>
      <c r="AS28" s="2"/>
      <c r="AT28" s="2"/>
      <c r="AU28" s="2"/>
      <c r="AV28" s="2"/>
      <c r="AW28" s="2"/>
      <c r="AX28" s="2"/>
      <c r="AY28" s="2"/>
      <c r="AZ28" s="2"/>
      <c r="BA28" s="2"/>
      <c r="BB28" s="2"/>
      <c r="BC28" s="2"/>
      <c r="BF28" s="2"/>
      <c r="BG28" s="262" t="str">
        <f t="shared" si="17"/>
        <v>#16:</v>
      </c>
      <c r="BH28" s="217">
        <f t="shared" si="18"/>
        <v>0.9144000000000001</v>
      </c>
      <c r="BI28" s="229">
        <f t="shared" si="19"/>
        <v>4.5720000000000001</v>
      </c>
      <c r="BJ28" s="262" t="str">
        <f t="shared" si="20"/>
        <v/>
      </c>
      <c r="BK28" s="217" t="str">
        <f t="shared" si="21"/>
        <v/>
      </c>
      <c r="BL28" s="229" t="str">
        <f t="shared" si="22"/>
        <v/>
      </c>
      <c r="BM28" s="262" t="str">
        <f t="shared" si="23"/>
        <v/>
      </c>
      <c r="BN28" s="217" t="str">
        <f t="shared" si="24"/>
        <v/>
      </c>
      <c r="BO28" s="229" t="str">
        <f t="shared" si="25"/>
        <v/>
      </c>
      <c r="BP28" s="262" t="str">
        <f t="shared" si="26"/>
        <v/>
      </c>
      <c r="BQ28" s="217" t="str">
        <f t="shared" si="27"/>
        <v/>
      </c>
      <c r="BR28" s="229" t="str">
        <f t="shared" si="28"/>
        <v/>
      </c>
      <c r="BS28" s="262" t="str">
        <f t="shared" si="29"/>
        <v/>
      </c>
      <c r="BT28" s="217" t="str">
        <f t="shared" si="30"/>
        <v/>
      </c>
      <c r="BU28" s="229" t="str">
        <f t="shared" si="31"/>
        <v/>
      </c>
      <c r="BV28" s="262" t="str">
        <f t="shared" si="32"/>
        <v/>
      </c>
      <c r="BW28" s="217" t="str">
        <f t="shared" si="33"/>
        <v/>
      </c>
      <c r="BX28" s="229" t="str">
        <f t="shared" si="34"/>
        <v/>
      </c>
      <c r="BY28" s="262" t="str">
        <f t="shared" si="35"/>
        <v/>
      </c>
      <c r="BZ28" s="217" t="str">
        <f t="shared" si="36"/>
        <v/>
      </c>
      <c r="CA28" s="229" t="str">
        <f t="shared" si="37"/>
        <v/>
      </c>
      <c r="CB28" s="262" t="str">
        <f t="shared" si="38"/>
        <v/>
      </c>
      <c r="CC28" s="217" t="str">
        <f t="shared" si="39"/>
        <v/>
      </c>
      <c r="CD28" s="229" t="str">
        <f t="shared" si="40"/>
        <v/>
      </c>
    </row>
    <row r="29" spans="1:82" x14ac:dyDescent="0.25">
      <c r="A29" s="260" t="str">
        <f t="shared" si="9"/>
        <v>#17:</v>
      </c>
      <c r="B29" s="145">
        <v>3</v>
      </c>
      <c r="C29" s="145">
        <v>18</v>
      </c>
      <c r="D29" s="260" t="str">
        <f t="shared" si="10"/>
        <v/>
      </c>
      <c r="E29" s="145"/>
      <c r="F29" s="145"/>
      <c r="G29" s="260" t="str">
        <f t="shared" si="11"/>
        <v/>
      </c>
      <c r="H29" s="145"/>
      <c r="I29" s="145"/>
      <c r="J29" s="261" t="str">
        <f t="shared" si="12"/>
        <v/>
      </c>
      <c r="K29" s="145"/>
      <c r="L29" s="145"/>
      <c r="M29" s="260" t="str">
        <f t="shared" si="13"/>
        <v/>
      </c>
      <c r="N29" s="145"/>
      <c r="O29" s="145"/>
      <c r="P29" s="260" t="str">
        <f t="shared" si="14"/>
        <v/>
      </c>
      <c r="Q29" s="145"/>
      <c r="R29" s="145"/>
      <c r="S29" s="260" t="str">
        <f t="shared" si="15"/>
        <v/>
      </c>
      <c r="T29" s="145"/>
      <c r="U29" s="145"/>
      <c r="V29" s="260" t="str">
        <f t="shared" si="16"/>
        <v/>
      </c>
      <c r="W29" s="145"/>
      <c r="X29" s="145"/>
      <c r="Y29" s="259"/>
      <c r="Z29" s="2"/>
      <c r="AA29" s="256">
        <v>25</v>
      </c>
      <c r="AB29" s="16">
        <f t="shared" si="0"/>
        <v>-1.4999990000000007</v>
      </c>
      <c r="AC29" s="16">
        <f t="shared" si="1"/>
        <v>1.5000010000000001</v>
      </c>
      <c r="AD29" s="16">
        <f t="shared" si="2"/>
        <v>2.2499970000010023</v>
      </c>
      <c r="AE29" s="16">
        <f t="shared" si="3"/>
        <v>2.2500030000010005</v>
      </c>
      <c r="AF29" s="16">
        <f t="shared" si="4"/>
        <v>-2.2499999999990012</v>
      </c>
      <c r="AG29" s="17">
        <f t="shared" si="5"/>
        <v>1.5</v>
      </c>
      <c r="AH29" s="17">
        <f t="shared" si="6"/>
        <v>-1.5</v>
      </c>
      <c r="AI29" s="18">
        <f t="shared" si="7"/>
        <v>73.58585858585873</v>
      </c>
      <c r="AJ29" s="18">
        <f t="shared" si="8"/>
        <v>1.8027756377319946</v>
      </c>
      <c r="AM29" s="2"/>
      <c r="AN29" s="2"/>
      <c r="AO29" s="2"/>
      <c r="AP29" s="2"/>
      <c r="AQ29" s="2"/>
      <c r="AR29" s="2"/>
      <c r="AS29" s="2"/>
      <c r="AT29" s="2"/>
      <c r="AU29" s="2"/>
      <c r="AV29" s="2"/>
      <c r="AW29" s="2"/>
      <c r="AX29" s="2"/>
      <c r="AY29" s="2"/>
      <c r="AZ29" s="2"/>
      <c r="BA29" s="2"/>
      <c r="BB29" s="2"/>
      <c r="BC29" s="2"/>
      <c r="BF29" s="2"/>
      <c r="BG29" s="262" t="str">
        <f t="shared" si="17"/>
        <v>#17:</v>
      </c>
      <c r="BH29" s="217">
        <f t="shared" si="18"/>
        <v>0.9144000000000001</v>
      </c>
      <c r="BI29" s="229">
        <f t="shared" si="19"/>
        <v>5.4864000000000006</v>
      </c>
      <c r="BJ29" s="262" t="str">
        <f t="shared" si="20"/>
        <v/>
      </c>
      <c r="BK29" s="217" t="str">
        <f t="shared" si="21"/>
        <v/>
      </c>
      <c r="BL29" s="229" t="str">
        <f t="shared" si="22"/>
        <v/>
      </c>
      <c r="BM29" s="262" t="str">
        <f t="shared" si="23"/>
        <v/>
      </c>
      <c r="BN29" s="217" t="str">
        <f t="shared" si="24"/>
        <v/>
      </c>
      <c r="BO29" s="229" t="str">
        <f t="shared" si="25"/>
        <v/>
      </c>
      <c r="BP29" s="262" t="str">
        <f t="shared" si="26"/>
        <v/>
      </c>
      <c r="BQ29" s="217" t="str">
        <f t="shared" si="27"/>
        <v/>
      </c>
      <c r="BR29" s="229" t="str">
        <f t="shared" si="28"/>
        <v/>
      </c>
      <c r="BS29" s="262" t="str">
        <f t="shared" si="29"/>
        <v/>
      </c>
      <c r="BT29" s="217" t="str">
        <f t="shared" si="30"/>
        <v/>
      </c>
      <c r="BU29" s="229" t="str">
        <f t="shared" si="31"/>
        <v/>
      </c>
      <c r="BV29" s="262" t="str">
        <f t="shared" si="32"/>
        <v/>
      </c>
      <c r="BW29" s="217" t="str">
        <f t="shared" si="33"/>
        <v/>
      </c>
      <c r="BX29" s="229" t="str">
        <f t="shared" si="34"/>
        <v/>
      </c>
      <c r="BY29" s="262" t="str">
        <f t="shared" si="35"/>
        <v/>
      </c>
      <c r="BZ29" s="217" t="str">
        <f t="shared" si="36"/>
        <v/>
      </c>
      <c r="CA29" s="229" t="str">
        <f t="shared" si="37"/>
        <v/>
      </c>
      <c r="CB29" s="262" t="str">
        <f t="shared" si="38"/>
        <v/>
      </c>
      <c r="CC29" s="217" t="str">
        <f t="shared" si="39"/>
        <v/>
      </c>
      <c r="CD29" s="229" t="str">
        <f t="shared" si="40"/>
        <v/>
      </c>
    </row>
    <row r="30" spans="1:82" x14ac:dyDescent="0.25">
      <c r="A30" s="260" t="str">
        <f t="shared" si="9"/>
        <v>#18:</v>
      </c>
      <c r="B30" s="145">
        <v>3</v>
      </c>
      <c r="C30" s="145">
        <v>21</v>
      </c>
      <c r="D30" s="260" t="str">
        <f t="shared" si="10"/>
        <v/>
      </c>
      <c r="E30" s="145"/>
      <c r="F30" s="145"/>
      <c r="G30" s="260" t="str">
        <f t="shared" si="11"/>
        <v/>
      </c>
      <c r="H30" s="145"/>
      <c r="I30" s="145"/>
      <c r="J30" s="261" t="str">
        <f t="shared" si="12"/>
        <v/>
      </c>
      <c r="K30" s="145"/>
      <c r="L30" s="145"/>
      <c r="M30" s="260" t="str">
        <f t="shared" si="13"/>
        <v/>
      </c>
      <c r="N30" s="145"/>
      <c r="O30" s="145"/>
      <c r="P30" s="260" t="str">
        <f t="shared" si="14"/>
        <v/>
      </c>
      <c r="Q30" s="145"/>
      <c r="R30" s="145"/>
      <c r="S30" s="260" t="str">
        <f t="shared" si="15"/>
        <v/>
      </c>
      <c r="T30" s="145"/>
      <c r="U30" s="145"/>
      <c r="V30" s="260" t="str">
        <f t="shared" si="16"/>
        <v/>
      </c>
      <c r="W30" s="145"/>
      <c r="X30" s="145"/>
      <c r="Y30" s="259"/>
      <c r="Z30" s="2"/>
      <c r="AA30" s="256">
        <v>26</v>
      </c>
      <c r="AB30" s="16">
        <f t="shared" si="0"/>
        <v>1.5000009999999993</v>
      </c>
      <c r="AC30" s="16">
        <f t="shared" si="1"/>
        <v>1.5000010000000001</v>
      </c>
      <c r="AD30" s="16">
        <f t="shared" si="2"/>
        <v>2.2500030000009978</v>
      </c>
      <c r="AE30" s="16">
        <f t="shared" si="3"/>
        <v>2.2500030000010005</v>
      </c>
      <c r="AF30" s="16">
        <f t="shared" si="4"/>
        <v>2.2500030000009992</v>
      </c>
      <c r="AG30" s="17">
        <f t="shared" si="5"/>
        <v>1.5</v>
      </c>
      <c r="AH30" s="17">
        <f t="shared" si="6"/>
        <v>1.5</v>
      </c>
      <c r="AI30" s="18">
        <f t="shared" si="7"/>
        <v>73.080808080808239</v>
      </c>
      <c r="AJ30" s="18">
        <f t="shared" si="8"/>
        <v>1.8027756377319946</v>
      </c>
      <c r="AM30" s="2"/>
      <c r="AN30" s="2"/>
      <c r="AO30" s="2"/>
      <c r="AP30" s="2"/>
      <c r="AQ30" s="2"/>
      <c r="AR30" s="2"/>
      <c r="AS30" s="2"/>
      <c r="AT30" s="2"/>
      <c r="AU30" s="2"/>
      <c r="AV30" s="2"/>
      <c r="AW30" s="2"/>
      <c r="AX30" s="2"/>
      <c r="AY30" s="2"/>
      <c r="AZ30" s="2"/>
      <c r="BA30" s="2"/>
      <c r="BB30" s="2"/>
      <c r="BC30" s="2"/>
      <c r="BF30" s="2"/>
      <c r="BG30" s="262" t="str">
        <f t="shared" si="17"/>
        <v>#18:</v>
      </c>
      <c r="BH30" s="217">
        <f t="shared" si="18"/>
        <v>0.9144000000000001</v>
      </c>
      <c r="BI30" s="229">
        <f t="shared" si="19"/>
        <v>6.4008000000000003</v>
      </c>
      <c r="BJ30" s="262" t="str">
        <f t="shared" si="20"/>
        <v/>
      </c>
      <c r="BK30" s="217" t="str">
        <f t="shared" si="21"/>
        <v/>
      </c>
      <c r="BL30" s="229" t="str">
        <f t="shared" si="22"/>
        <v/>
      </c>
      <c r="BM30" s="262" t="str">
        <f t="shared" si="23"/>
        <v/>
      </c>
      <c r="BN30" s="217" t="str">
        <f t="shared" si="24"/>
        <v/>
      </c>
      <c r="BO30" s="229" t="str">
        <f t="shared" si="25"/>
        <v/>
      </c>
      <c r="BP30" s="262" t="str">
        <f t="shared" si="26"/>
        <v/>
      </c>
      <c r="BQ30" s="217" t="str">
        <f t="shared" si="27"/>
        <v/>
      </c>
      <c r="BR30" s="229" t="str">
        <f t="shared" si="28"/>
        <v/>
      </c>
      <c r="BS30" s="262" t="str">
        <f t="shared" si="29"/>
        <v/>
      </c>
      <c r="BT30" s="217" t="str">
        <f t="shared" si="30"/>
        <v/>
      </c>
      <c r="BU30" s="229" t="str">
        <f t="shared" si="31"/>
        <v/>
      </c>
      <c r="BV30" s="262" t="str">
        <f t="shared" si="32"/>
        <v/>
      </c>
      <c r="BW30" s="217" t="str">
        <f t="shared" si="33"/>
        <v/>
      </c>
      <c r="BX30" s="229" t="str">
        <f t="shared" si="34"/>
        <v/>
      </c>
      <c r="BY30" s="262" t="str">
        <f t="shared" si="35"/>
        <v/>
      </c>
      <c r="BZ30" s="217" t="str">
        <f t="shared" si="36"/>
        <v/>
      </c>
      <c r="CA30" s="229" t="str">
        <f t="shared" si="37"/>
        <v/>
      </c>
      <c r="CB30" s="262" t="str">
        <f t="shared" si="38"/>
        <v/>
      </c>
      <c r="CC30" s="217" t="str">
        <f t="shared" si="39"/>
        <v/>
      </c>
      <c r="CD30" s="229" t="str">
        <f t="shared" si="40"/>
        <v/>
      </c>
    </row>
    <row r="31" spans="1:82" x14ac:dyDescent="0.25">
      <c r="A31" s="260" t="str">
        <f t="shared" si="9"/>
        <v>#19:</v>
      </c>
      <c r="B31" s="145">
        <v>3</v>
      </c>
      <c r="C31" s="145">
        <v>24</v>
      </c>
      <c r="D31" s="260" t="str">
        <f t="shared" si="10"/>
        <v/>
      </c>
      <c r="E31" s="145"/>
      <c r="F31" s="145"/>
      <c r="G31" s="260" t="str">
        <f t="shared" si="11"/>
        <v/>
      </c>
      <c r="H31" s="145"/>
      <c r="I31" s="145"/>
      <c r="J31" s="261" t="str">
        <f t="shared" si="12"/>
        <v/>
      </c>
      <c r="K31" s="145"/>
      <c r="L31" s="145"/>
      <c r="M31" s="260" t="str">
        <f t="shared" si="13"/>
        <v/>
      </c>
      <c r="N31" s="145"/>
      <c r="O31" s="145"/>
      <c r="P31" s="260" t="str">
        <f t="shared" si="14"/>
        <v/>
      </c>
      <c r="Q31" s="145"/>
      <c r="R31" s="145"/>
      <c r="S31" s="260" t="str">
        <f t="shared" si="15"/>
        <v/>
      </c>
      <c r="T31" s="145"/>
      <c r="U31" s="145"/>
      <c r="V31" s="260" t="str">
        <f t="shared" si="16"/>
        <v/>
      </c>
      <c r="W31" s="145"/>
      <c r="X31" s="145"/>
      <c r="Y31" s="259"/>
      <c r="Z31" s="2"/>
      <c r="AA31" s="256">
        <v>27</v>
      </c>
      <c r="AB31" s="16">
        <f t="shared" si="0"/>
        <v>4.500001000000001</v>
      </c>
      <c r="AC31" s="16">
        <f t="shared" si="1"/>
        <v>1.5000010000000001</v>
      </c>
      <c r="AD31" s="16">
        <f t="shared" si="2"/>
        <v>20.250009000001008</v>
      </c>
      <c r="AE31" s="16">
        <f t="shared" si="3"/>
        <v>2.2500030000010005</v>
      </c>
      <c r="AF31" s="16">
        <f t="shared" si="4"/>
        <v>6.7500060000010018</v>
      </c>
      <c r="AG31" s="17">
        <f t="shared" si="5"/>
        <v>1.5</v>
      </c>
      <c r="AH31" s="17">
        <f t="shared" si="6"/>
        <v>4.5</v>
      </c>
      <c r="AI31" s="18">
        <f t="shared" si="7"/>
        <v>72.575757575757734</v>
      </c>
      <c r="AJ31" s="18">
        <f t="shared" si="8"/>
        <v>1.8027756377319946</v>
      </c>
      <c r="AM31" s="2"/>
      <c r="AN31" s="2"/>
      <c r="AO31" s="2"/>
      <c r="AP31" s="2"/>
      <c r="AQ31" s="2"/>
      <c r="AR31" s="2"/>
      <c r="AS31" s="2"/>
      <c r="AT31" s="2"/>
      <c r="AU31" s="2"/>
      <c r="AV31" s="2"/>
      <c r="AW31" s="2"/>
      <c r="AX31" s="2"/>
      <c r="AY31" s="2"/>
      <c r="AZ31" s="2"/>
      <c r="BA31" s="2"/>
      <c r="BB31" s="2"/>
      <c r="BC31" s="2"/>
      <c r="BF31" s="2"/>
      <c r="BG31" s="262" t="str">
        <f t="shared" si="17"/>
        <v>#19:</v>
      </c>
      <c r="BH31" s="217">
        <f t="shared" si="18"/>
        <v>0.9144000000000001</v>
      </c>
      <c r="BI31" s="229">
        <f t="shared" si="19"/>
        <v>7.3152000000000008</v>
      </c>
      <c r="BJ31" s="262" t="str">
        <f t="shared" si="20"/>
        <v/>
      </c>
      <c r="BK31" s="217" t="str">
        <f t="shared" si="21"/>
        <v/>
      </c>
      <c r="BL31" s="229" t="str">
        <f t="shared" si="22"/>
        <v/>
      </c>
      <c r="BM31" s="262" t="str">
        <f t="shared" si="23"/>
        <v/>
      </c>
      <c r="BN31" s="217" t="str">
        <f t="shared" si="24"/>
        <v/>
      </c>
      <c r="BO31" s="229" t="str">
        <f t="shared" si="25"/>
        <v/>
      </c>
      <c r="BP31" s="262" t="str">
        <f t="shared" si="26"/>
        <v/>
      </c>
      <c r="BQ31" s="217" t="str">
        <f t="shared" si="27"/>
        <v/>
      </c>
      <c r="BR31" s="229" t="str">
        <f t="shared" si="28"/>
        <v/>
      </c>
      <c r="BS31" s="262" t="str">
        <f t="shared" si="29"/>
        <v/>
      </c>
      <c r="BT31" s="217" t="str">
        <f t="shared" si="30"/>
        <v/>
      </c>
      <c r="BU31" s="229" t="str">
        <f t="shared" si="31"/>
        <v/>
      </c>
      <c r="BV31" s="262" t="str">
        <f t="shared" si="32"/>
        <v/>
      </c>
      <c r="BW31" s="217" t="str">
        <f t="shared" si="33"/>
        <v/>
      </c>
      <c r="BX31" s="229" t="str">
        <f t="shared" si="34"/>
        <v/>
      </c>
      <c r="BY31" s="262" t="str">
        <f t="shared" si="35"/>
        <v/>
      </c>
      <c r="BZ31" s="217" t="str">
        <f t="shared" si="36"/>
        <v/>
      </c>
      <c r="CA31" s="229" t="str">
        <f t="shared" si="37"/>
        <v/>
      </c>
      <c r="CB31" s="262" t="str">
        <f t="shared" si="38"/>
        <v/>
      </c>
      <c r="CC31" s="217" t="str">
        <f t="shared" si="39"/>
        <v/>
      </c>
      <c r="CD31" s="229" t="str">
        <f t="shared" si="40"/>
        <v/>
      </c>
    </row>
    <row r="32" spans="1:82" x14ac:dyDescent="0.25">
      <c r="A32" s="260" t="str">
        <f t="shared" si="9"/>
        <v>#20:</v>
      </c>
      <c r="B32" s="145">
        <v>3</v>
      </c>
      <c r="C32" s="145">
        <v>27</v>
      </c>
      <c r="D32" s="260" t="str">
        <f t="shared" si="10"/>
        <v/>
      </c>
      <c r="E32" s="145"/>
      <c r="F32" s="145"/>
      <c r="G32" s="260" t="str">
        <f t="shared" si="11"/>
        <v/>
      </c>
      <c r="H32" s="145"/>
      <c r="I32" s="145"/>
      <c r="J32" s="261" t="str">
        <f t="shared" si="12"/>
        <v/>
      </c>
      <c r="K32" s="145"/>
      <c r="L32" s="145"/>
      <c r="M32" s="260" t="str">
        <f t="shared" si="13"/>
        <v/>
      </c>
      <c r="N32" s="145"/>
      <c r="O32" s="145"/>
      <c r="P32" s="260" t="str">
        <f t="shared" si="14"/>
        <v/>
      </c>
      <c r="Q32" s="145"/>
      <c r="R32" s="145"/>
      <c r="S32" s="260" t="str">
        <f t="shared" si="15"/>
        <v/>
      </c>
      <c r="T32" s="145"/>
      <c r="U32" s="145"/>
      <c r="V32" s="260" t="str">
        <f t="shared" si="16"/>
        <v/>
      </c>
      <c r="W32" s="145"/>
      <c r="X32" s="145"/>
      <c r="Y32" s="259"/>
      <c r="Z32" s="2"/>
      <c r="AA32" s="256">
        <v>28</v>
      </c>
      <c r="AB32" s="16">
        <f t="shared" si="0"/>
        <v>7.500001000000001</v>
      </c>
      <c r="AC32" s="16">
        <f t="shared" si="1"/>
        <v>1.5000010000000001</v>
      </c>
      <c r="AD32" s="16">
        <f t="shared" si="2"/>
        <v>56.250015000001014</v>
      </c>
      <c r="AE32" s="16">
        <f t="shared" si="3"/>
        <v>2.2500030000010005</v>
      </c>
      <c r="AF32" s="16">
        <f t="shared" si="4"/>
        <v>11.250009000001002</v>
      </c>
      <c r="AG32" s="17">
        <f t="shared" si="5"/>
        <v>1.5</v>
      </c>
      <c r="AH32" s="17">
        <f t="shared" si="6"/>
        <v>7.5</v>
      </c>
      <c r="AI32" s="18">
        <f t="shared" si="7"/>
        <v>72.070707070707243</v>
      </c>
      <c r="AJ32" s="18">
        <f t="shared" si="8"/>
        <v>1.8027756377319946</v>
      </c>
      <c r="AM32" s="2"/>
      <c r="AN32" s="2"/>
      <c r="AO32" s="2"/>
      <c r="AP32" s="2"/>
      <c r="AQ32" s="2"/>
      <c r="AR32" s="2"/>
      <c r="AS32" s="2"/>
      <c r="AT32" s="2"/>
      <c r="AU32" s="2"/>
      <c r="AV32" s="2"/>
      <c r="AW32" s="2"/>
      <c r="AX32" s="2"/>
      <c r="AY32" s="2"/>
      <c r="AZ32" s="2"/>
      <c r="BA32" s="2"/>
      <c r="BB32" s="2"/>
      <c r="BC32" s="2"/>
      <c r="BF32" s="2"/>
      <c r="BG32" s="262" t="str">
        <f t="shared" si="17"/>
        <v>#20:</v>
      </c>
      <c r="BH32" s="217">
        <f t="shared" si="18"/>
        <v>0.9144000000000001</v>
      </c>
      <c r="BI32" s="229">
        <f t="shared" si="19"/>
        <v>8.2295999999999996</v>
      </c>
      <c r="BJ32" s="262" t="str">
        <f t="shared" si="20"/>
        <v/>
      </c>
      <c r="BK32" s="217" t="str">
        <f t="shared" si="21"/>
        <v/>
      </c>
      <c r="BL32" s="229" t="str">
        <f t="shared" si="22"/>
        <v/>
      </c>
      <c r="BM32" s="262" t="str">
        <f t="shared" si="23"/>
        <v/>
      </c>
      <c r="BN32" s="217" t="str">
        <f t="shared" si="24"/>
        <v/>
      </c>
      <c r="BO32" s="229" t="str">
        <f t="shared" si="25"/>
        <v/>
      </c>
      <c r="BP32" s="262" t="str">
        <f t="shared" si="26"/>
        <v/>
      </c>
      <c r="BQ32" s="217" t="str">
        <f t="shared" si="27"/>
        <v/>
      </c>
      <c r="BR32" s="229" t="str">
        <f t="shared" si="28"/>
        <v/>
      </c>
      <c r="BS32" s="262" t="str">
        <f t="shared" si="29"/>
        <v/>
      </c>
      <c r="BT32" s="217" t="str">
        <f t="shared" si="30"/>
        <v/>
      </c>
      <c r="BU32" s="229" t="str">
        <f t="shared" si="31"/>
        <v/>
      </c>
      <c r="BV32" s="262" t="str">
        <f t="shared" si="32"/>
        <v/>
      </c>
      <c r="BW32" s="217" t="str">
        <f t="shared" si="33"/>
        <v/>
      </c>
      <c r="BX32" s="229" t="str">
        <f t="shared" si="34"/>
        <v/>
      </c>
      <c r="BY32" s="262" t="str">
        <f t="shared" si="35"/>
        <v/>
      </c>
      <c r="BZ32" s="217" t="str">
        <f t="shared" si="36"/>
        <v/>
      </c>
      <c r="CA32" s="229" t="str">
        <f t="shared" si="37"/>
        <v/>
      </c>
      <c r="CB32" s="262" t="str">
        <f t="shared" si="38"/>
        <v/>
      </c>
      <c r="CC32" s="217" t="str">
        <f t="shared" si="39"/>
        <v/>
      </c>
      <c r="CD32" s="229" t="str">
        <f t="shared" si="40"/>
        <v/>
      </c>
    </row>
    <row r="33" spans="1:89" x14ac:dyDescent="0.25">
      <c r="A33" s="260" t="str">
        <f t="shared" si="9"/>
        <v>#21:</v>
      </c>
      <c r="B33" s="145">
        <v>6</v>
      </c>
      <c r="C33" s="145">
        <v>0</v>
      </c>
      <c r="D33" s="260" t="str">
        <f t="shared" si="10"/>
        <v/>
      </c>
      <c r="E33" s="145"/>
      <c r="F33" s="145"/>
      <c r="G33" s="260" t="str">
        <f t="shared" si="11"/>
        <v/>
      </c>
      <c r="H33" s="145"/>
      <c r="I33" s="145"/>
      <c r="J33" s="261" t="str">
        <f t="shared" si="12"/>
        <v/>
      </c>
      <c r="K33" s="145"/>
      <c r="L33" s="145"/>
      <c r="M33" s="260" t="str">
        <f t="shared" si="13"/>
        <v/>
      </c>
      <c r="N33" s="145"/>
      <c r="O33" s="145"/>
      <c r="P33" s="260" t="str">
        <f t="shared" si="14"/>
        <v/>
      </c>
      <c r="Q33" s="145"/>
      <c r="R33" s="145"/>
      <c r="S33" s="260" t="str">
        <f t="shared" si="15"/>
        <v/>
      </c>
      <c r="T33" s="145"/>
      <c r="U33" s="145"/>
      <c r="V33" s="260" t="str">
        <f t="shared" si="16"/>
        <v/>
      </c>
      <c r="W33" s="145"/>
      <c r="X33" s="145"/>
      <c r="Y33" s="259"/>
      <c r="Z33" s="2"/>
      <c r="AA33" s="256">
        <v>29</v>
      </c>
      <c r="AB33" s="16">
        <f t="shared" si="0"/>
        <v>10.500001000000001</v>
      </c>
      <c r="AC33" s="16">
        <f t="shared" si="1"/>
        <v>1.5000010000000001</v>
      </c>
      <c r="AD33" s="16">
        <f t="shared" si="2"/>
        <v>110.25002100000103</v>
      </c>
      <c r="AE33" s="16">
        <f t="shared" si="3"/>
        <v>2.2500030000010005</v>
      </c>
      <c r="AF33" s="16">
        <f t="shared" si="4"/>
        <v>15.750012000001004</v>
      </c>
      <c r="AG33" s="17">
        <f t="shared" si="5"/>
        <v>1.5</v>
      </c>
      <c r="AH33" s="17">
        <f t="shared" si="6"/>
        <v>10.5</v>
      </c>
      <c r="AI33" s="18">
        <f t="shared" si="7"/>
        <v>71.565656565656738</v>
      </c>
      <c r="AJ33" s="18">
        <f t="shared" si="8"/>
        <v>1.8027756377319946</v>
      </c>
      <c r="AM33" s="2"/>
      <c r="AN33" s="2"/>
      <c r="AO33" s="2"/>
      <c r="AP33" s="2"/>
      <c r="AQ33" s="2"/>
      <c r="AR33" s="2"/>
      <c r="AS33" s="2"/>
      <c r="AT33" s="2"/>
      <c r="AU33" s="2"/>
      <c r="AV33" s="2"/>
      <c r="AW33" s="2"/>
      <c r="AX33" s="2"/>
      <c r="AY33" s="2"/>
      <c r="AZ33" s="2"/>
      <c r="BA33" s="2"/>
      <c r="BB33" s="2"/>
      <c r="BC33" s="2"/>
      <c r="BF33" s="2"/>
      <c r="BG33" s="262" t="str">
        <f t="shared" si="17"/>
        <v>#21:</v>
      </c>
      <c r="BH33" s="217">
        <f t="shared" si="18"/>
        <v>1.8288000000000002</v>
      </c>
      <c r="BI33" s="229">
        <f t="shared" si="19"/>
        <v>0</v>
      </c>
      <c r="BJ33" s="262" t="str">
        <f t="shared" si="20"/>
        <v/>
      </c>
      <c r="BK33" s="217" t="str">
        <f t="shared" si="21"/>
        <v/>
      </c>
      <c r="BL33" s="229" t="str">
        <f t="shared" si="22"/>
        <v/>
      </c>
      <c r="BM33" s="262" t="str">
        <f t="shared" si="23"/>
        <v/>
      </c>
      <c r="BN33" s="217" t="str">
        <f t="shared" si="24"/>
        <v/>
      </c>
      <c r="BO33" s="229" t="str">
        <f t="shared" si="25"/>
        <v/>
      </c>
      <c r="BP33" s="262" t="str">
        <f t="shared" si="26"/>
        <v/>
      </c>
      <c r="BQ33" s="217" t="str">
        <f t="shared" si="27"/>
        <v/>
      </c>
      <c r="BR33" s="229" t="str">
        <f t="shared" si="28"/>
        <v/>
      </c>
      <c r="BS33" s="262" t="str">
        <f t="shared" si="29"/>
        <v/>
      </c>
      <c r="BT33" s="217" t="str">
        <f t="shared" si="30"/>
        <v/>
      </c>
      <c r="BU33" s="229" t="str">
        <f t="shared" si="31"/>
        <v/>
      </c>
      <c r="BV33" s="262" t="str">
        <f t="shared" si="32"/>
        <v/>
      </c>
      <c r="BW33" s="217" t="str">
        <f t="shared" si="33"/>
        <v/>
      </c>
      <c r="BX33" s="229" t="str">
        <f t="shared" si="34"/>
        <v/>
      </c>
      <c r="BY33" s="262" t="str">
        <f t="shared" si="35"/>
        <v/>
      </c>
      <c r="BZ33" s="217" t="str">
        <f t="shared" si="36"/>
        <v/>
      </c>
      <c r="CA33" s="229" t="str">
        <f t="shared" si="37"/>
        <v/>
      </c>
      <c r="CB33" s="262" t="str">
        <f t="shared" si="38"/>
        <v/>
      </c>
      <c r="CC33" s="217" t="str">
        <f t="shared" si="39"/>
        <v/>
      </c>
      <c r="CD33" s="229" t="str">
        <f t="shared" si="40"/>
        <v/>
      </c>
    </row>
    <row r="34" spans="1:89" x14ac:dyDescent="0.25">
      <c r="A34" s="260" t="str">
        <f t="shared" si="9"/>
        <v>#22:</v>
      </c>
      <c r="B34" s="145">
        <v>6</v>
      </c>
      <c r="C34" s="145">
        <v>3</v>
      </c>
      <c r="D34" s="260" t="str">
        <f t="shared" si="10"/>
        <v/>
      </c>
      <c r="E34" s="145"/>
      <c r="F34" s="145"/>
      <c r="G34" s="260" t="str">
        <f t="shared" si="11"/>
        <v/>
      </c>
      <c r="H34" s="145"/>
      <c r="I34" s="145"/>
      <c r="J34" s="261" t="str">
        <f t="shared" si="12"/>
        <v/>
      </c>
      <c r="K34" s="145"/>
      <c r="L34" s="145"/>
      <c r="M34" s="260" t="str">
        <f t="shared" si="13"/>
        <v/>
      </c>
      <c r="N34" s="145"/>
      <c r="O34" s="145"/>
      <c r="P34" s="260" t="str">
        <f t="shared" si="14"/>
        <v/>
      </c>
      <c r="Q34" s="145"/>
      <c r="R34" s="145"/>
      <c r="S34" s="260" t="str">
        <f t="shared" si="15"/>
        <v/>
      </c>
      <c r="T34" s="145"/>
      <c r="U34" s="145"/>
      <c r="V34" s="260" t="str">
        <f t="shared" si="16"/>
        <v/>
      </c>
      <c r="W34" s="145"/>
      <c r="X34" s="145"/>
      <c r="Y34" s="259"/>
      <c r="Z34" s="2"/>
      <c r="AA34" s="256">
        <v>30</v>
      </c>
      <c r="AB34" s="16">
        <f t="shared" si="0"/>
        <v>13.500001000000001</v>
      </c>
      <c r="AC34" s="16">
        <f t="shared" si="1"/>
        <v>1.5000010000000001</v>
      </c>
      <c r="AD34" s="16">
        <f t="shared" si="2"/>
        <v>182.25002700000104</v>
      </c>
      <c r="AE34" s="16">
        <f t="shared" si="3"/>
        <v>2.2500030000010005</v>
      </c>
      <c r="AF34" s="16">
        <f t="shared" si="4"/>
        <v>20.250015000001003</v>
      </c>
      <c r="AG34" s="17">
        <f t="shared" si="5"/>
        <v>1.5</v>
      </c>
      <c r="AH34" s="17">
        <f t="shared" si="6"/>
        <v>13.5</v>
      </c>
      <c r="AI34" s="18">
        <f t="shared" si="7"/>
        <v>71.060606060606247</v>
      </c>
      <c r="AJ34" s="18">
        <f t="shared" si="8"/>
        <v>1.8027756377319946</v>
      </c>
      <c r="AM34" s="2"/>
      <c r="AN34" s="2"/>
      <c r="AO34" s="2"/>
      <c r="AP34" s="2"/>
      <c r="AQ34" s="2"/>
      <c r="AR34" s="2"/>
      <c r="AS34" s="2"/>
      <c r="AT34" s="2"/>
      <c r="AU34" s="2"/>
      <c r="AV34" s="2"/>
      <c r="AW34" s="2"/>
      <c r="AX34" s="2"/>
      <c r="AY34" s="2"/>
      <c r="AZ34" s="2"/>
      <c r="BA34" s="2"/>
      <c r="BB34" s="2"/>
      <c r="BC34" s="2"/>
      <c r="BF34" s="2"/>
      <c r="BG34" s="262" t="str">
        <f t="shared" si="17"/>
        <v>#22:</v>
      </c>
      <c r="BH34" s="217">
        <f t="shared" si="18"/>
        <v>1.8288000000000002</v>
      </c>
      <c r="BI34" s="229">
        <f t="shared" si="19"/>
        <v>0.9144000000000001</v>
      </c>
      <c r="BJ34" s="262" t="str">
        <f t="shared" si="20"/>
        <v/>
      </c>
      <c r="BK34" s="217" t="str">
        <f t="shared" si="21"/>
        <v/>
      </c>
      <c r="BL34" s="229" t="str">
        <f t="shared" si="22"/>
        <v/>
      </c>
      <c r="BM34" s="262" t="str">
        <f t="shared" si="23"/>
        <v/>
      </c>
      <c r="BN34" s="217" t="str">
        <f t="shared" si="24"/>
        <v/>
      </c>
      <c r="BO34" s="229" t="str">
        <f t="shared" si="25"/>
        <v/>
      </c>
      <c r="BP34" s="262" t="str">
        <f t="shared" si="26"/>
        <v/>
      </c>
      <c r="BQ34" s="217" t="str">
        <f t="shared" si="27"/>
        <v/>
      </c>
      <c r="BR34" s="229" t="str">
        <f t="shared" si="28"/>
        <v/>
      </c>
      <c r="BS34" s="262" t="str">
        <f t="shared" si="29"/>
        <v/>
      </c>
      <c r="BT34" s="217" t="str">
        <f t="shared" si="30"/>
        <v/>
      </c>
      <c r="BU34" s="229" t="str">
        <f t="shared" si="31"/>
        <v/>
      </c>
      <c r="BV34" s="262" t="str">
        <f t="shared" si="32"/>
        <v/>
      </c>
      <c r="BW34" s="217" t="str">
        <f t="shared" si="33"/>
        <v/>
      </c>
      <c r="BX34" s="229" t="str">
        <f t="shared" si="34"/>
        <v/>
      </c>
      <c r="BY34" s="262" t="str">
        <f t="shared" si="35"/>
        <v/>
      </c>
      <c r="BZ34" s="217" t="str">
        <f t="shared" si="36"/>
        <v/>
      </c>
      <c r="CA34" s="229" t="str">
        <f t="shared" si="37"/>
        <v/>
      </c>
      <c r="CB34" s="262" t="str">
        <f t="shared" si="38"/>
        <v/>
      </c>
      <c r="CC34" s="217" t="str">
        <f t="shared" si="39"/>
        <v/>
      </c>
      <c r="CD34" s="229" t="str">
        <f t="shared" si="40"/>
        <v/>
      </c>
      <c r="CG34" s="92"/>
      <c r="CH34" s="92"/>
      <c r="CI34" s="92"/>
      <c r="CJ34" s="92"/>
      <c r="CK34" s="92"/>
    </row>
    <row r="35" spans="1:89" x14ac:dyDescent="0.25">
      <c r="A35" s="260" t="str">
        <f t="shared" si="9"/>
        <v>#23:</v>
      </c>
      <c r="B35" s="145">
        <v>6</v>
      </c>
      <c r="C35" s="145">
        <v>6</v>
      </c>
      <c r="D35" s="260" t="str">
        <f t="shared" si="10"/>
        <v/>
      </c>
      <c r="E35" s="145"/>
      <c r="F35" s="145"/>
      <c r="G35" s="260" t="str">
        <f t="shared" si="11"/>
        <v/>
      </c>
      <c r="H35" s="145"/>
      <c r="I35" s="145"/>
      <c r="J35" s="261" t="str">
        <f t="shared" si="12"/>
        <v/>
      </c>
      <c r="K35" s="145"/>
      <c r="L35" s="145"/>
      <c r="M35" s="260" t="str">
        <f t="shared" si="13"/>
        <v/>
      </c>
      <c r="N35" s="145"/>
      <c r="O35" s="145"/>
      <c r="P35" s="260" t="str">
        <f t="shared" si="14"/>
        <v/>
      </c>
      <c r="Q35" s="145"/>
      <c r="R35" s="145"/>
      <c r="S35" s="260" t="str">
        <f t="shared" si="15"/>
        <v/>
      </c>
      <c r="T35" s="145"/>
      <c r="U35" s="145"/>
      <c r="V35" s="260" t="str">
        <f t="shared" si="16"/>
        <v/>
      </c>
      <c r="W35" s="145"/>
      <c r="X35" s="145"/>
      <c r="Y35" s="259"/>
      <c r="Z35" s="2"/>
      <c r="AA35" s="256">
        <v>31</v>
      </c>
      <c r="AB35" s="16">
        <f t="shared" si="0"/>
        <v>-13.499999000000001</v>
      </c>
      <c r="AC35" s="16">
        <f t="shared" si="1"/>
        <v>4.5000009999999993</v>
      </c>
      <c r="AD35" s="16">
        <f t="shared" si="2"/>
        <v>182.24997300000101</v>
      </c>
      <c r="AE35" s="16">
        <f t="shared" si="3"/>
        <v>20.250009000000993</v>
      </c>
      <c r="AF35" s="16">
        <f t="shared" si="4"/>
        <v>-60.750008999998997</v>
      </c>
      <c r="AG35" s="17">
        <f t="shared" si="5"/>
        <v>4.5</v>
      </c>
      <c r="AH35" s="17">
        <f t="shared" si="6"/>
        <v>-13.5</v>
      </c>
      <c r="AI35" s="18">
        <f t="shared" si="7"/>
        <v>72.272727272727678</v>
      </c>
      <c r="AJ35" s="18">
        <f t="shared" si="8"/>
        <v>1.8027756377319946</v>
      </c>
      <c r="AM35" s="2"/>
      <c r="AN35" s="2"/>
      <c r="AO35" s="2"/>
      <c r="AP35" s="2"/>
      <c r="AQ35" s="2"/>
      <c r="AR35" s="2"/>
      <c r="AS35" s="2"/>
      <c r="AT35" s="2"/>
      <c r="AU35" s="2"/>
      <c r="AV35" s="2"/>
      <c r="AW35" s="2"/>
      <c r="AX35" s="2"/>
      <c r="AY35" s="2"/>
      <c r="AZ35" s="2"/>
      <c r="BA35" s="2"/>
      <c r="BB35" s="2"/>
      <c r="BC35" s="2"/>
      <c r="BF35" s="2"/>
      <c r="BG35" s="262" t="str">
        <f t="shared" si="17"/>
        <v>#23:</v>
      </c>
      <c r="BH35" s="217">
        <f t="shared" si="18"/>
        <v>1.8288000000000002</v>
      </c>
      <c r="BI35" s="229">
        <f t="shared" si="19"/>
        <v>1.8288000000000002</v>
      </c>
      <c r="BJ35" s="262" t="str">
        <f t="shared" si="20"/>
        <v/>
      </c>
      <c r="BK35" s="217" t="str">
        <f t="shared" si="21"/>
        <v/>
      </c>
      <c r="BL35" s="229" t="str">
        <f t="shared" si="22"/>
        <v/>
      </c>
      <c r="BM35" s="262" t="str">
        <f t="shared" si="23"/>
        <v/>
      </c>
      <c r="BN35" s="217" t="str">
        <f t="shared" si="24"/>
        <v/>
      </c>
      <c r="BO35" s="229" t="str">
        <f t="shared" si="25"/>
        <v/>
      </c>
      <c r="BP35" s="262" t="str">
        <f t="shared" si="26"/>
        <v/>
      </c>
      <c r="BQ35" s="217" t="str">
        <f t="shared" si="27"/>
        <v/>
      </c>
      <c r="BR35" s="229" t="str">
        <f t="shared" si="28"/>
        <v/>
      </c>
      <c r="BS35" s="262" t="str">
        <f t="shared" si="29"/>
        <v/>
      </c>
      <c r="BT35" s="217" t="str">
        <f t="shared" si="30"/>
        <v/>
      </c>
      <c r="BU35" s="229" t="str">
        <f t="shared" si="31"/>
        <v/>
      </c>
      <c r="BV35" s="262" t="str">
        <f t="shared" si="32"/>
        <v/>
      </c>
      <c r="BW35" s="217" t="str">
        <f t="shared" si="33"/>
        <v/>
      </c>
      <c r="BX35" s="229" t="str">
        <f t="shared" si="34"/>
        <v/>
      </c>
      <c r="BY35" s="262" t="str">
        <f t="shared" si="35"/>
        <v/>
      </c>
      <c r="BZ35" s="217" t="str">
        <f t="shared" si="36"/>
        <v/>
      </c>
      <c r="CA35" s="229" t="str">
        <f t="shared" si="37"/>
        <v/>
      </c>
      <c r="CB35" s="262" t="str">
        <f t="shared" si="38"/>
        <v/>
      </c>
      <c r="CC35" s="217" t="str">
        <f t="shared" si="39"/>
        <v/>
      </c>
      <c r="CD35" s="229" t="str">
        <f t="shared" si="40"/>
        <v/>
      </c>
      <c r="CG35" s="92"/>
      <c r="CH35" s="92"/>
      <c r="CI35" s="92"/>
      <c r="CJ35" s="92"/>
      <c r="CK35" s="92"/>
    </row>
    <row r="36" spans="1:89" x14ac:dyDescent="0.25">
      <c r="A36" s="260" t="str">
        <f t="shared" si="9"/>
        <v>#24:</v>
      </c>
      <c r="B36" s="145">
        <v>6</v>
      </c>
      <c r="C36" s="145">
        <v>9</v>
      </c>
      <c r="D36" s="260" t="str">
        <f t="shared" si="10"/>
        <v/>
      </c>
      <c r="E36" s="145"/>
      <c r="F36" s="145"/>
      <c r="G36" s="260" t="str">
        <f t="shared" si="11"/>
        <v/>
      </c>
      <c r="H36" s="145"/>
      <c r="I36" s="145"/>
      <c r="J36" s="261" t="str">
        <f t="shared" si="12"/>
        <v/>
      </c>
      <c r="K36" s="145"/>
      <c r="L36" s="145"/>
      <c r="M36" s="260" t="str">
        <f t="shared" si="13"/>
        <v/>
      </c>
      <c r="N36" s="145"/>
      <c r="O36" s="145"/>
      <c r="P36" s="260" t="str">
        <f t="shared" si="14"/>
        <v/>
      </c>
      <c r="Q36" s="145"/>
      <c r="R36" s="145"/>
      <c r="S36" s="260" t="str">
        <f t="shared" si="15"/>
        <v/>
      </c>
      <c r="T36" s="145"/>
      <c r="U36" s="145"/>
      <c r="V36" s="260" t="str">
        <f t="shared" si="16"/>
        <v/>
      </c>
      <c r="W36" s="145"/>
      <c r="X36" s="145"/>
      <c r="Y36" s="259"/>
      <c r="Z36" s="2"/>
      <c r="AA36" s="256">
        <v>32</v>
      </c>
      <c r="AB36" s="16">
        <f t="shared" si="0"/>
        <v>-10.499998999999999</v>
      </c>
      <c r="AC36" s="16">
        <f t="shared" si="1"/>
        <v>4.5000009999999993</v>
      </c>
      <c r="AD36" s="16">
        <f t="shared" si="2"/>
        <v>110.24997900000098</v>
      </c>
      <c r="AE36" s="16">
        <f t="shared" si="3"/>
        <v>20.250009000000993</v>
      </c>
      <c r="AF36" s="16">
        <f t="shared" si="4"/>
        <v>-47.25000599999899</v>
      </c>
      <c r="AG36" s="17">
        <f t="shared" si="5"/>
        <v>4.5</v>
      </c>
      <c r="AH36" s="17">
        <f t="shared" si="6"/>
        <v>-10.5</v>
      </c>
      <c r="AI36" s="18">
        <f t="shared" si="7"/>
        <v>71.767676767677187</v>
      </c>
      <c r="AJ36" s="18">
        <f t="shared" si="8"/>
        <v>1.8027756377319946</v>
      </c>
      <c r="AM36" s="2"/>
      <c r="AN36" s="2"/>
      <c r="AO36" s="2"/>
      <c r="AP36" s="2"/>
      <c r="AQ36" s="2"/>
      <c r="AR36" s="2"/>
      <c r="AS36" s="2"/>
      <c r="AT36" s="2"/>
      <c r="AU36" s="2"/>
      <c r="AV36" s="2"/>
      <c r="AW36" s="2"/>
      <c r="AX36" s="2"/>
      <c r="AY36" s="2"/>
      <c r="AZ36" s="2"/>
      <c r="BA36" s="2"/>
      <c r="BB36" s="2"/>
      <c r="BC36" s="2"/>
      <c r="BF36" s="2"/>
      <c r="BG36" s="262" t="str">
        <f t="shared" si="17"/>
        <v>#24:</v>
      </c>
      <c r="BH36" s="217">
        <f t="shared" si="18"/>
        <v>1.8288000000000002</v>
      </c>
      <c r="BI36" s="229">
        <f t="shared" si="19"/>
        <v>2.7432000000000003</v>
      </c>
      <c r="BJ36" s="262" t="str">
        <f t="shared" si="20"/>
        <v/>
      </c>
      <c r="BK36" s="217" t="str">
        <f t="shared" si="21"/>
        <v/>
      </c>
      <c r="BL36" s="229" t="str">
        <f t="shared" si="22"/>
        <v/>
      </c>
      <c r="BM36" s="262" t="str">
        <f t="shared" si="23"/>
        <v/>
      </c>
      <c r="BN36" s="217" t="str">
        <f t="shared" si="24"/>
        <v/>
      </c>
      <c r="BO36" s="229" t="str">
        <f t="shared" si="25"/>
        <v/>
      </c>
      <c r="BP36" s="262" t="str">
        <f t="shared" si="26"/>
        <v/>
      </c>
      <c r="BQ36" s="217" t="str">
        <f t="shared" si="27"/>
        <v/>
      </c>
      <c r="BR36" s="229" t="str">
        <f t="shared" si="28"/>
        <v/>
      </c>
      <c r="BS36" s="262" t="str">
        <f t="shared" si="29"/>
        <v/>
      </c>
      <c r="BT36" s="217" t="str">
        <f t="shared" si="30"/>
        <v/>
      </c>
      <c r="BU36" s="229" t="str">
        <f t="shared" si="31"/>
        <v/>
      </c>
      <c r="BV36" s="262" t="str">
        <f t="shared" si="32"/>
        <v/>
      </c>
      <c r="BW36" s="217" t="str">
        <f t="shared" si="33"/>
        <v/>
      </c>
      <c r="BX36" s="229" t="str">
        <f t="shared" si="34"/>
        <v/>
      </c>
      <c r="BY36" s="262" t="str">
        <f t="shared" si="35"/>
        <v/>
      </c>
      <c r="BZ36" s="217" t="str">
        <f t="shared" si="36"/>
        <v/>
      </c>
      <c r="CA36" s="229" t="str">
        <f t="shared" si="37"/>
        <v/>
      </c>
      <c r="CB36" s="262" t="str">
        <f t="shared" si="38"/>
        <v/>
      </c>
      <c r="CC36" s="217" t="str">
        <f t="shared" si="39"/>
        <v/>
      </c>
      <c r="CD36" s="229" t="str">
        <f t="shared" si="40"/>
        <v/>
      </c>
      <c r="CG36" s="92"/>
      <c r="CH36" s="92"/>
      <c r="CI36" s="92"/>
      <c r="CJ36" s="92"/>
      <c r="CK36" s="92"/>
    </row>
    <row r="37" spans="1:89" x14ac:dyDescent="0.25">
      <c r="A37" s="260" t="str">
        <f t="shared" si="9"/>
        <v>#25:</v>
      </c>
      <c r="B37" s="145">
        <v>6</v>
      </c>
      <c r="C37" s="145">
        <v>12</v>
      </c>
      <c r="D37" s="260" t="str">
        <f t="shared" si="10"/>
        <v/>
      </c>
      <c r="E37" s="145"/>
      <c r="F37" s="145"/>
      <c r="G37" s="260" t="str">
        <f t="shared" si="11"/>
        <v/>
      </c>
      <c r="H37" s="145"/>
      <c r="I37" s="145"/>
      <c r="J37" s="261" t="str">
        <f t="shared" si="12"/>
        <v/>
      </c>
      <c r="K37" s="145"/>
      <c r="L37" s="145"/>
      <c r="M37" s="260" t="str">
        <f t="shared" si="13"/>
        <v/>
      </c>
      <c r="N37" s="145"/>
      <c r="O37" s="145"/>
      <c r="P37" s="260" t="str">
        <f t="shared" si="14"/>
        <v/>
      </c>
      <c r="Q37" s="145"/>
      <c r="R37" s="145"/>
      <c r="S37" s="260" t="str">
        <f t="shared" si="15"/>
        <v/>
      </c>
      <c r="T37" s="145"/>
      <c r="U37" s="145"/>
      <c r="V37" s="260" t="str">
        <f t="shared" si="16"/>
        <v/>
      </c>
      <c r="W37" s="145"/>
      <c r="X37" s="145"/>
      <c r="Y37" s="259"/>
      <c r="Z37" s="2"/>
      <c r="AA37" s="256">
        <v>33</v>
      </c>
      <c r="AB37" s="16">
        <f t="shared" ref="AB37:AB54" si="41">IF($C$9&gt;=$AA37,$C45+0.000001-$AB$410,"")</f>
        <v>-7.4999989999999999</v>
      </c>
      <c r="AC37" s="16">
        <f t="shared" ref="AC37:AC54" si="42">IF($C$9&gt;=$AA37,$B45+0.000001-$AB$409,"")</f>
        <v>4.5000009999999993</v>
      </c>
      <c r="AD37" s="16">
        <f t="shared" si="2"/>
        <v>56.249985000000997</v>
      </c>
      <c r="AE37" s="16">
        <f t="shared" si="3"/>
        <v>20.250009000000993</v>
      </c>
      <c r="AF37" s="16">
        <f t="shared" si="4"/>
        <v>-33.750002999998991</v>
      </c>
      <c r="AG37" s="17">
        <f t="shared" ref="AG37:AG54" si="43">IF($C$9&gt;=$AA37,$B45-$AB$409,"")</f>
        <v>4.5</v>
      </c>
      <c r="AH37" s="17">
        <f t="shared" ref="AH37:AH54" si="44">IF($C$9&gt;=$AA37,$C45-$AB$410,"")</f>
        <v>-7.5</v>
      </c>
      <c r="AI37" s="18">
        <f t="shared" si="7"/>
        <v>71.262626262626682</v>
      </c>
      <c r="AJ37" s="18">
        <f t="shared" si="8"/>
        <v>1.8027756377319946</v>
      </c>
      <c r="AM37" s="2"/>
      <c r="AN37" s="2"/>
      <c r="AO37" s="2"/>
      <c r="AP37" s="2"/>
      <c r="AQ37" s="2"/>
      <c r="AR37" s="2"/>
      <c r="AS37" s="2"/>
      <c r="AT37" s="2"/>
      <c r="AU37" s="2"/>
      <c r="AV37" s="2"/>
      <c r="AW37" s="2"/>
      <c r="AX37" s="2"/>
      <c r="AY37" s="2"/>
      <c r="AZ37" s="2"/>
      <c r="BA37" s="2"/>
      <c r="BB37" s="2"/>
      <c r="BC37" s="2"/>
      <c r="BF37" s="2"/>
      <c r="BG37" s="262" t="str">
        <f t="shared" si="17"/>
        <v>#25:</v>
      </c>
      <c r="BH37" s="217">
        <f t="shared" si="18"/>
        <v>1.8288000000000002</v>
      </c>
      <c r="BI37" s="229">
        <f t="shared" si="19"/>
        <v>3.6576000000000004</v>
      </c>
      <c r="BJ37" s="262" t="str">
        <f t="shared" si="20"/>
        <v/>
      </c>
      <c r="BK37" s="217" t="str">
        <f t="shared" si="21"/>
        <v/>
      </c>
      <c r="BL37" s="229" t="str">
        <f t="shared" si="22"/>
        <v/>
      </c>
      <c r="BM37" s="262" t="str">
        <f t="shared" si="23"/>
        <v/>
      </c>
      <c r="BN37" s="217" t="str">
        <f t="shared" si="24"/>
        <v/>
      </c>
      <c r="BO37" s="229" t="str">
        <f t="shared" si="25"/>
        <v/>
      </c>
      <c r="BP37" s="262" t="str">
        <f t="shared" si="26"/>
        <v/>
      </c>
      <c r="BQ37" s="217" t="str">
        <f t="shared" si="27"/>
        <v/>
      </c>
      <c r="BR37" s="229" t="str">
        <f t="shared" si="28"/>
        <v/>
      </c>
      <c r="BS37" s="262" t="str">
        <f t="shared" si="29"/>
        <v/>
      </c>
      <c r="BT37" s="217" t="str">
        <f t="shared" si="30"/>
        <v/>
      </c>
      <c r="BU37" s="229" t="str">
        <f t="shared" si="31"/>
        <v/>
      </c>
      <c r="BV37" s="262" t="str">
        <f t="shared" si="32"/>
        <v/>
      </c>
      <c r="BW37" s="217" t="str">
        <f t="shared" si="33"/>
        <v/>
      </c>
      <c r="BX37" s="229" t="str">
        <f t="shared" si="34"/>
        <v/>
      </c>
      <c r="BY37" s="262" t="str">
        <f t="shared" si="35"/>
        <v/>
      </c>
      <c r="BZ37" s="217" t="str">
        <f t="shared" si="36"/>
        <v/>
      </c>
      <c r="CA37" s="229" t="str">
        <f t="shared" si="37"/>
        <v/>
      </c>
      <c r="CB37" s="262" t="str">
        <f t="shared" si="38"/>
        <v/>
      </c>
      <c r="CC37" s="217" t="str">
        <f t="shared" si="39"/>
        <v/>
      </c>
      <c r="CD37" s="229" t="str">
        <f t="shared" si="40"/>
        <v/>
      </c>
      <c r="CG37" s="92"/>
      <c r="CH37" s="92"/>
      <c r="CI37" s="92"/>
      <c r="CJ37" s="92"/>
      <c r="CK37" s="92"/>
    </row>
    <row r="38" spans="1:89" x14ac:dyDescent="0.25">
      <c r="A38" s="260" t="str">
        <f t="shared" si="9"/>
        <v>#26:</v>
      </c>
      <c r="B38" s="145">
        <v>6</v>
      </c>
      <c r="C38" s="145">
        <v>15</v>
      </c>
      <c r="D38" s="260" t="str">
        <f t="shared" si="10"/>
        <v/>
      </c>
      <c r="E38" s="145"/>
      <c r="F38" s="145"/>
      <c r="G38" s="260" t="str">
        <f t="shared" si="11"/>
        <v/>
      </c>
      <c r="H38" s="145"/>
      <c r="I38" s="145"/>
      <c r="J38" s="261" t="str">
        <f t="shared" si="12"/>
        <v/>
      </c>
      <c r="K38" s="145"/>
      <c r="L38" s="145"/>
      <c r="M38" s="260" t="str">
        <f t="shared" si="13"/>
        <v/>
      </c>
      <c r="N38" s="145"/>
      <c r="O38" s="145"/>
      <c r="P38" s="260" t="str">
        <f t="shared" si="14"/>
        <v/>
      </c>
      <c r="Q38" s="145"/>
      <c r="R38" s="145"/>
      <c r="S38" s="260" t="str">
        <f t="shared" si="15"/>
        <v/>
      </c>
      <c r="T38" s="145"/>
      <c r="U38" s="145"/>
      <c r="V38" s="260" t="str">
        <f t="shared" si="16"/>
        <v/>
      </c>
      <c r="W38" s="145"/>
      <c r="X38" s="145"/>
      <c r="Y38" s="259"/>
      <c r="Z38" s="2"/>
      <c r="AA38" s="256">
        <v>34</v>
      </c>
      <c r="AB38" s="16">
        <f t="shared" si="41"/>
        <v>-4.4999990000000007</v>
      </c>
      <c r="AC38" s="16">
        <f t="shared" si="42"/>
        <v>4.5000009999999993</v>
      </c>
      <c r="AD38" s="16">
        <f t="shared" si="2"/>
        <v>20.249991000001007</v>
      </c>
      <c r="AE38" s="16">
        <f t="shared" si="3"/>
        <v>20.250009000000993</v>
      </c>
      <c r="AF38" s="16">
        <f t="shared" si="4"/>
        <v>-20.249999999999002</v>
      </c>
      <c r="AG38" s="17">
        <f t="shared" si="43"/>
        <v>4.5</v>
      </c>
      <c r="AH38" s="17">
        <f t="shared" si="44"/>
        <v>-4.5</v>
      </c>
      <c r="AI38" s="18">
        <f t="shared" si="7"/>
        <v>70.757575757576191</v>
      </c>
      <c r="AJ38" s="18">
        <f t="shared" si="8"/>
        <v>1.8027756377319946</v>
      </c>
      <c r="AM38" s="2"/>
      <c r="AN38" s="2"/>
      <c r="AO38" s="2"/>
      <c r="AP38" s="2"/>
      <c r="AQ38" s="2"/>
      <c r="AR38" s="2"/>
      <c r="AS38" s="2"/>
      <c r="AT38" s="2"/>
      <c r="AU38" s="2"/>
      <c r="AV38" s="2"/>
      <c r="AW38" s="2"/>
      <c r="AX38" s="2"/>
      <c r="AY38" s="2"/>
      <c r="AZ38" s="2"/>
      <c r="BA38" s="2"/>
      <c r="BB38" s="2"/>
      <c r="BC38" s="2"/>
      <c r="BF38" s="2"/>
      <c r="BG38" s="262" t="str">
        <f t="shared" si="17"/>
        <v>#26:</v>
      </c>
      <c r="BH38" s="217">
        <f t="shared" si="18"/>
        <v>1.8288000000000002</v>
      </c>
      <c r="BI38" s="229">
        <f t="shared" si="19"/>
        <v>4.5720000000000001</v>
      </c>
      <c r="BJ38" s="262" t="str">
        <f t="shared" si="20"/>
        <v/>
      </c>
      <c r="BK38" s="217" t="str">
        <f t="shared" si="21"/>
        <v/>
      </c>
      <c r="BL38" s="229" t="str">
        <f t="shared" si="22"/>
        <v/>
      </c>
      <c r="BM38" s="262" t="str">
        <f t="shared" si="23"/>
        <v/>
      </c>
      <c r="BN38" s="217" t="str">
        <f t="shared" si="24"/>
        <v/>
      </c>
      <c r="BO38" s="229" t="str">
        <f t="shared" si="25"/>
        <v/>
      </c>
      <c r="BP38" s="262" t="str">
        <f t="shared" si="26"/>
        <v/>
      </c>
      <c r="BQ38" s="217" t="str">
        <f t="shared" si="27"/>
        <v/>
      </c>
      <c r="BR38" s="229" t="str">
        <f t="shared" si="28"/>
        <v/>
      </c>
      <c r="BS38" s="262" t="str">
        <f t="shared" si="29"/>
        <v/>
      </c>
      <c r="BT38" s="217" t="str">
        <f t="shared" si="30"/>
        <v/>
      </c>
      <c r="BU38" s="229" t="str">
        <f t="shared" si="31"/>
        <v/>
      </c>
      <c r="BV38" s="262" t="str">
        <f t="shared" si="32"/>
        <v/>
      </c>
      <c r="BW38" s="217" t="str">
        <f t="shared" si="33"/>
        <v/>
      </c>
      <c r="BX38" s="229" t="str">
        <f t="shared" si="34"/>
        <v/>
      </c>
      <c r="BY38" s="262" t="str">
        <f t="shared" si="35"/>
        <v/>
      </c>
      <c r="BZ38" s="217" t="str">
        <f t="shared" si="36"/>
        <v/>
      </c>
      <c r="CA38" s="229" t="str">
        <f t="shared" si="37"/>
        <v/>
      </c>
      <c r="CB38" s="262" t="str">
        <f t="shared" si="38"/>
        <v/>
      </c>
      <c r="CC38" s="217" t="str">
        <f t="shared" si="39"/>
        <v/>
      </c>
      <c r="CD38" s="229" t="str">
        <f t="shared" si="40"/>
        <v/>
      </c>
      <c r="CG38" s="92"/>
      <c r="CH38" s="92"/>
      <c r="CI38" s="92"/>
      <c r="CJ38" s="92"/>
      <c r="CK38" s="92"/>
    </row>
    <row r="39" spans="1:89" x14ac:dyDescent="0.25">
      <c r="A39" s="260" t="str">
        <f t="shared" si="9"/>
        <v>#27:</v>
      </c>
      <c r="B39" s="145">
        <v>6</v>
      </c>
      <c r="C39" s="145">
        <v>18</v>
      </c>
      <c r="D39" s="260" t="str">
        <f t="shared" si="10"/>
        <v/>
      </c>
      <c r="E39" s="145"/>
      <c r="F39" s="145"/>
      <c r="G39" s="260" t="str">
        <f t="shared" si="11"/>
        <v/>
      </c>
      <c r="H39" s="145"/>
      <c r="I39" s="145"/>
      <c r="J39" s="261" t="str">
        <f t="shared" si="12"/>
        <v/>
      </c>
      <c r="K39" s="145"/>
      <c r="L39" s="145"/>
      <c r="M39" s="260" t="str">
        <f t="shared" si="13"/>
        <v/>
      </c>
      <c r="N39" s="145"/>
      <c r="O39" s="145"/>
      <c r="P39" s="260" t="str">
        <f t="shared" si="14"/>
        <v/>
      </c>
      <c r="Q39" s="145"/>
      <c r="R39" s="145"/>
      <c r="S39" s="260" t="str">
        <f t="shared" si="15"/>
        <v/>
      </c>
      <c r="T39" s="145"/>
      <c r="U39" s="145"/>
      <c r="V39" s="260" t="str">
        <f t="shared" si="16"/>
        <v/>
      </c>
      <c r="W39" s="145"/>
      <c r="X39" s="145"/>
      <c r="Y39" s="259"/>
      <c r="Z39" s="2"/>
      <c r="AA39" s="256">
        <v>35</v>
      </c>
      <c r="AB39" s="16">
        <f t="shared" si="41"/>
        <v>-1.4999990000000007</v>
      </c>
      <c r="AC39" s="16">
        <f t="shared" si="42"/>
        <v>4.5000009999999993</v>
      </c>
      <c r="AD39" s="16">
        <f t="shared" si="2"/>
        <v>2.2499970000010023</v>
      </c>
      <c r="AE39" s="16">
        <f t="shared" si="3"/>
        <v>20.250009000000993</v>
      </c>
      <c r="AF39" s="16">
        <f t="shared" si="4"/>
        <v>-6.7499969999990022</v>
      </c>
      <c r="AG39" s="17">
        <f t="shared" si="43"/>
        <v>4.5</v>
      </c>
      <c r="AH39" s="17">
        <f t="shared" si="44"/>
        <v>-1.5</v>
      </c>
      <c r="AI39" s="18">
        <f t="shared" si="7"/>
        <v>70.252525252525686</v>
      </c>
      <c r="AJ39" s="18">
        <f t="shared" si="8"/>
        <v>1.8027756377319946</v>
      </c>
      <c r="AM39" s="2"/>
      <c r="AN39" s="2"/>
      <c r="AO39" s="2"/>
      <c r="AP39" s="2"/>
      <c r="AQ39" s="2"/>
      <c r="AR39" s="2"/>
      <c r="AS39" s="2"/>
      <c r="AT39" s="2"/>
      <c r="AU39" s="2"/>
      <c r="AV39" s="2"/>
      <c r="AW39" s="2"/>
      <c r="AX39" s="2"/>
      <c r="AY39" s="2"/>
      <c r="AZ39" s="2"/>
      <c r="BA39" s="2"/>
      <c r="BB39" s="2"/>
      <c r="BC39" s="2"/>
      <c r="BF39" s="2"/>
      <c r="BG39" s="262" t="str">
        <f t="shared" si="17"/>
        <v>#27:</v>
      </c>
      <c r="BH39" s="217">
        <f t="shared" si="18"/>
        <v>1.8288000000000002</v>
      </c>
      <c r="BI39" s="229">
        <f t="shared" si="19"/>
        <v>5.4864000000000006</v>
      </c>
      <c r="BJ39" s="262" t="str">
        <f t="shared" si="20"/>
        <v/>
      </c>
      <c r="BK39" s="217" t="str">
        <f t="shared" si="21"/>
        <v/>
      </c>
      <c r="BL39" s="229" t="str">
        <f t="shared" si="22"/>
        <v/>
      </c>
      <c r="BM39" s="262" t="str">
        <f t="shared" si="23"/>
        <v/>
      </c>
      <c r="BN39" s="217" t="str">
        <f t="shared" si="24"/>
        <v/>
      </c>
      <c r="BO39" s="229" t="str">
        <f t="shared" si="25"/>
        <v/>
      </c>
      <c r="BP39" s="262" t="str">
        <f t="shared" si="26"/>
        <v/>
      </c>
      <c r="BQ39" s="217" t="str">
        <f t="shared" si="27"/>
        <v/>
      </c>
      <c r="BR39" s="229" t="str">
        <f t="shared" si="28"/>
        <v/>
      </c>
      <c r="BS39" s="262" t="str">
        <f t="shared" si="29"/>
        <v/>
      </c>
      <c r="BT39" s="217" t="str">
        <f t="shared" si="30"/>
        <v/>
      </c>
      <c r="BU39" s="229" t="str">
        <f t="shared" si="31"/>
        <v/>
      </c>
      <c r="BV39" s="262" t="str">
        <f t="shared" si="32"/>
        <v/>
      </c>
      <c r="BW39" s="217" t="str">
        <f t="shared" si="33"/>
        <v/>
      </c>
      <c r="BX39" s="229" t="str">
        <f t="shared" si="34"/>
        <v/>
      </c>
      <c r="BY39" s="262" t="str">
        <f t="shared" si="35"/>
        <v/>
      </c>
      <c r="BZ39" s="217" t="str">
        <f t="shared" si="36"/>
        <v/>
      </c>
      <c r="CA39" s="229" t="str">
        <f t="shared" si="37"/>
        <v/>
      </c>
      <c r="CB39" s="262" t="str">
        <f t="shared" si="38"/>
        <v/>
      </c>
      <c r="CC39" s="217" t="str">
        <f t="shared" si="39"/>
        <v/>
      </c>
      <c r="CD39" s="229" t="str">
        <f t="shared" si="40"/>
        <v/>
      </c>
    </row>
    <row r="40" spans="1:89" x14ac:dyDescent="0.25">
      <c r="A40" s="260" t="str">
        <f t="shared" si="9"/>
        <v>#28:</v>
      </c>
      <c r="B40" s="145">
        <v>6</v>
      </c>
      <c r="C40" s="145">
        <v>21</v>
      </c>
      <c r="D40" s="260" t="str">
        <f t="shared" si="10"/>
        <v/>
      </c>
      <c r="E40" s="145"/>
      <c r="F40" s="145"/>
      <c r="G40" s="260" t="str">
        <f t="shared" si="11"/>
        <v/>
      </c>
      <c r="H40" s="145"/>
      <c r="I40" s="145"/>
      <c r="J40" s="261" t="str">
        <f t="shared" si="12"/>
        <v/>
      </c>
      <c r="K40" s="145"/>
      <c r="L40" s="145"/>
      <c r="M40" s="260" t="str">
        <f t="shared" si="13"/>
        <v/>
      </c>
      <c r="N40" s="145"/>
      <c r="O40" s="145"/>
      <c r="P40" s="260" t="str">
        <f t="shared" si="14"/>
        <v/>
      </c>
      <c r="Q40" s="145"/>
      <c r="R40" s="145"/>
      <c r="S40" s="260" t="str">
        <f t="shared" si="15"/>
        <v/>
      </c>
      <c r="T40" s="145"/>
      <c r="U40" s="145"/>
      <c r="V40" s="260" t="str">
        <f t="shared" si="16"/>
        <v/>
      </c>
      <c r="W40" s="145"/>
      <c r="X40" s="145"/>
      <c r="Y40" s="259"/>
      <c r="Z40" s="2"/>
      <c r="AA40" s="256">
        <v>36</v>
      </c>
      <c r="AB40" s="16">
        <f t="shared" si="41"/>
        <v>1.5000009999999993</v>
      </c>
      <c r="AC40" s="16">
        <f t="shared" si="42"/>
        <v>4.5000009999999993</v>
      </c>
      <c r="AD40" s="16">
        <f t="shared" si="2"/>
        <v>2.2500030000009978</v>
      </c>
      <c r="AE40" s="16">
        <f t="shared" si="3"/>
        <v>20.250009000000993</v>
      </c>
      <c r="AF40" s="16">
        <f t="shared" si="4"/>
        <v>6.7500060000009956</v>
      </c>
      <c r="AG40" s="17">
        <f t="shared" si="43"/>
        <v>4.5</v>
      </c>
      <c r="AH40" s="17">
        <f t="shared" si="44"/>
        <v>1.5</v>
      </c>
      <c r="AI40" s="18">
        <f t="shared" si="7"/>
        <v>69.747474747475195</v>
      </c>
      <c r="AJ40" s="18">
        <f t="shared" si="8"/>
        <v>1.8027756377319946</v>
      </c>
      <c r="AM40" s="2"/>
      <c r="AN40" s="2"/>
      <c r="AO40" s="2"/>
      <c r="AP40" s="2"/>
      <c r="AQ40" s="2"/>
      <c r="AR40" s="2"/>
      <c r="AS40" s="2"/>
      <c r="AT40" s="2"/>
      <c r="AU40" s="2"/>
      <c r="AV40" s="2"/>
      <c r="AW40" s="2"/>
      <c r="AX40" s="2"/>
      <c r="AY40" s="2"/>
      <c r="AZ40" s="2"/>
      <c r="BA40" s="2"/>
      <c r="BB40" s="2"/>
      <c r="BC40" s="2"/>
      <c r="BF40" s="2"/>
      <c r="BG40" s="262" t="str">
        <f t="shared" si="17"/>
        <v>#28:</v>
      </c>
      <c r="BH40" s="217">
        <f t="shared" si="18"/>
        <v>1.8288000000000002</v>
      </c>
      <c r="BI40" s="229">
        <f t="shared" si="19"/>
        <v>6.4008000000000003</v>
      </c>
      <c r="BJ40" s="262" t="str">
        <f t="shared" si="20"/>
        <v/>
      </c>
      <c r="BK40" s="217" t="str">
        <f t="shared" si="21"/>
        <v/>
      </c>
      <c r="BL40" s="229" t="str">
        <f t="shared" si="22"/>
        <v/>
      </c>
      <c r="BM40" s="262" t="str">
        <f t="shared" si="23"/>
        <v/>
      </c>
      <c r="BN40" s="217" t="str">
        <f t="shared" si="24"/>
        <v/>
      </c>
      <c r="BO40" s="229" t="str">
        <f t="shared" si="25"/>
        <v/>
      </c>
      <c r="BP40" s="262" t="str">
        <f t="shared" si="26"/>
        <v/>
      </c>
      <c r="BQ40" s="217" t="str">
        <f t="shared" si="27"/>
        <v/>
      </c>
      <c r="BR40" s="229" t="str">
        <f t="shared" si="28"/>
        <v/>
      </c>
      <c r="BS40" s="262" t="str">
        <f t="shared" si="29"/>
        <v/>
      </c>
      <c r="BT40" s="217" t="str">
        <f t="shared" si="30"/>
        <v/>
      </c>
      <c r="BU40" s="229" t="str">
        <f t="shared" si="31"/>
        <v/>
      </c>
      <c r="BV40" s="262" t="str">
        <f t="shared" si="32"/>
        <v/>
      </c>
      <c r="BW40" s="217" t="str">
        <f t="shared" si="33"/>
        <v/>
      </c>
      <c r="BX40" s="229" t="str">
        <f t="shared" si="34"/>
        <v/>
      </c>
      <c r="BY40" s="262" t="str">
        <f t="shared" si="35"/>
        <v/>
      </c>
      <c r="BZ40" s="217" t="str">
        <f t="shared" si="36"/>
        <v/>
      </c>
      <c r="CA40" s="229" t="str">
        <f t="shared" si="37"/>
        <v/>
      </c>
      <c r="CB40" s="262" t="str">
        <f t="shared" si="38"/>
        <v/>
      </c>
      <c r="CC40" s="217" t="str">
        <f t="shared" si="39"/>
        <v/>
      </c>
      <c r="CD40" s="229" t="str">
        <f t="shared" si="40"/>
        <v/>
      </c>
    </row>
    <row r="41" spans="1:89" x14ac:dyDescent="0.25">
      <c r="A41" s="260" t="str">
        <f t="shared" si="9"/>
        <v>#29:</v>
      </c>
      <c r="B41" s="145">
        <v>6</v>
      </c>
      <c r="C41" s="145">
        <v>24</v>
      </c>
      <c r="D41" s="260" t="str">
        <f t="shared" si="10"/>
        <v/>
      </c>
      <c r="E41" s="145"/>
      <c r="F41" s="145"/>
      <c r="G41" s="260" t="str">
        <f t="shared" si="11"/>
        <v/>
      </c>
      <c r="H41" s="145"/>
      <c r="I41" s="145"/>
      <c r="J41" s="261" t="str">
        <f t="shared" si="12"/>
        <v/>
      </c>
      <c r="K41" s="145"/>
      <c r="L41" s="145"/>
      <c r="M41" s="260" t="str">
        <f t="shared" si="13"/>
        <v/>
      </c>
      <c r="N41" s="145"/>
      <c r="O41" s="145"/>
      <c r="P41" s="260" t="str">
        <f t="shared" si="14"/>
        <v/>
      </c>
      <c r="Q41" s="145"/>
      <c r="R41" s="145"/>
      <c r="S41" s="260" t="str">
        <f t="shared" si="15"/>
        <v/>
      </c>
      <c r="T41" s="145"/>
      <c r="U41" s="145"/>
      <c r="V41" s="260" t="str">
        <f t="shared" si="16"/>
        <v/>
      </c>
      <c r="W41" s="145"/>
      <c r="X41" s="145"/>
      <c r="Y41" s="259"/>
      <c r="Z41" s="2"/>
      <c r="AA41" s="256">
        <v>37</v>
      </c>
      <c r="AB41" s="16">
        <f t="shared" si="41"/>
        <v>4.500001000000001</v>
      </c>
      <c r="AC41" s="16">
        <f t="shared" si="42"/>
        <v>4.5000009999999993</v>
      </c>
      <c r="AD41" s="16">
        <f t="shared" si="2"/>
        <v>20.250009000001008</v>
      </c>
      <c r="AE41" s="16">
        <f t="shared" si="3"/>
        <v>20.250009000000993</v>
      </c>
      <c r="AF41" s="16">
        <f t="shared" si="4"/>
        <v>20.250009000001</v>
      </c>
      <c r="AG41" s="17">
        <f t="shared" si="43"/>
        <v>4.5</v>
      </c>
      <c r="AH41" s="17">
        <f t="shared" si="44"/>
        <v>4.5</v>
      </c>
      <c r="AI41" s="18">
        <f t="shared" si="7"/>
        <v>69.24242424242469</v>
      </c>
      <c r="AJ41" s="18">
        <f t="shared" si="8"/>
        <v>1.8027756377319946</v>
      </c>
      <c r="AM41" s="2"/>
      <c r="AN41" s="2"/>
      <c r="AO41" s="2"/>
      <c r="AP41" s="2"/>
      <c r="AQ41" s="2"/>
      <c r="AR41" s="2"/>
      <c r="AS41" s="2"/>
      <c r="AT41" s="2"/>
      <c r="AU41" s="2"/>
      <c r="AV41" s="2"/>
      <c r="AW41" s="2"/>
      <c r="AX41" s="2"/>
      <c r="AY41" s="2"/>
      <c r="AZ41" s="2"/>
      <c r="BA41" s="2"/>
      <c r="BB41" s="2"/>
      <c r="BC41" s="2"/>
      <c r="BF41" s="2"/>
      <c r="BG41" s="262" t="str">
        <f t="shared" si="17"/>
        <v>#29:</v>
      </c>
      <c r="BH41" s="217">
        <f t="shared" si="18"/>
        <v>1.8288000000000002</v>
      </c>
      <c r="BI41" s="229">
        <f t="shared" si="19"/>
        <v>7.3152000000000008</v>
      </c>
      <c r="BJ41" s="262" t="str">
        <f t="shared" si="20"/>
        <v/>
      </c>
      <c r="BK41" s="217" t="str">
        <f t="shared" si="21"/>
        <v/>
      </c>
      <c r="BL41" s="229" t="str">
        <f t="shared" si="22"/>
        <v/>
      </c>
      <c r="BM41" s="262" t="str">
        <f t="shared" si="23"/>
        <v/>
      </c>
      <c r="BN41" s="217" t="str">
        <f t="shared" si="24"/>
        <v/>
      </c>
      <c r="BO41" s="229" t="str">
        <f t="shared" si="25"/>
        <v/>
      </c>
      <c r="BP41" s="262" t="str">
        <f t="shared" si="26"/>
        <v/>
      </c>
      <c r="BQ41" s="217" t="str">
        <f t="shared" si="27"/>
        <v/>
      </c>
      <c r="BR41" s="229" t="str">
        <f t="shared" si="28"/>
        <v/>
      </c>
      <c r="BS41" s="262" t="str">
        <f t="shared" si="29"/>
        <v/>
      </c>
      <c r="BT41" s="217" t="str">
        <f t="shared" si="30"/>
        <v/>
      </c>
      <c r="BU41" s="229" t="str">
        <f t="shared" si="31"/>
        <v/>
      </c>
      <c r="BV41" s="262" t="str">
        <f t="shared" si="32"/>
        <v/>
      </c>
      <c r="BW41" s="217" t="str">
        <f t="shared" si="33"/>
        <v/>
      </c>
      <c r="BX41" s="229" t="str">
        <f t="shared" si="34"/>
        <v/>
      </c>
      <c r="BY41" s="262" t="str">
        <f t="shared" si="35"/>
        <v/>
      </c>
      <c r="BZ41" s="217" t="str">
        <f t="shared" si="36"/>
        <v/>
      </c>
      <c r="CA41" s="229" t="str">
        <f t="shared" si="37"/>
        <v/>
      </c>
      <c r="CB41" s="262" t="str">
        <f t="shared" si="38"/>
        <v/>
      </c>
      <c r="CC41" s="217" t="str">
        <f t="shared" si="39"/>
        <v/>
      </c>
      <c r="CD41" s="229" t="str">
        <f t="shared" si="40"/>
        <v/>
      </c>
    </row>
    <row r="42" spans="1:89" x14ac:dyDescent="0.25">
      <c r="A42" s="260" t="str">
        <f t="shared" si="9"/>
        <v>#30:</v>
      </c>
      <c r="B42" s="145">
        <v>6</v>
      </c>
      <c r="C42" s="145">
        <v>27</v>
      </c>
      <c r="D42" s="260" t="str">
        <f t="shared" si="10"/>
        <v/>
      </c>
      <c r="E42" s="145"/>
      <c r="F42" s="145"/>
      <c r="G42" s="260" t="str">
        <f t="shared" si="11"/>
        <v/>
      </c>
      <c r="H42" s="145"/>
      <c r="I42" s="145"/>
      <c r="J42" s="261" t="str">
        <f t="shared" si="12"/>
        <v/>
      </c>
      <c r="K42" s="145"/>
      <c r="L42" s="145"/>
      <c r="M42" s="260" t="str">
        <f t="shared" si="13"/>
        <v/>
      </c>
      <c r="N42" s="145"/>
      <c r="O42" s="145"/>
      <c r="P42" s="260" t="str">
        <f t="shared" si="14"/>
        <v/>
      </c>
      <c r="Q42" s="145"/>
      <c r="R42" s="145"/>
      <c r="S42" s="260" t="str">
        <f t="shared" si="15"/>
        <v/>
      </c>
      <c r="T42" s="145"/>
      <c r="U42" s="145"/>
      <c r="V42" s="260" t="str">
        <f t="shared" si="16"/>
        <v/>
      </c>
      <c r="W42" s="145"/>
      <c r="X42" s="145"/>
      <c r="Y42" s="259"/>
      <c r="Z42" s="2"/>
      <c r="AA42" s="256">
        <v>38</v>
      </c>
      <c r="AB42" s="16">
        <f t="shared" si="41"/>
        <v>7.500001000000001</v>
      </c>
      <c r="AC42" s="16">
        <f t="shared" si="42"/>
        <v>4.5000009999999993</v>
      </c>
      <c r="AD42" s="16">
        <f t="shared" si="2"/>
        <v>56.250015000001014</v>
      </c>
      <c r="AE42" s="16">
        <f t="shared" si="3"/>
        <v>20.250009000000993</v>
      </c>
      <c r="AF42" s="16">
        <f t="shared" si="4"/>
        <v>33.750012000001</v>
      </c>
      <c r="AG42" s="17">
        <f t="shared" si="43"/>
        <v>4.5</v>
      </c>
      <c r="AH42" s="17">
        <f t="shared" si="44"/>
        <v>7.5</v>
      </c>
      <c r="AI42" s="18">
        <f t="shared" si="7"/>
        <v>68.737373737374199</v>
      </c>
      <c r="AJ42" s="18">
        <f t="shared" si="8"/>
        <v>1.8027756377319946</v>
      </c>
      <c r="AM42" s="2"/>
      <c r="AN42" s="2"/>
      <c r="AO42" s="2"/>
      <c r="AP42" s="2"/>
      <c r="AQ42" s="2"/>
      <c r="AR42" s="2"/>
      <c r="AS42" s="2"/>
      <c r="AT42" s="2"/>
      <c r="AU42" s="2"/>
      <c r="AV42" s="2"/>
      <c r="AW42" s="2"/>
      <c r="AX42" s="2"/>
      <c r="AY42" s="2"/>
      <c r="AZ42" s="2"/>
      <c r="BA42" s="2"/>
      <c r="BB42" s="2"/>
      <c r="BC42" s="2"/>
      <c r="BF42" s="2"/>
      <c r="BG42" s="262" t="str">
        <f t="shared" si="17"/>
        <v>#30:</v>
      </c>
      <c r="BH42" s="217">
        <f t="shared" si="18"/>
        <v>1.8288000000000002</v>
      </c>
      <c r="BI42" s="229">
        <f t="shared" si="19"/>
        <v>8.2295999999999996</v>
      </c>
      <c r="BJ42" s="262" t="str">
        <f t="shared" si="20"/>
        <v/>
      </c>
      <c r="BK42" s="217" t="str">
        <f t="shared" si="21"/>
        <v/>
      </c>
      <c r="BL42" s="229" t="str">
        <f t="shared" si="22"/>
        <v/>
      </c>
      <c r="BM42" s="262" t="str">
        <f t="shared" si="23"/>
        <v/>
      </c>
      <c r="BN42" s="217" t="str">
        <f t="shared" si="24"/>
        <v/>
      </c>
      <c r="BO42" s="229" t="str">
        <f t="shared" si="25"/>
        <v/>
      </c>
      <c r="BP42" s="262" t="str">
        <f t="shared" si="26"/>
        <v/>
      </c>
      <c r="BQ42" s="217" t="str">
        <f t="shared" si="27"/>
        <v/>
      </c>
      <c r="BR42" s="229" t="str">
        <f t="shared" si="28"/>
        <v/>
      </c>
      <c r="BS42" s="262" t="str">
        <f t="shared" si="29"/>
        <v/>
      </c>
      <c r="BT42" s="217" t="str">
        <f t="shared" si="30"/>
        <v/>
      </c>
      <c r="BU42" s="229" t="str">
        <f t="shared" si="31"/>
        <v/>
      </c>
      <c r="BV42" s="262" t="str">
        <f t="shared" si="32"/>
        <v/>
      </c>
      <c r="BW42" s="217" t="str">
        <f t="shared" si="33"/>
        <v/>
      </c>
      <c r="BX42" s="229" t="str">
        <f t="shared" si="34"/>
        <v/>
      </c>
      <c r="BY42" s="262" t="str">
        <f t="shared" si="35"/>
        <v/>
      </c>
      <c r="BZ42" s="217" t="str">
        <f t="shared" si="36"/>
        <v/>
      </c>
      <c r="CA42" s="229" t="str">
        <f t="shared" si="37"/>
        <v/>
      </c>
      <c r="CB42" s="262" t="str">
        <f t="shared" si="38"/>
        <v/>
      </c>
      <c r="CC42" s="217" t="str">
        <f t="shared" si="39"/>
        <v/>
      </c>
      <c r="CD42" s="229" t="str">
        <f t="shared" si="40"/>
        <v/>
      </c>
    </row>
    <row r="43" spans="1:89" x14ac:dyDescent="0.25">
      <c r="A43" s="260" t="str">
        <f t="shared" si="9"/>
        <v>#31:</v>
      </c>
      <c r="B43" s="145">
        <v>9</v>
      </c>
      <c r="C43" s="145">
        <v>0</v>
      </c>
      <c r="D43" s="260" t="str">
        <f t="shared" si="10"/>
        <v/>
      </c>
      <c r="E43" s="145"/>
      <c r="F43" s="145"/>
      <c r="G43" s="260" t="str">
        <f t="shared" si="11"/>
        <v/>
      </c>
      <c r="H43" s="145"/>
      <c r="I43" s="145"/>
      <c r="J43" s="261" t="str">
        <f t="shared" si="12"/>
        <v/>
      </c>
      <c r="K43" s="145"/>
      <c r="L43" s="145"/>
      <c r="M43" s="260" t="str">
        <f t="shared" si="13"/>
        <v/>
      </c>
      <c r="N43" s="145"/>
      <c r="O43" s="145"/>
      <c r="P43" s="260" t="str">
        <f t="shared" si="14"/>
        <v/>
      </c>
      <c r="Q43" s="145"/>
      <c r="R43" s="145"/>
      <c r="S43" s="260" t="str">
        <f t="shared" si="15"/>
        <v/>
      </c>
      <c r="T43" s="145"/>
      <c r="U43" s="145"/>
      <c r="V43" s="260" t="str">
        <f t="shared" si="16"/>
        <v/>
      </c>
      <c r="W43" s="145"/>
      <c r="X43" s="145"/>
      <c r="Y43" s="263"/>
      <c r="Z43" s="10"/>
      <c r="AA43" s="256">
        <v>39</v>
      </c>
      <c r="AB43" s="16">
        <f t="shared" si="41"/>
        <v>10.500001000000001</v>
      </c>
      <c r="AC43" s="16">
        <f t="shared" si="42"/>
        <v>4.5000009999999993</v>
      </c>
      <c r="AD43" s="16">
        <f t="shared" si="2"/>
        <v>110.25002100000103</v>
      </c>
      <c r="AE43" s="16">
        <f t="shared" si="3"/>
        <v>20.250009000000993</v>
      </c>
      <c r="AF43" s="16">
        <f t="shared" si="4"/>
        <v>47.250015000001</v>
      </c>
      <c r="AG43" s="17">
        <f t="shared" si="43"/>
        <v>4.5</v>
      </c>
      <c r="AH43" s="17">
        <f t="shared" si="44"/>
        <v>10.5</v>
      </c>
      <c r="AI43" s="18">
        <f t="shared" si="7"/>
        <v>68.232323232323694</v>
      </c>
      <c r="AJ43" s="18">
        <f t="shared" si="8"/>
        <v>1.8027756377319946</v>
      </c>
      <c r="AM43" s="2"/>
      <c r="AN43" s="2"/>
      <c r="AO43" s="2"/>
      <c r="AP43" s="2"/>
      <c r="AQ43" s="2"/>
      <c r="AR43" s="2"/>
      <c r="AS43" s="2"/>
      <c r="AT43" s="2"/>
      <c r="AU43" s="2"/>
      <c r="AV43" s="2"/>
      <c r="AW43" s="2"/>
      <c r="AX43" s="2"/>
      <c r="AY43" s="2"/>
      <c r="AZ43" s="2"/>
      <c r="BA43" s="2"/>
      <c r="BB43" s="2"/>
      <c r="BC43" s="2"/>
      <c r="BF43" s="2"/>
      <c r="BG43" s="262" t="str">
        <f t="shared" si="17"/>
        <v>#31:</v>
      </c>
      <c r="BH43" s="217">
        <f t="shared" si="18"/>
        <v>2.7432000000000003</v>
      </c>
      <c r="BI43" s="229">
        <f t="shared" si="19"/>
        <v>0</v>
      </c>
      <c r="BJ43" s="262" t="str">
        <f t="shared" si="20"/>
        <v/>
      </c>
      <c r="BK43" s="217" t="str">
        <f t="shared" si="21"/>
        <v/>
      </c>
      <c r="BL43" s="229" t="str">
        <f t="shared" si="22"/>
        <v/>
      </c>
      <c r="BM43" s="262" t="str">
        <f t="shared" si="23"/>
        <v/>
      </c>
      <c r="BN43" s="217" t="str">
        <f t="shared" si="24"/>
        <v/>
      </c>
      <c r="BO43" s="229" t="str">
        <f t="shared" si="25"/>
        <v/>
      </c>
      <c r="BP43" s="262" t="str">
        <f t="shared" si="26"/>
        <v/>
      </c>
      <c r="BQ43" s="217" t="str">
        <f t="shared" si="27"/>
        <v/>
      </c>
      <c r="BR43" s="229" t="str">
        <f t="shared" si="28"/>
        <v/>
      </c>
      <c r="BS43" s="262" t="str">
        <f t="shared" si="29"/>
        <v/>
      </c>
      <c r="BT43" s="217" t="str">
        <f t="shared" si="30"/>
        <v/>
      </c>
      <c r="BU43" s="229" t="str">
        <f t="shared" si="31"/>
        <v/>
      </c>
      <c r="BV43" s="262" t="str">
        <f t="shared" si="32"/>
        <v/>
      </c>
      <c r="BW43" s="217" t="str">
        <f t="shared" si="33"/>
        <v/>
      </c>
      <c r="BX43" s="229" t="str">
        <f t="shared" si="34"/>
        <v/>
      </c>
      <c r="BY43" s="262" t="str">
        <f t="shared" si="35"/>
        <v/>
      </c>
      <c r="BZ43" s="217" t="str">
        <f t="shared" si="36"/>
        <v/>
      </c>
      <c r="CA43" s="229" t="str">
        <f t="shared" si="37"/>
        <v/>
      </c>
      <c r="CB43" s="262" t="str">
        <f t="shared" si="38"/>
        <v/>
      </c>
      <c r="CC43" s="217" t="str">
        <f t="shared" si="39"/>
        <v/>
      </c>
      <c r="CD43" s="229" t="str">
        <f t="shared" si="40"/>
        <v/>
      </c>
    </row>
    <row r="44" spans="1:89" x14ac:dyDescent="0.25">
      <c r="A44" s="260" t="str">
        <f t="shared" si="9"/>
        <v>#32:</v>
      </c>
      <c r="B44" s="145">
        <v>9</v>
      </c>
      <c r="C44" s="145">
        <v>3</v>
      </c>
      <c r="D44" s="260" t="str">
        <f t="shared" si="10"/>
        <v/>
      </c>
      <c r="E44" s="145"/>
      <c r="F44" s="145"/>
      <c r="G44" s="260" t="str">
        <f t="shared" si="11"/>
        <v/>
      </c>
      <c r="H44" s="145"/>
      <c r="I44" s="145"/>
      <c r="J44" s="261" t="str">
        <f t="shared" si="12"/>
        <v/>
      </c>
      <c r="K44" s="145"/>
      <c r="L44" s="145"/>
      <c r="M44" s="260" t="str">
        <f t="shared" si="13"/>
        <v/>
      </c>
      <c r="N44" s="145"/>
      <c r="O44" s="145"/>
      <c r="P44" s="260" t="str">
        <f t="shared" si="14"/>
        <v/>
      </c>
      <c r="Q44" s="145"/>
      <c r="R44" s="145"/>
      <c r="S44" s="260" t="str">
        <f t="shared" si="15"/>
        <v/>
      </c>
      <c r="T44" s="145"/>
      <c r="U44" s="145"/>
      <c r="V44" s="260" t="str">
        <f t="shared" si="16"/>
        <v/>
      </c>
      <c r="W44" s="145"/>
      <c r="X44" s="145"/>
      <c r="Y44" s="259"/>
      <c r="Z44" s="2"/>
      <c r="AA44" s="256">
        <v>40</v>
      </c>
      <c r="AB44" s="16">
        <f t="shared" si="41"/>
        <v>13.500001000000001</v>
      </c>
      <c r="AC44" s="16">
        <f t="shared" si="42"/>
        <v>4.5000009999999993</v>
      </c>
      <c r="AD44" s="16">
        <f t="shared" si="2"/>
        <v>182.25002700000104</v>
      </c>
      <c r="AE44" s="16">
        <f t="shared" si="3"/>
        <v>20.250009000000993</v>
      </c>
      <c r="AF44" s="16">
        <f t="shared" si="4"/>
        <v>60.750018000000992</v>
      </c>
      <c r="AG44" s="17">
        <f t="shared" si="43"/>
        <v>4.5</v>
      </c>
      <c r="AH44" s="17">
        <f t="shared" si="44"/>
        <v>13.5</v>
      </c>
      <c r="AI44" s="18">
        <f t="shared" si="7"/>
        <v>67.727272727273203</v>
      </c>
      <c r="AJ44" s="18">
        <f t="shared" si="8"/>
        <v>1.8027756377319946</v>
      </c>
      <c r="AM44" s="2"/>
      <c r="AN44" s="2"/>
      <c r="AO44" s="2"/>
      <c r="AP44" s="2"/>
      <c r="AQ44" s="2"/>
      <c r="AR44" s="2"/>
      <c r="AS44" s="2"/>
      <c r="AT44" s="2"/>
      <c r="AU44" s="2"/>
      <c r="AV44" s="2"/>
      <c r="AW44" s="2"/>
      <c r="AX44" s="2"/>
      <c r="AY44" s="2"/>
      <c r="AZ44" s="2"/>
      <c r="BA44" s="2"/>
      <c r="BB44" s="2"/>
      <c r="BC44" s="2"/>
      <c r="BF44" s="2"/>
      <c r="BG44" s="262" t="str">
        <f t="shared" si="17"/>
        <v>#32:</v>
      </c>
      <c r="BH44" s="217">
        <f t="shared" si="18"/>
        <v>2.7432000000000003</v>
      </c>
      <c r="BI44" s="229">
        <f t="shared" si="19"/>
        <v>0.9144000000000001</v>
      </c>
      <c r="BJ44" s="262" t="str">
        <f t="shared" si="20"/>
        <v/>
      </c>
      <c r="BK44" s="217" t="str">
        <f t="shared" si="21"/>
        <v/>
      </c>
      <c r="BL44" s="229" t="str">
        <f t="shared" si="22"/>
        <v/>
      </c>
      <c r="BM44" s="262" t="str">
        <f t="shared" si="23"/>
        <v/>
      </c>
      <c r="BN44" s="217" t="str">
        <f t="shared" si="24"/>
        <v/>
      </c>
      <c r="BO44" s="229" t="str">
        <f t="shared" si="25"/>
        <v/>
      </c>
      <c r="BP44" s="262" t="str">
        <f t="shared" si="26"/>
        <v/>
      </c>
      <c r="BQ44" s="217" t="str">
        <f t="shared" si="27"/>
        <v/>
      </c>
      <c r="BR44" s="229" t="str">
        <f t="shared" si="28"/>
        <v/>
      </c>
      <c r="BS44" s="262" t="str">
        <f t="shared" si="29"/>
        <v/>
      </c>
      <c r="BT44" s="217" t="str">
        <f t="shared" si="30"/>
        <v/>
      </c>
      <c r="BU44" s="229" t="str">
        <f t="shared" si="31"/>
        <v/>
      </c>
      <c r="BV44" s="262" t="str">
        <f t="shared" si="32"/>
        <v/>
      </c>
      <c r="BW44" s="217" t="str">
        <f t="shared" si="33"/>
        <v/>
      </c>
      <c r="BX44" s="229" t="str">
        <f t="shared" si="34"/>
        <v/>
      </c>
      <c r="BY44" s="262" t="str">
        <f t="shared" si="35"/>
        <v/>
      </c>
      <c r="BZ44" s="217" t="str">
        <f t="shared" si="36"/>
        <v/>
      </c>
      <c r="CA44" s="229" t="str">
        <f t="shared" si="37"/>
        <v/>
      </c>
      <c r="CB44" s="262" t="str">
        <f t="shared" si="38"/>
        <v/>
      </c>
      <c r="CC44" s="217" t="str">
        <f t="shared" si="39"/>
        <v/>
      </c>
      <c r="CD44" s="229" t="str">
        <f t="shared" si="40"/>
        <v/>
      </c>
    </row>
    <row r="45" spans="1:89" x14ac:dyDescent="0.25">
      <c r="A45" s="260" t="str">
        <f t="shared" ref="A45:A62" si="45">IF($C$9&gt;=$AA37,"#"&amp;$AA37&amp;":","")</f>
        <v>#33:</v>
      </c>
      <c r="B45" s="145">
        <v>9</v>
      </c>
      <c r="C45" s="145">
        <v>6</v>
      </c>
      <c r="D45" s="260" t="str">
        <f t="shared" ref="D45:D62" si="46">IF($C$9&gt;=$AA87,"#"&amp;$AA87&amp;":","")</f>
        <v/>
      </c>
      <c r="E45" s="145"/>
      <c r="F45" s="145"/>
      <c r="G45" s="260" t="str">
        <f t="shared" ref="G45:G62" si="47">IF($C$9&gt;=$AA137,"#"&amp;$AA137&amp;":","")</f>
        <v/>
      </c>
      <c r="H45" s="145"/>
      <c r="I45" s="145"/>
      <c r="J45" s="261" t="str">
        <f t="shared" ref="J45:J62" si="48">IF($C$9&gt;=$AA187,"#"&amp;$AA187&amp;":","")</f>
        <v/>
      </c>
      <c r="K45" s="145"/>
      <c r="L45" s="145"/>
      <c r="M45" s="260" t="str">
        <f t="shared" ref="M45:M62" si="49">IF($C$9&gt;=$AA237,"#"&amp;$AA237&amp;":","")</f>
        <v/>
      </c>
      <c r="N45" s="145"/>
      <c r="O45" s="145"/>
      <c r="P45" s="260" t="str">
        <f t="shared" ref="P45:P62" si="50">IF($C$9&gt;=$AA287,"#"&amp;$AA287&amp;":","")</f>
        <v/>
      </c>
      <c r="Q45" s="145"/>
      <c r="R45" s="145"/>
      <c r="S45" s="260" t="str">
        <f t="shared" ref="S45:S62" si="51">IF($C$9&gt;=$AA337,"#"&amp;$AA337&amp;":","")</f>
        <v/>
      </c>
      <c r="T45" s="145"/>
      <c r="U45" s="145"/>
      <c r="V45" s="260" t="str">
        <f t="shared" ref="V45:V62" si="52">IF($C$9&gt;=$AA387,"#"&amp;$AA387&amp;":","")</f>
        <v/>
      </c>
      <c r="W45" s="145"/>
      <c r="X45" s="145"/>
      <c r="Y45" s="259"/>
      <c r="Z45" s="2"/>
      <c r="AA45" s="256">
        <v>41</v>
      </c>
      <c r="AB45" s="16" t="str">
        <f t="shared" si="41"/>
        <v/>
      </c>
      <c r="AC45" s="16" t="str">
        <f t="shared" si="42"/>
        <v/>
      </c>
      <c r="AD45" s="16" t="str">
        <f t="shared" si="2"/>
        <v/>
      </c>
      <c r="AE45" s="16" t="str">
        <f t="shared" si="3"/>
        <v/>
      </c>
      <c r="AF45" s="16" t="str">
        <f t="shared" si="4"/>
        <v/>
      </c>
      <c r="AG45" s="17" t="str">
        <f t="shared" si="43"/>
        <v/>
      </c>
      <c r="AH45" s="17" t="str">
        <f t="shared" si="44"/>
        <v/>
      </c>
      <c r="AI45" s="18" t="str">
        <f t="shared" si="7"/>
        <v/>
      </c>
      <c r="AJ45" s="18" t="str">
        <f t="shared" si="8"/>
        <v/>
      </c>
      <c r="AM45" s="2"/>
      <c r="AN45" s="2"/>
      <c r="AO45" s="2"/>
      <c r="AP45" s="2"/>
      <c r="AQ45" s="2"/>
      <c r="AR45" s="2"/>
      <c r="AS45" s="2"/>
      <c r="AT45" s="2"/>
      <c r="AU45" s="2"/>
      <c r="AV45" s="2"/>
      <c r="AW45" s="2"/>
      <c r="AX45" s="2"/>
      <c r="AY45" s="2"/>
      <c r="AZ45" s="2"/>
      <c r="BA45" s="2"/>
      <c r="BB45" s="2"/>
      <c r="BC45" s="2"/>
      <c r="BF45" s="2"/>
      <c r="BG45" s="262" t="str">
        <f t="shared" ref="BG45:BG62" si="53">IF($C$9&gt;=$AA37,"#"&amp;$AA37&amp;":","")</f>
        <v>#33:</v>
      </c>
      <c r="BH45" s="217">
        <f t="shared" ref="BH45:BH62" si="54">IF($C$9&gt;=$AA37,$B45*0.3048,"")</f>
        <v>2.7432000000000003</v>
      </c>
      <c r="BI45" s="229">
        <f t="shared" ref="BI45:BI62" si="55">IF($C$9&gt;=$AA37,$C45*0.3048,"")</f>
        <v>1.8288000000000002</v>
      </c>
      <c r="BJ45" s="262" t="str">
        <f t="shared" ref="BJ45:BJ62" si="56">IF($C$9&gt;=$AA87,"#"&amp;$AA87&amp;":","")</f>
        <v/>
      </c>
      <c r="BK45" s="217" t="str">
        <f t="shared" ref="BK45:BK62" si="57">IF($C$9&gt;=$AA87,$E45*0.3048,"")</f>
        <v/>
      </c>
      <c r="BL45" s="229" t="str">
        <f t="shared" ref="BL45:BL62" si="58">IF($C$9&gt;=$AA87,$F45*0.3048,"")</f>
        <v/>
      </c>
      <c r="BM45" s="262" t="str">
        <f t="shared" ref="BM45:BM62" si="59">IF($C$9&gt;=$AA137,"#"&amp;$AA137&amp;":","")</f>
        <v/>
      </c>
      <c r="BN45" s="217" t="str">
        <f t="shared" ref="BN45:BN62" si="60">IF($C$9&gt;=$AA137,$H45*0.3048,"")</f>
        <v/>
      </c>
      <c r="BO45" s="229" t="str">
        <f t="shared" ref="BO45:BO62" si="61">IF($C$9&gt;=$AA137,$I45*0.3048,"")</f>
        <v/>
      </c>
      <c r="BP45" s="262" t="str">
        <f t="shared" ref="BP45:BP62" si="62">IF($C$9&gt;=$AA187,"#"&amp;$AA187&amp;":","")</f>
        <v/>
      </c>
      <c r="BQ45" s="217" t="str">
        <f t="shared" ref="BQ45:BQ62" si="63">IF($C$9&gt;=$AA187,$K45*0.3048,"")</f>
        <v/>
      </c>
      <c r="BR45" s="229" t="str">
        <f t="shared" ref="BR45:BR62" si="64">IF($C$9&gt;=$AA187,$L45*0.3048,"")</f>
        <v/>
      </c>
      <c r="BS45" s="262" t="str">
        <f t="shared" ref="BS45:BS62" si="65">IF($C$9&gt;=$AA237,"#"&amp;$AA237&amp;":","")</f>
        <v/>
      </c>
      <c r="BT45" s="217" t="str">
        <f t="shared" ref="BT45:BT62" si="66">IF($C$9&gt;=$AA237,$N45*0.3048,"")</f>
        <v/>
      </c>
      <c r="BU45" s="229" t="str">
        <f t="shared" ref="BU45:BU62" si="67">IF($C$9&gt;=$AA237,$O45*0.3048,"")</f>
        <v/>
      </c>
      <c r="BV45" s="262" t="str">
        <f t="shared" ref="BV45:BV62" si="68">IF($C$9&gt;=$AA287,"#"&amp;$AA287&amp;":","")</f>
        <v/>
      </c>
      <c r="BW45" s="217" t="str">
        <f t="shared" ref="BW45:BW62" si="69">IF($C$9&gt;=$AA287,$Q45*0.3048,"")</f>
        <v/>
      </c>
      <c r="BX45" s="229" t="str">
        <f t="shared" ref="BX45:BX62" si="70">IF($C$9&gt;=$AA287,$R45*0.3048,"")</f>
        <v/>
      </c>
      <c r="BY45" s="262" t="str">
        <f t="shared" ref="BY45:BY62" si="71">IF($C$9&gt;=$AA337,"#"&amp;$AA337&amp;":","")</f>
        <v/>
      </c>
      <c r="BZ45" s="217" t="str">
        <f t="shared" ref="BZ45:BZ62" si="72">IF($C$9&gt;=$AA337,$T45*0.3048,"")</f>
        <v/>
      </c>
      <c r="CA45" s="229" t="str">
        <f t="shared" ref="CA45:CA62" si="73">IF($C$9&gt;=$AA337,$U45*0.3048,"")</f>
        <v/>
      </c>
      <c r="CB45" s="262" t="str">
        <f t="shared" ref="CB45:CB62" si="74">IF($C$9&gt;=$AA387,"#"&amp;$AA387&amp;":","")</f>
        <v/>
      </c>
      <c r="CC45" s="217" t="str">
        <f t="shared" ref="CC45:CC62" si="75">IF($C$9&gt;=$AA387,$W45*0.3048,"")</f>
        <v/>
      </c>
      <c r="CD45" s="229" t="str">
        <f t="shared" ref="CD45:CD62" si="76">IF($C$9&gt;=$AA387,$X45*0.3048,"")</f>
        <v/>
      </c>
    </row>
    <row r="46" spans="1:89" x14ac:dyDescent="0.25">
      <c r="A46" s="260" t="str">
        <f t="shared" si="45"/>
        <v>#34:</v>
      </c>
      <c r="B46" s="145">
        <v>9</v>
      </c>
      <c r="C46" s="145">
        <v>9</v>
      </c>
      <c r="D46" s="260" t="str">
        <f t="shared" si="46"/>
        <v/>
      </c>
      <c r="E46" s="145"/>
      <c r="F46" s="145"/>
      <c r="G46" s="260" t="str">
        <f t="shared" si="47"/>
        <v/>
      </c>
      <c r="H46" s="145"/>
      <c r="I46" s="145"/>
      <c r="J46" s="261" t="str">
        <f t="shared" si="48"/>
        <v/>
      </c>
      <c r="K46" s="145"/>
      <c r="L46" s="145"/>
      <c r="M46" s="260" t="str">
        <f t="shared" si="49"/>
        <v/>
      </c>
      <c r="N46" s="145"/>
      <c r="O46" s="145"/>
      <c r="P46" s="260" t="str">
        <f t="shared" si="50"/>
        <v/>
      </c>
      <c r="Q46" s="145"/>
      <c r="R46" s="145"/>
      <c r="S46" s="260" t="str">
        <f t="shared" si="51"/>
        <v/>
      </c>
      <c r="T46" s="145"/>
      <c r="U46" s="145"/>
      <c r="V46" s="260" t="str">
        <f t="shared" si="52"/>
        <v/>
      </c>
      <c r="W46" s="145"/>
      <c r="X46" s="145"/>
      <c r="Y46" s="259"/>
      <c r="Z46" s="2"/>
      <c r="AA46" s="256">
        <v>42</v>
      </c>
      <c r="AB46" s="16" t="str">
        <f t="shared" si="41"/>
        <v/>
      </c>
      <c r="AC46" s="16" t="str">
        <f t="shared" si="42"/>
        <v/>
      </c>
      <c r="AD46" s="16" t="str">
        <f t="shared" si="2"/>
        <v/>
      </c>
      <c r="AE46" s="16" t="str">
        <f t="shared" si="3"/>
        <v/>
      </c>
      <c r="AF46" s="16" t="str">
        <f t="shared" si="4"/>
        <v/>
      </c>
      <c r="AG46" s="17" t="str">
        <f t="shared" si="43"/>
        <v/>
      </c>
      <c r="AH46" s="17" t="str">
        <f t="shared" si="44"/>
        <v/>
      </c>
      <c r="AI46" s="18" t="str">
        <f t="shared" si="7"/>
        <v/>
      </c>
      <c r="AJ46" s="18" t="str">
        <f t="shared" si="8"/>
        <v/>
      </c>
      <c r="AM46" s="2"/>
      <c r="AN46" s="2"/>
      <c r="AO46" s="2"/>
      <c r="AP46" s="2"/>
      <c r="AQ46" s="2"/>
      <c r="AR46" s="2"/>
      <c r="AS46" s="2"/>
      <c r="AT46" s="2"/>
      <c r="AU46" s="2"/>
      <c r="AV46" s="2"/>
      <c r="AW46" s="2"/>
      <c r="AX46" s="2"/>
      <c r="AY46" s="2"/>
      <c r="AZ46" s="2"/>
      <c r="BA46" s="2"/>
      <c r="BB46" s="2"/>
      <c r="BC46" s="2"/>
      <c r="BF46" s="2"/>
      <c r="BG46" s="262" t="str">
        <f t="shared" si="53"/>
        <v>#34:</v>
      </c>
      <c r="BH46" s="217">
        <f t="shared" si="54"/>
        <v>2.7432000000000003</v>
      </c>
      <c r="BI46" s="229">
        <f t="shared" si="55"/>
        <v>2.7432000000000003</v>
      </c>
      <c r="BJ46" s="262" t="str">
        <f t="shared" si="56"/>
        <v/>
      </c>
      <c r="BK46" s="217" t="str">
        <f t="shared" si="57"/>
        <v/>
      </c>
      <c r="BL46" s="229" t="str">
        <f t="shared" si="58"/>
        <v/>
      </c>
      <c r="BM46" s="262" t="str">
        <f t="shared" si="59"/>
        <v/>
      </c>
      <c r="BN46" s="217" t="str">
        <f t="shared" si="60"/>
        <v/>
      </c>
      <c r="BO46" s="229" t="str">
        <f t="shared" si="61"/>
        <v/>
      </c>
      <c r="BP46" s="262" t="str">
        <f t="shared" si="62"/>
        <v/>
      </c>
      <c r="BQ46" s="217" t="str">
        <f t="shared" si="63"/>
        <v/>
      </c>
      <c r="BR46" s="229" t="str">
        <f t="shared" si="64"/>
        <v/>
      </c>
      <c r="BS46" s="262" t="str">
        <f t="shared" si="65"/>
        <v/>
      </c>
      <c r="BT46" s="217" t="str">
        <f t="shared" si="66"/>
        <v/>
      </c>
      <c r="BU46" s="229" t="str">
        <f t="shared" si="67"/>
        <v/>
      </c>
      <c r="BV46" s="262" t="str">
        <f t="shared" si="68"/>
        <v/>
      </c>
      <c r="BW46" s="217" t="str">
        <f t="shared" si="69"/>
        <v/>
      </c>
      <c r="BX46" s="229" t="str">
        <f t="shared" si="70"/>
        <v/>
      </c>
      <c r="BY46" s="262" t="str">
        <f t="shared" si="71"/>
        <v/>
      </c>
      <c r="BZ46" s="217" t="str">
        <f t="shared" si="72"/>
        <v/>
      </c>
      <c r="CA46" s="229" t="str">
        <f t="shared" si="73"/>
        <v/>
      </c>
      <c r="CB46" s="262" t="str">
        <f t="shared" si="74"/>
        <v/>
      </c>
      <c r="CC46" s="217" t="str">
        <f t="shared" si="75"/>
        <v/>
      </c>
      <c r="CD46" s="229" t="str">
        <f t="shared" si="76"/>
        <v/>
      </c>
    </row>
    <row r="47" spans="1:89" x14ac:dyDescent="0.25">
      <c r="A47" s="260" t="str">
        <f t="shared" si="45"/>
        <v>#35:</v>
      </c>
      <c r="B47" s="145">
        <v>9</v>
      </c>
      <c r="C47" s="145">
        <v>12</v>
      </c>
      <c r="D47" s="260" t="str">
        <f t="shared" si="46"/>
        <v/>
      </c>
      <c r="E47" s="145"/>
      <c r="F47" s="145"/>
      <c r="G47" s="260" t="str">
        <f t="shared" si="47"/>
        <v/>
      </c>
      <c r="H47" s="145"/>
      <c r="I47" s="145"/>
      <c r="J47" s="261" t="str">
        <f t="shared" si="48"/>
        <v/>
      </c>
      <c r="K47" s="145"/>
      <c r="L47" s="145"/>
      <c r="M47" s="260" t="str">
        <f t="shared" si="49"/>
        <v/>
      </c>
      <c r="N47" s="145"/>
      <c r="O47" s="145"/>
      <c r="P47" s="260" t="str">
        <f t="shared" si="50"/>
        <v/>
      </c>
      <c r="Q47" s="145"/>
      <c r="R47" s="145"/>
      <c r="S47" s="260" t="str">
        <f t="shared" si="51"/>
        <v/>
      </c>
      <c r="T47" s="145"/>
      <c r="U47" s="145"/>
      <c r="V47" s="260" t="str">
        <f t="shared" si="52"/>
        <v/>
      </c>
      <c r="W47" s="145"/>
      <c r="X47" s="145"/>
      <c r="Y47" s="259"/>
      <c r="Z47" s="2"/>
      <c r="AA47" s="256">
        <v>43</v>
      </c>
      <c r="AB47" s="16" t="str">
        <f t="shared" si="41"/>
        <v/>
      </c>
      <c r="AC47" s="16" t="str">
        <f t="shared" si="42"/>
        <v/>
      </c>
      <c r="AD47" s="16" t="str">
        <f t="shared" si="2"/>
        <v/>
      </c>
      <c r="AE47" s="16" t="str">
        <f t="shared" si="3"/>
        <v/>
      </c>
      <c r="AF47" s="16" t="str">
        <f t="shared" si="4"/>
        <v/>
      </c>
      <c r="AG47" s="17" t="str">
        <f t="shared" si="43"/>
        <v/>
      </c>
      <c r="AH47" s="17" t="str">
        <f t="shared" si="44"/>
        <v/>
      </c>
      <c r="AI47" s="18" t="str">
        <f t="shared" si="7"/>
        <v/>
      </c>
      <c r="AJ47" s="18" t="str">
        <f t="shared" si="8"/>
        <v/>
      </c>
      <c r="AM47" s="2"/>
      <c r="AN47" s="2"/>
      <c r="AO47" s="2"/>
      <c r="AP47" s="2"/>
      <c r="AQ47" s="2"/>
      <c r="AR47" s="2"/>
      <c r="AS47" s="2"/>
      <c r="AT47" s="2"/>
      <c r="AU47" s="2"/>
      <c r="AV47" s="2"/>
      <c r="AW47" s="2"/>
      <c r="AX47" s="2"/>
      <c r="AY47" s="2"/>
      <c r="AZ47" s="2"/>
      <c r="BA47" s="2"/>
      <c r="BB47" s="2"/>
      <c r="BC47" s="2"/>
      <c r="BF47" s="2"/>
      <c r="BG47" s="262" t="str">
        <f t="shared" si="53"/>
        <v>#35:</v>
      </c>
      <c r="BH47" s="217">
        <f t="shared" si="54"/>
        <v>2.7432000000000003</v>
      </c>
      <c r="BI47" s="229">
        <f t="shared" si="55"/>
        <v>3.6576000000000004</v>
      </c>
      <c r="BJ47" s="262" t="str">
        <f t="shared" si="56"/>
        <v/>
      </c>
      <c r="BK47" s="217" t="str">
        <f t="shared" si="57"/>
        <v/>
      </c>
      <c r="BL47" s="229" t="str">
        <f t="shared" si="58"/>
        <v/>
      </c>
      <c r="BM47" s="262" t="str">
        <f t="shared" si="59"/>
        <v/>
      </c>
      <c r="BN47" s="217" t="str">
        <f t="shared" si="60"/>
        <v/>
      </c>
      <c r="BO47" s="229" t="str">
        <f t="shared" si="61"/>
        <v/>
      </c>
      <c r="BP47" s="262" t="str">
        <f t="shared" si="62"/>
        <v/>
      </c>
      <c r="BQ47" s="217" t="str">
        <f t="shared" si="63"/>
        <v/>
      </c>
      <c r="BR47" s="229" t="str">
        <f t="shared" si="64"/>
        <v/>
      </c>
      <c r="BS47" s="262" t="str">
        <f t="shared" si="65"/>
        <v/>
      </c>
      <c r="BT47" s="217" t="str">
        <f t="shared" si="66"/>
        <v/>
      </c>
      <c r="BU47" s="229" t="str">
        <f t="shared" si="67"/>
        <v/>
      </c>
      <c r="BV47" s="262" t="str">
        <f t="shared" si="68"/>
        <v/>
      </c>
      <c r="BW47" s="217" t="str">
        <f t="shared" si="69"/>
        <v/>
      </c>
      <c r="BX47" s="229" t="str">
        <f t="shared" si="70"/>
        <v/>
      </c>
      <c r="BY47" s="262" t="str">
        <f t="shared" si="71"/>
        <v/>
      </c>
      <c r="BZ47" s="217" t="str">
        <f t="shared" si="72"/>
        <v/>
      </c>
      <c r="CA47" s="229" t="str">
        <f t="shared" si="73"/>
        <v/>
      </c>
      <c r="CB47" s="262" t="str">
        <f t="shared" si="74"/>
        <v/>
      </c>
      <c r="CC47" s="217" t="str">
        <f t="shared" si="75"/>
        <v/>
      </c>
      <c r="CD47" s="229" t="str">
        <f t="shared" si="76"/>
        <v/>
      </c>
    </row>
    <row r="48" spans="1:89" x14ac:dyDescent="0.25">
      <c r="A48" s="260" t="str">
        <f t="shared" si="45"/>
        <v>#36:</v>
      </c>
      <c r="B48" s="145">
        <v>9</v>
      </c>
      <c r="C48" s="145">
        <v>15</v>
      </c>
      <c r="D48" s="260" t="str">
        <f t="shared" si="46"/>
        <v/>
      </c>
      <c r="E48" s="145"/>
      <c r="F48" s="145"/>
      <c r="G48" s="260" t="str">
        <f t="shared" si="47"/>
        <v/>
      </c>
      <c r="H48" s="145"/>
      <c r="I48" s="145"/>
      <c r="J48" s="261" t="str">
        <f t="shared" si="48"/>
        <v/>
      </c>
      <c r="K48" s="145"/>
      <c r="L48" s="145"/>
      <c r="M48" s="260" t="str">
        <f t="shared" si="49"/>
        <v/>
      </c>
      <c r="N48" s="145"/>
      <c r="O48" s="145"/>
      <c r="P48" s="260" t="str">
        <f t="shared" si="50"/>
        <v/>
      </c>
      <c r="Q48" s="145"/>
      <c r="R48" s="145"/>
      <c r="S48" s="260" t="str">
        <f t="shared" si="51"/>
        <v/>
      </c>
      <c r="T48" s="145"/>
      <c r="U48" s="145"/>
      <c r="V48" s="260" t="str">
        <f t="shared" si="52"/>
        <v/>
      </c>
      <c r="W48" s="145"/>
      <c r="X48" s="145"/>
      <c r="Y48" s="259"/>
      <c r="Z48" s="2"/>
      <c r="AA48" s="256">
        <v>44</v>
      </c>
      <c r="AB48" s="16" t="str">
        <f t="shared" si="41"/>
        <v/>
      </c>
      <c r="AC48" s="16" t="str">
        <f t="shared" si="42"/>
        <v/>
      </c>
      <c r="AD48" s="16" t="str">
        <f t="shared" si="2"/>
        <v/>
      </c>
      <c r="AE48" s="16" t="str">
        <f t="shared" si="3"/>
        <v/>
      </c>
      <c r="AF48" s="16" t="str">
        <f t="shared" si="4"/>
        <v/>
      </c>
      <c r="AG48" s="17" t="str">
        <f t="shared" si="43"/>
        <v/>
      </c>
      <c r="AH48" s="17" t="str">
        <f t="shared" si="44"/>
        <v/>
      </c>
      <c r="AI48" s="18" t="str">
        <f t="shared" si="7"/>
        <v/>
      </c>
      <c r="AJ48" s="18" t="str">
        <f t="shared" si="8"/>
        <v/>
      </c>
      <c r="AM48" s="2"/>
      <c r="AN48" s="2"/>
      <c r="AO48" s="2"/>
      <c r="AP48" s="2"/>
      <c r="AQ48" s="2"/>
      <c r="AR48" s="2"/>
      <c r="AS48" s="2"/>
      <c r="AT48" s="2"/>
      <c r="AU48" s="2"/>
      <c r="AV48" s="2"/>
      <c r="AW48" s="2"/>
      <c r="AX48" s="2"/>
      <c r="AY48" s="2"/>
      <c r="AZ48" s="2"/>
      <c r="BA48" s="2"/>
      <c r="BB48" s="2"/>
      <c r="BC48" s="2"/>
      <c r="BF48" s="2"/>
      <c r="BG48" s="262" t="str">
        <f t="shared" si="53"/>
        <v>#36:</v>
      </c>
      <c r="BH48" s="217">
        <f t="shared" si="54"/>
        <v>2.7432000000000003</v>
      </c>
      <c r="BI48" s="229">
        <f t="shared" si="55"/>
        <v>4.5720000000000001</v>
      </c>
      <c r="BJ48" s="262" t="str">
        <f t="shared" si="56"/>
        <v/>
      </c>
      <c r="BK48" s="217" t="str">
        <f t="shared" si="57"/>
        <v/>
      </c>
      <c r="BL48" s="229" t="str">
        <f t="shared" si="58"/>
        <v/>
      </c>
      <c r="BM48" s="262" t="str">
        <f t="shared" si="59"/>
        <v/>
      </c>
      <c r="BN48" s="217" t="str">
        <f t="shared" si="60"/>
        <v/>
      </c>
      <c r="BO48" s="229" t="str">
        <f t="shared" si="61"/>
        <v/>
      </c>
      <c r="BP48" s="262" t="str">
        <f t="shared" si="62"/>
        <v/>
      </c>
      <c r="BQ48" s="217" t="str">
        <f t="shared" si="63"/>
        <v/>
      </c>
      <c r="BR48" s="229" t="str">
        <f t="shared" si="64"/>
        <v/>
      </c>
      <c r="BS48" s="262" t="str">
        <f t="shared" si="65"/>
        <v/>
      </c>
      <c r="BT48" s="217" t="str">
        <f t="shared" si="66"/>
        <v/>
      </c>
      <c r="BU48" s="229" t="str">
        <f t="shared" si="67"/>
        <v/>
      </c>
      <c r="BV48" s="262" t="str">
        <f t="shared" si="68"/>
        <v/>
      </c>
      <c r="BW48" s="217" t="str">
        <f t="shared" si="69"/>
        <v/>
      </c>
      <c r="BX48" s="229" t="str">
        <f t="shared" si="70"/>
        <v/>
      </c>
      <c r="BY48" s="262" t="str">
        <f t="shared" si="71"/>
        <v/>
      </c>
      <c r="BZ48" s="217" t="str">
        <f t="shared" si="72"/>
        <v/>
      </c>
      <c r="CA48" s="229" t="str">
        <f t="shared" si="73"/>
        <v/>
      </c>
      <c r="CB48" s="262" t="str">
        <f t="shared" si="74"/>
        <v/>
      </c>
      <c r="CC48" s="217" t="str">
        <f t="shared" si="75"/>
        <v/>
      </c>
      <c r="CD48" s="229" t="str">
        <f t="shared" si="76"/>
        <v/>
      </c>
    </row>
    <row r="49" spans="1:82" x14ac:dyDescent="0.25">
      <c r="A49" s="260" t="str">
        <f t="shared" si="45"/>
        <v>#37:</v>
      </c>
      <c r="B49" s="145">
        <v>9</v>
      </c>
      <c r="C49" s="145">
        <v>18</v>
      </c>
      <c r="D49" s="260" t="str">
        <f t="shared" si="46"/>
        <v/>
      </c>
      <c r="E49" s="145"/>
      <c r="F49" s="145"/>
      <c r="G49" s="260" t="str">
        <f t="shared" si="47"/>
        <v/>
      </c>
      <c r="H49" s="145"/>
      <c r="I49" s="145"/>
      <c r="J49" s="261" t="str">
        <f t="shared" si="48"/>
        <v/>
      </c>
      <c r="K49" s="145"/>
      <c r="L49" s="145"/>
      <c r="M49" s="260" t="str">
        <f t="shared" si="49"/>
        <v/>
      </c>
      <c r="N49" s="145"/>
      <c r="O49" s="145"/>
      <c r="P49" s="260" t="str">
        <f t="shared" si="50"/>
        <v/>
      </c>
      <c r="Q49" s="145"/>
      <c r="R49" s="145"/>
      <c r="S49" s="260" t="str">
        <f t="shared" si="51"/>
        <v/>
      </c>
      <c r="T49" s="145"/>
      <c r="U49" s="145"/>
      <c r="V49" s="260" t="str">
        <f t="shared" si="52"/>
        <v/>
      </c>
      <c r="W49" s="145"/>
      <c r="X49" s="145"/>
      <c r="Y49" s="259"/>
      <c r="Z49" s="2"/>
      <c r="AA49" s="256">
        <v>45</v>
      </c>
      <c r="AB49" s="16" t="str">
        <f t="shared" si="41"/>
        <v/>
      </c>
      <c r="AC49" s="16" t="str">
        <f t="shared" si="42"/>
        <v/>
      </c>
      <c r="AD49" s="16" t="str">
        <f t="shared" si="2"/>
        <v/>
      </c>
      <c r="AE49" s="16" t="str">
        <f t="shared" si="3"/>
        <v/>
      </c>
      <c r="AF49" s="16" t="str">
        <f t="shared" si="4"/>
        <v/>
      </c>
      <c r="AG49" s="17" t="str">
        <f t="shared" si="43"/>
        <v/>
      </c>
      <c r="AH49" s="17" t="str">
        <f t="shared" si="44"/>
        <v/>
      </c>
      <c r="AI49" s="18" t="str">
        <f t="shared" si="7"/>
        <v/>
      </c>
      <c r="AJ49" s="18" t="str">
        <f t="shared" si="8"/>
        <v/>
      </c>
      <c r="AM49" s="2"/>
      <c r="AN49" s="2"/>
      <c r="AO49" s="2"/>
      <c r="AP49" s="2"/>
      <c r="AQ49" s="2"/>
      <c r="AR49" s="2"/>
      <c r="AS49" s="2"/>
      <c r="AT49" s="2"/>
      <c r="AU49" s="2"/>
      <c r="AV49" s="2"/>
      <c r="AW49" s="2"/>
      <c r="AX49" s="2"/>
      <c r="AY49" s="2"/>
      <c r="AZ49" s="2"/>
      <c r="BA49" s="2"/>
      <c r="BB49" s="2"/>
      <c r="BC49" s="2"/>
      <c r="BF49" s="2"/>
      <c r="BG49" s="262" t="str">
        <f t="shared" si="53"/>
        <v>#37:</v>
      </c>
      <c r="BH49" s="217">
        <f t="shared" si="54"/>
        <v>2.7432000000000003</v>
      </c>
      <c r="BI49" s="229">
        <f t="shared" si="55"/>
        <v>5.4864000000000006</v>
      </c>
      <c r="BJ49" s="262" t="str">
        <f t="shared" si="56"/>
        <v/>
      </c>
      <c r="BK49" s="217" t="str">
        <f t="shared" si="57"/>
        <v/>
      </c>
      <c r="BL49" s="229" t="str">
        <f t="shared" si="58"/>
        <v/>
      </c>
      <c r="BM49" s="262" t="str">
        <f t="shared" si="59"/>
        <v/>
      </c>
      <c r="BN49" s="217" t="str">
        <f t="shared" si="60"/>
        <v/>
      </c>
      <c r="BO49" s="229" t="str">
        <f t="shared" si="61"/>
        <v/>
      </c>
      <c r="BP49" s="262" t="str">
        <f t="shared" si="62"/>
        <v/>
      </c>
      <c r="BQ49" s="217" t="str">
        <f t="shared" si="63"/>
        <v/>
      </c>
      <c r="BR49" s="229" t="str">
        <f t="shared" si="64"/>
        <v/>
      </c>
      <c r="BS49" s="262" t="str">
        <f t="shared" si="65"/>
        <v/>
      </c>
      <c r="BT49" s="217" t="str">
        <f t="shared" si="66"/>
        <v/>
      </c>
      <c r="BU49" s="229" t="str">
        <f t="shared" si="67"/>
        <v/>
      </c>
      <c r="BV49" s="262" t="str">
        <f t="shared" si="68"/>
        <v/>
      </c>
      <c r="BW49" s="217" t="str">
        <f t="shared" si="69"/>
        <v/>
      </c>
      <c r="BX49" s="229" t="str">
        <f t="shared" si="70"/>
        <v/>
      </c>
      <c r="BY49" s="262" t="str">
        <f t="shared" si="71"/>
        <v/>
      </c>
      <c r="BZ49" s="217" t="str">
        <f t="shared" si="72"/>
        <v/>
      </c>
      <c r="CA49" s="229" t="str">
        <f t="shared" si="73"/>
        <v/>
      </c>
      <c r="CB49" s="262" t="str">
        <f t="shared" si="74"/>
        <v/>
      </c>
      <c r="CC49" s="217" t="str">
        <f t="shared" si="75"/>
        <v/>
      </c>
      <c r="CD49" s="229" t="str">
        <f t="shared" si="76"/>
        <v/>
      </c>
    </row>
    <row r="50" spans="1:82" x14ac:dyDescent="0.25">
      <c r="A50" s="260" t="str">
        <f t="shared" si="45"/>
        <v>#38:</v>
      </c>
      <c r="B50" s="145">
        <v>9</v>
      </c>
      <c r="C50" s="145">
        <v>21</v>
      </c>
      <c r="D50" s="260" t="str">
        <f t="shared" si="46"/>
        <v/>
      </c>
      <c r="E50" s="145"/>
      <c r="F50" s="145"/>
      <c r="G50" s="260" t="str">
        <f t="shared" si="47"/>
        <v/>
      </c>
      <c r="H50" s="145"/>
      <c r="I50" s="145"/>
      <c r="J50" s="261" t="str">
        <f t="shared" si="48"/>
        <v/>
      </c>
      <c r="K50" s="145"/>
      <c r="L50" s="145"/>
      <c r="M50" s="260" t="str">
        <f t="shared" si="49"/>
        <v/>
      </c>
      <c r="N50" s="145"/>
      <c r="O50" s="145"/>
      <c r="P50" s="260" t="str">
        <f t="shared" si="50"/>
        <v/>
      </c>
      <c r="Q50" s="145"/>
      <c r="R50" s="145"/>
      <c r="S50" s="260" t="str">
        <f t="shared" si="51"/>
        <v/>
      </c>
      <c r="T50" s="145"/>
      <c r="U50" s="145"/>
      <c r="V50" s="260" t="str">
        <f t="shared" si="52"/>
        <v/>
      </c>
      <c r="W50" s="145"/>
      <c r="X50" s="145"/>
      <c r="Y50" s="259"/>
      <c r="Z50" s="2"/>
      <c r="AA50" s="256">
        <v>46</v>
      </c>
      <c r="AB50" s="16" t="str">
        <f t="shared" si="41"/>
        <v/>
      </c>
      <c r="AC50" s="16" t="str">
        <f t="shared" si="42"/>
        <v/>
      </c>
      <c r="AD50" s="16" t="str">
        <f t="shared" si="2"/>
        <v/>
      </c>
      <c r="AE50" s="16" t="str">
        <f t="shared" si="3"/>
        <v/>
      </c>
      <c r="AF50" s="16" t="str">
        <f t="shared" si="4"/>
        <v/>
      </c>
      <c r="AG50" s="17" t="str">
        <f t="shared" si="43"/>
        <v/>
      </c>
      <c r="AH50" s="17" t="str">
        <f t="shared" si="44"/>
        <v/>
      </c>
      <c r="AI50" s="18" t="str">
        <f t="shared" si="7"/>
        <v/>
      </c>
      <c r="AJ50" s="18" t="str">
        <f t="shared" si="8"/>
        <v/>
      </c>
      <c r="AM50" s="2"/>
      <c r="AN50" s="2"/>
      <c r="AO50" s="2"/>
      <c r="AP50" s="2"/>
      <c r="AQ50" s="2"/>
      <c r="AR50" s="2"/>
      <c r="AS50" s="2"/>
      <c r="AT50" s="2"/>
      <c r="AU50" s="2"/>
      <c r="AV50" s="2"/>
      <c r="AW50" s="2"/>
      <c r="AX50" s="2"/>
      <c r="AY50" s="2"/>
      <c r="AZ50" s="2"/>
      <c r="BA50" s="2"/>
      <c r="BB50" s="2"/>
      <c r="BC50" s="2"/>
      <c r="BF50" s="2"/>
      <c r="BG50" s="262" t="str">
        <f t="shared" si="53"/>
        <v>#38:</v>
      </c>
      <c r="BH50" s="217">
        <f t="shared" si="54"/>
        <v>2.7432000000000003</v>
      </c>
      <c r="BI50" s="229">
        <f t="shared" si="55"/>
        <v>6.4008000000000003</v>
      </c>
      <c r="BJ50" s="262" t="str">
        <f t="shared" si="56"/>
        <v/>
      </c>
      <c r="BK50" s="217" t="str">
        <f t="shared" si="57"/>
        <v/>
      </c>
      <c r="BL50" s="229" t="str">
        <f t="shared" si="58"/>
        <v/>
      </c>
      <c r="BM50" s="262" t="str">
        <f t="shared" si="59"/>
        <v/>
      </c>
      <c r="BN50" s="217" t="str">
        <f t="shared" si="60"/>
        <v/>
      </c>
      <c r="BO50" s="229" t="str">
        <f t="shared" si="61"/>
        <v/>
      </c>
      <c r="BP50" s="262" t="str">
        <f t="shared" si="62"/>
        <v/>
      </c>
      <c r="BQ50" s="217" t="str">
        <f t="shared" si="63"/>
        <v/>
      </c>
      <c r="BR50" s="229" t="str">
        <f t="shared" si="64"/>
        <v/>
      </c>
      <c r="BS50" s="262" t="str">
        <f t="shared" si="65"/>
        <v/>
      </c>
      <c r="BT50" s="217" t="str">
        <f t="shared" si="66"/>
        <v/>
      </c>
      <c r="BU50" s="229" t="str">
        <f t="shared" si="67"/>
        <v/>
      </c>
      <c r="BV50" s="262" t="str">
        <f t="shared" si="68"/>
        <v/>
      </c>
      <c r="BW50" s="217" t="str">
        <f t="shared" si="69"/>
        <v/>
      </c>
      <c r="BX50" s="229" t="str">
        <f t="shared" si="70"/>
        <v/>
      </c>
      <c r="BY50" s="262" t="str">
        <f t="shared" si="71"/>
        <v/>
      </c>
      <c r="BZ50" s="217" t="str">
        <f t="shared" si="72"/>
        <v/>
      </c>
      <c r="CA50" s="229" t="str">
        <f t="shared" si="73"/>
        <v/>
      </c>
      <c r="CB50" s="262" t="str">
        <f t="shared" si="74"/>
        <v/>
      </c>
      <c r="CC50" s="217" t="str">
        <f t="shared" si="75"/>
        <v/>
      </c>
      <c r="CD50" s="229" t="str">
        <f t="shared" si="76"/>
        <v/>
      </c>
    </row>
    <row r="51" spans="1:82" x14ac:dyDescent="0.25">
      <c r="A51" s="260" t="str">
        <f t="shared" si="45"/>
        <v>#39:</v>
      </c>
      <c r="B51" s="145">
        <v>9</v>
      </c>
      <c r="C51" s="145">
        <v>24</v>
      </c>
      <c r="D51" s="260" t="str">
        <f t="shared" si="46"/>
        <v/>
      </c>
      <c r="E51" s="145"/>
      <c r="F51" s="145"/>
      <c r="G51" s="260" t="str">
        <f t="shared" si="47"/>
        <v/>
      </c>
      <c r="H51" s="145"/>
      <c r="I51" s="145"/>
      <c r="J51" s="261" t="str">
        <f t="shared" si="48"/>
        <v/>
      </c>
      <c r="K51" s="145"/>
      <c r="L51" s="145"/>
      <c r="M51" s="260" t="str">
        <f t="shared" si="49"/>
        <v/>
      </c>
      <c r="N51" s="145"/>
      <c r="O51" s="145"/>
      <c r="P51" s="260" t="str">
        <f t="shared" si="50"/>
        <v/>
      </c>
      <c r="Q51" s="145"/>
      <c r="R51" s="145"/>
      <c r="S51" s="260" t="str">
        <f t="shared" si="51"/>
        <v/>
      </c>
      <c r="T51" s="145"/>
      <c r="U51" s="145"/>
      <c r="V51" s="260" t="str">
        <f t="shared" si="52"/>
        <v/>
      </c>
      <c r="W51" s="145"/>
      <c r="X51" s="145"/>
      <c r="Y51" s="259"/>
      <c r="Z51" s="2"/>
      <c r="AA51" s="256">
        <v>47</v>
      </c>
      <c r="AB51" s="16" t="str">
        <f t="shared" si="41"/>
        <v/>
      </c>
      <c r="AC51" s="16" t="str">
        <f t="shared" si="42"/>
        <v/>
      </c>
      <c r="AD51" s="16" t="str">
        <f t="shared" si="2"/>
        <v/>
      </c>
      <c r="AE51" s="16" t="str">
        <f t="shared" si="3"/>
        <v/>
      </c>
      <c r="AF51" s="16" t="str">
        <f t="shared" si="4"/>
        <v/>
      </c>
      <c r="AG51" s="17" t="str">
        <f t="shared" si="43"/>
        <v/>
      </c>
      <c r="AH51" s="17" t="str">
        <f t="shared" si="44"/>
        <v/>
      </c>
      <c r="AI51" s="18" t="str">
        <f t="shared" si="7"/>
        <v/>
      </c>
      <c r="AJ51" s="18" t="str">
        <f t="shared" si="8"/>
        <v/>
      </c>
      <c r="AM51" s="2"/>
      <c r="AN51" s="2"/>
      <c r="AO51" s="2"/>
      <c r="AP51" s="2"/>
      <c r="AQ51" s="2"/>
      <c r="AR51" s="2"/>
      <c r="AS51" s="2"/>
      <c r="AT51" s="2"/>
      <c r="AU51" s="2"/>
      <c r="AV51" s="2"/>
      <c r="AW51" s="2"/>
      <c r="AX51" s="2"/>
      <c r="AY51" s="2"/>
      <c r="AZ51" s="2"/>
      <c r="BA51" s="2"/>
      <c r="BB51" s="2"/>
      <c r="BC51" s="2"/>
      <c r="BF51" s="2"/>
      <c r="BG51" s="262" t="str">
        <f t="shared" si="53"/>
        <v>#39:</v>
      </c>
      <c r="BH51" s="217">
        <f t="shared" si="54"/>
        <v>2.7432000000000003</v>
      </c>
      <c r="BI51" s="229">
        <f t="shared" si="55"/>
        <v>7.3152000000000008</v>
      </c>
      <c r="BJ51" s="262" t="str">
        <f t="shared" si="56"/>
        <v/>
      </c>
      <c r="BK51" s="217" t="str">
        <f t="shared" si="57"/>
        <v/>
      </c>
      <c r="BL51" s="229" t="str">
        <f t="shared" si="58"/>
        <v/>
      </c>
      <c r="BM51" s="262" t="str">
        <f t="shared" si="59"/>
        <v/>
      </c>
      <c r="BN51" s="217" t="str">
        <f t="shared" si="60"/>
        <v/>
      </c>
      <c r="BO51" s="229" t="str">
        <f t="shared" si="61"/>
        <v/>
      </c>
      <c r="BP51" s="262" t="str">
        <f t="shared" si="62"/>
        <v/>
      </c>
      <c r="BQ51" s="217" t="str">
        <f t="shared" si="63"/>
        <v/>
      </c>
      <c r="BR51" s="229" t="str">
        <f t="shared" si="64"/>
        <v/>
      </c>
      <c r="BS51" s="262" t="str">
        <f t="shared" si="65"/>
        <v/>
      </c>
      <c r="BT51" s="217" t="str">
        <f t="shared" si="66"/>
        <v/>
      </c>
      <c r="BU51" s="229" t="str">
        <f t="shared" si="67"/>
        <v/>
      </c>
      <c r="BV51" s="262" t="str">
        <f t="shared" si="68"/>
        <v/>
      </c>
      <c r="BW51" s="217" t="str">
        <f t="shared" si="69"/>
        <v/>
      </c>
      <c r="BX51" s="229" t="str">
        <f t="shared" si="70"/>
        <v/>
      </c>
      <c r="BY51" s="262" t="str">
        <f t="shared" si="71"/>
        <v/>
      </c>
      <c r="BZ51" s="217" t="str">
        <f t="shared" si="72"/>
        <v/>
      </c>
      <c r="CA51" s="229" t="str">
        <f t="shared" si="73"/>
        <v/>
      </c>
      <c r="CB51" s="262" t="str">
        <f t="shared" si="74"/>
        <v/>
      </c>
      <c r="CC51" s="217" t="str">
        <f t="shared" si="75"/>
        <v/>
      </c>
      <c r="CD51" s="229" t="str">
        <f t="shared" si="76"/>
        <v/>
      </c>
    </row>
    <row r="52" spans="1:82" x14ac:dyDescent="0.25">
      <c r="A52" s="260" t="str">
        <f t="shared" si="45"/>
        <v>#40:</v>
      </c>
      <c r="B52" s="145">
        <v>9</v>
      </c>
      <c r="C52" s="145">
        <v>27</v>
      </c>
      <c r="D52" s="260" t="str">
        <f t="shared" si="46"/>
        <v/>
      </c>
      <c r="E52" s="145"/>
      <c r="F52" s="145"/>
      <c r="G52" s="260" t="str">
        <f t="shared" si="47"/>
        <v/>
      </c>
      <c r="H52" s="145"/>
      <c r="I52" s="145"/>
      <c r="J52" s="261" t="str">
        <f t="shared" si="48"/>
        <v/>
      </c>
      <c r="K52" s="145"/>
      <c r="L52" s="145"/>
      <c r="M52" s="260" t="str">
        <f t="shared" si="49"/>
        <v/>
      </c>
      <c r="N52" s="145"/>
      <c r="O52" s="145"/>
      <c r="P52" s="260" t="str">
        <f t="shared" si="50"/>
        <v/>
      </c>
      <c r="Q52" s="145"/>
      <c r="R52" s="145"/>
      <c r="S52" s="260" t="str">
        <f t="shared" si="51"/>
        <v/>
      </c>
      <c r="T52" s="145"/>
      <c r="U52" s="145"/>
      <c r="V52" s="260" t="str">
        <f t="shared" si="52"/>
        <v/>
      </c>
      <c r="W52" s="145"/>
      <c r="X52" s="145"/>
      <c r="Y52" s="259"/>
      <c r="Z52" s="2"/>
      <c r="AA52" s="256">
        <v>48</v>
      </c>
      <c r="AB52" s="16" t="str">
        <f t="shared" si="41"/>
        <v/>
      </c>
      <c r="AC52" s="16" t="str">
        <f t="shared" si="42"/>
        <v/>
      </c>
      <c r="AD52" s="16" t="str">
        <f t="shared" si="2"/>
        <v/>
      </c>
      <c r="AE52" s="16" t="str">
        <f t="shared" si="3"/>
        <v/>
      </c>
      <c r="AF52" s="16" t="str">
        <f t="shared" si="4"/>
        <v/>
      </c>
      <c r="AG52" s="17" t="str">
        <f t="shared" si="43"/>
        <v/>
      </c>
      <c r="AH52" s="17" t="str">
        <f t="shared" si="44"/>
        <v/>
      </c>
      <c r="AI52" s="18" t="str">
        <f t="shared" si="7"/>
        <v/>
      </c>
      <c r="AJ52" s="18" t="str">
        <f t="shared" si="8"/>
        <v/>
      </c>
      <c r="AM52" s="2"/>
      <c r="AN52" s="2"/>
      <c r="AO52" s="2"/>
      <c r="AP52" s="2"/>
      <c r="AQ52" s="2"/>
      <c r="AR52" s="2"/>
      <c r="AS52" s="2"/>
      <c r="AT52" s="2"/>
      <c r="AU52" s="2"/>
      <c r="AV52" s="2"/>
      <c r="AW52" s="2"/>
      <c r="AX52" s="2"/>
      <c r="AY52" s="2"/>
      <c r="AZ52" s="2"/>
      <c r="BA52" s="2"/>
      <c r="BB52" s="2"/>
      <c r="BC52" s="2"/>
      <c r="BF52" s="2"/>
      <c r="BG52" s="262" t="str">
        <f t="shared" si="53"/>
        <v>#40:</v>
      </c>
      <c r="BH52" s="217">
        <f t="shared" si="54"/>
        <v>2.7432000000000003</v>
      </c>
      <c r="BI52" s="229">
        <f t="shared" si="55"/>
        <v>8.2295999999999996</v>
      </c>
      <c r="BJ52" s="262" t="str">
        <f t="shared" si="56"/>
        <v/>
      </c>
      <c r="BK52" s="217" t="str">
        <f t="shared" si="57"/>
        <v/>
      </c>
      <c r="BL52" s="229" t="str">
        <f t="shared" si="58"/>
        <v/>
      </c>
      <c r="BM52" s="262" t="str">
        <f t="shared" si="59"/>
        <v/>
      </c>
      <c r="BN52" s="217" t="str">
        <f t="shared" si="60"/>
        <v/>
      </c>
      <c r="BO52" s="229" t="str">
        <f t="shared" si="61"/>
        <v/>
      </c>
      <c r="BP52" s="262" t="str">
        <f t="shared" si="62"/>
        <v/>
      </c>
      <c r="BQ52" s="217" t="str">
        <f t="shared" si="63"/>
        <v/>
      </c>
      <c r="BR52" s="229" t="str">
        <f t="shared" si="64"/>
        <v/>
      </c>
      <c r="BS52" s="262" t="str">
        <f t="shared" si="65"/>
        <v/>
      </c>
      <c r="BT52" s="217" t="str">
        <f t="shared" si="66"/>
        <v/>
      </c>
      <c r="BU52" s="229" t="str">
        <f t="shared" si="67"/>
        <v/>
      </c>
      <c r="BV52" s="262" t="str">
        <f t="shared" si="68"/>
        <v/>
      </c>
      <c r="BW52" s="217" t="str">
        <f t="shared" si="69"/>
        <v/>
      </c>
      <c r="BX52" s="229" t="str">
        <f t="shared" si="70"/>
        <v/>
      </c>
      <c r="BY52" s="262" t="str">
        <f t="shared" si="71"/>
        <v/>
      </c>
      <c r="BZ52" s="217" t="str">
        <f t="shared" si="72"/>
        <v/>
      </c>
      <c r="CA52" s="229" t="str">
        <f t="shared" si="73"/>
        <v/>
      </c>
      <c r="CB52" s="262" t="str">
        <f t="shared" si="74"/>
        <v/>
      </c>
      <c r="CC52" s="217" t="str">
        <f t="shared" si="75"/>
        <v/>
      </c>
      <c r="CD52" s="229" t="str">
        <f t="shared" si="76"/>
        <v/>
      </c>
    </row>
    <row r="53" spans="1:82" x14ac:dyDescent="0.25">
      <c r="A53" s="260" t="str">
        <f t="shared" si="45"/>
        <v/>
      </c>
      <c r="B53" s="145"/>
      <c r="C53" s="145"/>
      <c r="D53" s="260" t="str">
        <f t="shared" si="46"/>
        <v/>
      </c>
      <c r="E53" s="145"/>
      <c r="F53" s="145"/>
      <c r="G53" s="260" t="str">
        <f t="shared" si="47"/>
        <v/>
      </c>
      <c r="H53" s="145"/>
      <c r="I53" s="145"/>
      <c r="J53" s="261" t="str">
        <f t="shared" si="48"/>
        <v/>
      </c>
      <c r="K53" s="145"/>
      <c r="L53" s="145"/>
      <c r="M53" s="260" t="str">
        <f t="shared" si="49"/>
        <v/>
      </c>
      <c r="N53" s="145"/>
      <c r="O53" s="145"/>
      <c r="P53" s="260" t="str">
        <f t="shared" si="50"/>
        <v/>
      </c>
      <c r="Q53" s="145"/>
      <c r="R53" s="145"/>
      <c r="S53" s="260" t="str">
        <f t="shared" si="51"/>
        <v/>
      </c>
      <c r="T53" s="145"/>
      <c r="U53" s="145"/>
      <c r="V53" s="260" t="str">
        <f t="shared" si="52"/>
        <v/>
      </c>
      <c r="W53" s="145"/>
      <c r="X53" s="145"/>
      <c r="Y53" s="259"/>
      <c r="Z53" s="2"/>
      <c r="AA53" s="256">
        <v>49</v>
      </c>
      <c r="AB53" s="16" t="str">
        <f t="shared" si="41"/>
        <v/>
      </c>
      <c r="AC53" s="16" t="str">
        <f t="shared" si="42"/>
        <v/>
      </c>
      <c r="AD53" s="16" t="str">
        <f t="shared" si="2"/>
        <v/>
      </c>
      <c r="AE53" s="16" t="str">
        <f t="shared" si="3"/>
        <v/>
      </c>
      <c r="AF53" s="16" t="str">
        <f t="shared" si="4"/>
        <v/>
      </c>
      <c r="AG53" s="17" t="str">
        <f t="shared" si="43"/>
        <v/>
      </c>
      <c r="AH53" s="17" t="str">
        <f t="shared" si="44"/>
        <v/>
      </c>
      <c r="AI53" s="18" t="str">
        <f t="shared" si="7"/>
        <v/>
      </c>
      <c r="AJ53" s="18" t="str">
        <f t="shared" si="8"/>
        <v/>
      </c>
      <c r="AM53" s="2"/>
      <c r="AN53" s="2"/>
      <c r="AO53" s="2"/>
      <c r="AP53" s="2"/>
      <c r="AQ53" s="2"/>
      <c r="AR53" s="2"/>
      <c r="AS53" s="2"/>
      <c r="AT53" s="2"/>
      <c r="AU53" s="2"/>
      <c r="AV53" s="2"/>
      <c r="AW53" s="2"/>
      <c r="AX53" s="2"/>
      <c r="AY53" s="2"/>
      <c r="AZ53" s="2"/>
      <c r="BA53" s="2"/>
      <c r="BB53" s="2"/>
      <c r="BC53" s="2"/>
      <c r="BF53" s="2"/>
      <c r="BG53" s="262" t="str">
        <f t="shared" si="53"/>
        <v/>
      </c>
      <c r="BH53" s="217" t="str">
        <f t="shared" si="54"/>
        <v/>
      </c>
      <c r="BI53" s="229" t="str">
        <f t="shared" si="55"/>
        <v/>
      </c>
      <c r="BJ53" s="262" t="str">
        <f t="shared" si="56"/>
        <v/>
      </c>
      <c r="BK53" s="217" t="str">
        <f t="shared" si="57"/>
        <v/>
      </c>
      <c r="BL53" s="229" t="str">
        <f t="shared" si="58"/>
        <v/>
      </c>
      <c r="BM53" s="262" t="str">
        <f t="shared" si="59"/>
        <v/>
      </c>
      <c r="BN53" s="217" t="str">
        <f t="shared" si="60"/>
        <v/>
      </c>
      <c r="BO53" s="229" t="str">
        <f t="shared" si="61"/>
        <v/>
      </c>
      <c r="BP53" s="262" t="str">
        <f t="shared" si="62"/>
        <v/>
      </c>
      <c r="BQ53" s="217" t="str">
        <f t="shared" si="63"/>
        <v/>
      </c>
      <c r="BR53" s="229" t="str">
        <f t="shared" si="64"/>
        <v/>
      </c>
      <c r="BS53" s="262" t="str">
        <f t="shared" si="65"/>
        <v/>
      </c>
      <c r="BT53" s="217" t="str">
        <f t="shared" si="66"/>
        <v/>
      </c>
      <c r="BU53" s="229" t="str">
        <f t="shared" si="67"/>
        <v/>
      </c>
      <c r="BV53" s="262" t="str">
        <f t="shared" si="68"/>
        <v/>
      </c>
      <c r="BW53" s="217" t="str">
        <f t="shared" si="69"/>
        <v/>
      </c>
      <c r="BX53" s="229" t="str">
        <f t="shared" si="70"/>
        <v/>
      </c>
      <c r="BY53" s="262" t="str">
        <f t="shared" si="71"/>
        <v/>
      </c>
      <c r="BZ53" s="217" t="str">
        <f t="shared" si="72"/>
        <v/>
      </c>
      <c r="CA53" s="229" t="str">
        <f t="shared" si="73"/>
        <v/>
      </c>
      <c r="CB53" s="262" t="str">
        <f t="shared" si="74"/>
        <v/>
      </c>
      <c r="CC53" s="217" t="str">
        <f t="shared" si="75"/>
        <v/>
      </c>
      <c r="CD53" s="229" t="str">
        <f t="shared" si="76"/>
        <v/>
      </c>
    </row>
    <row r="54" spans="1:82" x14ac:dyDescent="0.25">
      <c r="A54" s="260" t="str">
        <f t="shared" si="45"/>
        <v/>
      </c>
      <c r="B54" s="145"/>
      <c r="C54" s="145"/>
      <c r="D54" s="260" t="str">
        <f t="shared" si="46"/>
        <v/>
      </c>
      <c r="E54" s="145"/>
      <c r="F54" s="145"/>
      <c r="G54" s="260" t="str">
        <f t="shared" si="47"/>
        <v/>
      </c>
      <c r="H54" s="145"/>
      <c r="I54" s="145"/>
      <c r="J54" s="261" t="str">
        <f t="shared" si="48"/>
        <v/>
      </c>
      <c r="K54" s="145"/>
      <c r="L54" s="145"/>
      <c r="M54" s="260" t="str">
        <f t="shared" si="49"/>
        <v/>
      </c>
      <c r="N54" s="145"/>
      <c r="O54" s="145"/>
      <c r="P54" s="260" t="str">
        <f t="shared" si="50"/>
        <v/>
      </c>
      <c r="Q54" s="145"/>
      <c r="R54" s="145"/>
      <c r="S54" s="260" t="str">
        <f t="shared" si="51"/>
        <v/>
      </c>
      <c r="T54" s="145"/>
      <c r="U54" s="145"/>
      <c r="V54" s="260" t="str">
        <f t="shared" si="52"/>
        <v/>
      </c>
      <c r="W54" s="145"/>
      <c r="X54" s="145"/>
      <c r="Y54" s="259"/>
      <c r="Z54" s="2"/>
      <c r="AA54" s="256">
        <v>50</v>
      </c>
      <c r="AB54" s="16" t="str">
        <f t="shared" si="41"/>
        <v/>
      </c>
      <c r="AC54" s="16" t="str">
        <f t="shared" si="42"/>
        <v/>
      </c>
      <c r="AD54" s="16" t="str">
        <f t="shared" si="2"/>
        <v/>
      </c>
      <c r="AE54" s="16" t="str">
        <f t="shared" si="3"/>
        <v/>
      </c>
      <c r="AF54" s="16" t="str">
        <f t="shared" si="4"/>
        <v/>
      </c>
      <c r="AG54" s="17" t="str">
        <f t="shared" si="43"/>
        <v/>
      </c>
      <c r="AH54" s="17" t="str">
        <f t="shared" si="44"/>
        <v/>
      </c>
      <c r="AI54" s="18" t="str">
        <f t="shared" si="7"/>
        <v/>
      </c>
      <c r="AJ54" s="18" t="str">
        <f t="shared" si="8"/>
        <v/>
      </c>
      <c r="AM54" s="2"/>
      <c r="AN54" s="2"/>
      <c r="AO54" s="2"/>
      <c r="AP54" s="2"/>
      <c r="AQ54" s="2"/>
      <c r="AR54" s="2"/>
      <c r="AS54" s="2"/>
      <c r="AT54" s="2"/>
      <c r="AU54" s="2"/>
      <c r="AV54" s="2"/>
      <c r="AW54" s="2"/>
      <c r="AX54" s="2"/>
      <c r="AY54" s="2"/>
      <c r="AZ54" s="2"/>
      <c r="BA54" s="2"/>
      <c r="BB54" s="2"/>
      <c r="BC54" s="2"/>
      <c r="BF54" s="2"/>
      <c r="BG54" s="262" t="str">
        <f t="shared" si="53"/>
        <v/>
      </c>
      <c r="BH54" s="217" t="str">
        <f t="shared" si="54"/>
        <v/>
      </c>
      <c r="BI54" s="229" t="str">
        <f t="shared" si="55"/>
        <v/>
      </c>
      <c r="BJ54" s="262" t="str">
        <f t="shared" si="56"/>
        <v/>
      </c>
      <c r="BK54" s="217" t="str">
        <f t="shared" si="57"/>
        <v/>
      </c>
      <c r="BL54" s="229" t="str">
        <f t="shared" si="58"/>
        <v/>
      </c>
      <c r="BM54" s="262" t="str">
        <f t="shared" si="59"/>
        <v/>
      </c>
      <c r="BN54" s="217" t="str">
        <f t="shared" si="60"/>
        <v/>
      </c>
      <c r="BO54" s="229" t="str">
        <f t="shared" si="61"/>
        <v/>
      </c>
      <c r="BP54" s="262" t="str">
        <f t="shared" si="62"/>
        <v/>
      </c>
      <c r="BQ54" s="217" t="str">
        <f t="shared" si="63"/>
        <v/>
      </c>
      <c r="BR54" s="229" t="str">
        <f t="shared" si="64"/>
        <v/>
      </c>
      <c r="BS54" s="262" t="str">
        <f t="shared" si="65"/>
        <v/>
      </c>
      <c r="BT54" s="217" t="str">
        <f t="shared" si="66"/>
        <v/>
      </c>
      <c r="BU54" s="229" t="str">
        <f t="shared" si="67"/>
        <v/>
      </c>
      <c r="BV54" s="262" t="str">
        <f t="shared" si="68"/>
        <v/>
      </c>
      <c r="BW54" s="217" t="str">
        <f t="shared" si="69"/>
        <v/>
      </c>
      <c r="BX54" s="229" t="str">
        <f t="shared" si="70"/>
        <v/>
      </c>
      <c r="BY54" s="262" t="str">
        <f t="shared" si="71"/>
        <v/>
      </c>
      <c r="BZ54" s="217" t="str">
        <f t="shared" si="72"/>
        <v/>
      </c>
      <c r="CA54" s="229" t="str">
        <f t="shared" si="73"/>
        <v/>
      </c>
      <c r="CB54" s="262" t="str">
        <f t="shared" si="74"/>
        <v/>
      </c>
      <c r="CC54" s="217" t="str">
        <f t="shared" si="75"/>
        <v/>
      </c>
      <c r="CD54" s="229" t="str">
        <f t="shared" si="76"/>
        <v/>
      </c>
    </row>
    <row r="55" spans="1:82" x14ac:dyDescent="0.25">
      <c r="A55" s="260" t="str">
        <f t="shared" si="45"/>
        <v/>
      </c>
      <c r="B55" s="145"/>
      <c r="C55" s="145"/>
      <c r="D55" s="260" t="str">
        <f t="shared" si="46"/>
        <v/>
      </c>
      <c r="E55" s="145"/>
      <c r="F55" s="145"/>
      <c r="G55" s="260" t="str">
        <f t="shared" si="47"/>
        <v/>
      </c>
      <c r="H55" s="145"/>
      <c r="I55" s="145"/>
      <c r="J55" s="261" t="str">
        <f t="shared" si="48"/>
        <v/>
      </c>
      <c r="K55" s="145"/>
      <c r="L55" s="145"/>
      <c r="M55" s="260" t="str">
        <f t="shared" si="49"/>
        <v/>
      </c>
      <c r="N55" s="145"/>
      <c r="O55" s="145"/>
      <c r="P55" s="260" t="str">
        <f t="shared" si="50"/>
        <v/>
      </c>
      <c r="Q55" s="145"/>
      <c r="R55" s="145"/>
      <c r="S55" s="260" t="str">
        <f t="shared" si="51"/>
        <v/>
      </c>
      <c r="T55" s="145"/>
      <c r="U55" s="145"/>
      <c r="V55" s="260" t="str">
        <f t="shared" si="52"/>
        <v/>
      </c>
      <c r="W55" s="145"/>
      <c r="X55" s="145"/>
      <c r="Y55" s="259"/>
      <c r="Z55" s="2"/>
      <c r="AA55" s="256">
        <v>51</v>
      </c>
      <c r="AB55" s="16" t="str">
        <f t="shared" ref="AB55:AB86" si="77">IF($C$9&gt;=$AA55,$F13+0.000001-$AB$410,"")</f>
        <v/>
      </c>
      <c r="AC55" s="16" t="str">
        <f t="shared" ref="AC55:AC86" si="78">IF($C$9&gt;=$AA55,$E13+0.000001-$AB$409,"")</f>
        <v/>
      </c>
      <c r="AD55" s="16" t="str">
        <f t="shared" si="2"/>
        <v/>
      </c>
      <c r="AE55" s="16" t="str">
        <f t="shared" si="3"/>
        <v/>
      </c>
      <c r="AF55" s="16" t="str">
        <f t="shared" si="4"/>
        <v/>
      </c>
      <c r="AG55" s="17" t="str">
        <f t="shared" ref="AG55:AG86" si="79">IF($C$9&gt;=$AA55,$E13-$AB$409,"")</f>
        <v/>
      </c>
      <c r="AH55" s="17" t="str">
        <f t="shared" ref="AH55:AH86" si="80">IF($C$9&gt;=$AA55,$F13-$AB$410,"")</f>
        <v/>
      </c>
      <c r="AI55" s="18" t="str">
        <f t="shared" si="7"/>
        <v/>
      </c>
      <c r="AJ55" s="18" t="str">
        <f t="shared" si="8"/>
        <v/>
      </c>
      <c r="AM55" s="2"/>
      <c r="AN55" s="2"/>
      <c r="AO55" s="2"/>
      <c r="AP55" s="2"/>
      <c r="AQ55" s="2"/>
      <c r="AR55" s="2"/>
      <c r="AS55" s="2"/>
      <c r="AT55" s="2"/>
      <c r="AU55" s="2"/>
      <c r="AV55" s="2"/>
      <c r="AW55" s="2"/>
      <c r="AX55" s="2"/>
      <c r="AY55" s="2"/>
      <c r="AZ55" s="2"/>
      <c r="BA55" s="2"/>
      <c r="BB55" s="2"/>
      <c r="BC55" s="2"/>
      <c r="BF55" s="2"/>
      <c r="BG55" s="262" t="str">
        <f t="shared" si="53"/>
        <v/>
      </c>
      <c r="BH55" s="217" t="str">
        <f t="shared" si="54"/>
        <v/>
      </c>
      <c r="BI55" s="229" t="str">
        <f t="shared" si="55"/>
        <v/>
      </c>
      <c r="BJ55" s="262" t="str">
        <f t="shared" si="56"/>
        <v/>
      </c>
      <c r="BK55" s="217" t="str">
        <f t="shared" si="57"/>
        <v/>
      </c>
      <c r="BL55" s="229" t="str">
        <f t="shared" si="58"/>
        <v/>
      </c>
      <c r="BM55" s="262" t="str">
        <f t="shared" si="59"/>
        <v/>
      </c>
      <c r="BN55" s="217" t="str">
        <f t="shared" si="60"/>
        <v/>
      </c>
      <c r="BO55" s="229" t="str">
        <f t="shared" si="61"/>
        <v/>
      </c>
      <c r="BP55" s="262" t="str">
        <f t="shared" si="62"/>
        <v/>
      </c>
      <c r="BQ55" s="217" t="str">
        <f t="shared" si="63"/>
        <v/>
      </c>
      <c r="BR55" s="229" t="str">
        <f t="shared" si="64"/>
        <v/>
      </c>
      <c r="BS55" s="262" t="str">
        <f t="shared" si="65"/>
        <v/>
      </c>
      <c r="BT55" s="217" t="str">
        <f t="shared" si="66"/>
        <v/>
      </c>
      <c r="BU55" s="229" t="str">
        <f t="shared" si="67"/>
        <v/>
      </c>
      <c r="BV55" s="262" t="str">
        <f t="shared" si="68"/>
        <v/>
      </c>
      <c r="BW55" s="217" t="str">
        <f t="shared" si="69"/>
        <v/>
      </c>
      <c r="BX55" s="229" t="str">
        <f t="shared" si="70"/>
        <v/>
      </c>
      <c r="BY55" s="262" t="str">
        <f t="shared" si="71"/>
        <v/>
      </c>
      <c r="BZ55" s="217" t="str">
        <f t="shared" si="72"/>
        <v/>
      </c>
      <c r="CA55" s="229" t="str">
        <f t="shared" si="73"/>
        <v/>
      </c>
      <c r="CB55" s="262" t="str">
        <f t="shared" si="74"/>
        <v/>
      </c>
      <c r="CC55" s="217" t="str">
        <f t="shared" si="75"/>
        <v/>
      </c>
      <c r="CD55" s="229" t="str">
        <f t="shared" si="76"/>
        <v/>
      </c>
    </row>
    <row r="56" spans="1:82" x14ac:dyDescent="0.25">
      <c r="A56" s="260" t="str">
        <f t="shared" si="45"/>
        <v/>
      </c>
      <c r="B56" s="145"/>
      <c r="C56" s="145"/>
      <c r="D56" s="260" t="str">
        <f t="shared" si="46"/>
        <v/>
      </c>
      <c r="E56" s="145"/>
      <c r="F56" s="145"/>
      <c r="G56" s="260" t="str">
        <f t="shared" si="47"/>
        <v/>
      </c>
      <c r="H56" s="145"/>
      <c r="I56" s="145"/>
      <c r="J56" s="261" t="str">
        <f t="shared" si="48"/>
        <v/>
      </c>
      <c r="K56" s="145"/>
      <c r="L56" s="145"/>
      <c r="M56" s="260" t="str">
        <f t="shared" si="49"/>
        <v/>
      </c>
      <c r="N56" s="145"/>
      <c r="O56" s="145"/>
      <c r="P56" s="260" t="str">
        <f t="shared" si="50"/>
        <v/>
      </c>
      <c r="Q56" s="145"/>
      <c r="R56" s="145"/>
      <c r="S56" s="260" t="str">
        <f t="shared" si="51"/>
        <v/>
      </c>
      <c r="T56" s="145"/>
      <c r="U56" s="145"/>
      <c r="V56" s="260" t="str">
        <f t="shared" si="52"/>
        <v/>
      </c>
      <c r="W56" s="145"/>
      <c r="X56" s="145"/>
      <c r="Y56" s="259"/>
      <c r="Z56" s="2"/>
      <c r="AA56" s="256">
        <v>52</v>
      </c>
      <c r="AB56" s="16" t="str">
        <f t="shared" si="77"/>
        <v/>
      </c>
      <c r="AC56" s="16" t="str">
        <f t="shared" si="78"/>
        <v/>
      </c>
      <c r="AD56" s="16" t="str">
        <f t="shared" si="2"/>
        <v/>
      </c>
      <c r="AE56" s="16" t="str">
        <f t="shared" si="3"/>
        <v/>
      </c>
      <c r="AF56" s="16" t="str">
        <f t="shared" si="4"/>
        <v/>
      </c>
      <c r="AG56" s="17" t="str">
        <f t="shared" si="79"/>
        <v/>
      </c>
      <c r="AH56" s="17" t="str">
        <f t="shared" si="80"/>
        <v/>
      </c>
      <c r="AI56" s="18" t="str">
        <f t="shared" si="7"/>
        <v/>
      </c>
      <c r="AJ56" s="18" t="str">
        <f t="shared" si="8"/>
        <v/>
      </c>
      <c r="AM56" s="2"/>
      <c r="AN56" s="2"/>
      <c r="AO56" s="2"/>
      <c r="AP56" s="2"/>
      <c r="AQ56" s="2"/>
      <c r="AR56" s="2"/>
      <c r="AS56" s="2"/>
      <c r="AT56" s="2"/>
      <c r="AU56" s="2"/>
      <c r="AV56" s="2"/>
      <c r="AW56" s="2"/>
      <c r="AX56" s="2"/>
      <c r="AY56" s="2"/>
      <c r="AZ56" s="2"/>
      <c r="BA56" s="2"/>
      <c r="BB56" s="2"/>
      <c r="BC56" s="2"/>
      <c r="BF56" s="2"/>
      <c r="BG56" s="262" t="str">
        <f t="shared" si="53"/>
        <v/>
      </c>
      <c r="BH56" s="217" t="str">
        <f t="shared" si="54"/>
        <v/>
      </c>
      <c r="BI56" s="229" t="str">
        <f t="shared" si="55"/>
        <v/>
      </c>
      <c r="BJ56" s="262" t="str">
        <f t="shared" si="56"/>
        <v/>
      </c>
      <c r="BK56" s="217" t="str">
        <f t="shared" si="57"/>
        <v/>
      </c>
      <c r="BL56" s="229" t="str">
        <f t="shared" si="58"/>
        <v/>
      </c>
      <c r="BM56" s="262" t="str">
        <f t="shared" si="59"/>
        <v/>
      </c>
      <c r="BN56" s="217" t="str">
        <f t="shared" si="60"/>
        <v/>
      </c>
      <c r="BO56" s="229" t="str">
        <f t="shared" si="61"/>
        <v/>
      </c>
      <c r="BP56" s="262" t="str">
        <f t="shared" si="62"/>
        <v/>
      </c>
      <c r="BQ56" s="217" t="str">
        <f t="shared" si="63"/>
        <v/>
      </c>
      <c r="BR56" s="229" t="str">
        <f t="shared" si="64"/>
        <v/>
      </c>
      <c r="BS56" s="262" t="str">
        <f t="shared" si="65"/>
        <v/>
      </c>
      <c r="BT56" s="217" t="str">
        <f t="shared" si="66"/>
        <v/>
      </c>
      <c r="BU56" s="229" t="str">
        <f t="shared" si="67"/>
        <v/>
      </c>
      <c r="BV56" s="262" t="str">
        <f t="shared" si="68"/>
        <v/>
      </c>
      <c r="BW56" s="217" t="str">
        <f t="shared" si="69"/>
        <v/>
      </c>
      <c r="BX56" s="229" t="str">
        <f t="shared" si="70"/>
        <v/>
      </c>
      <c r="BY56" s="262" t="str">
        <f t="shared" si="71"/>
        <v/>
      </c>
      <c r="BZ56" s="217" t="str">
        <f t="shared" si="72"/>
        <v/>
      </c>
      <c r="CA56" s="229" t="str">
        <f t="shared" si="73"/>
        <v/>
      </c>
      <c r="CB56" s="262" t="str">
        <f t="shared" si="74"/>
        <v/>
      </c>
      <c r="CC56" s="217" t="str">
        <f t="shared" si="75"/>
        <v/>
      </c>
      <c r="CD56" s="229" t="str">
        <f t="shared" si="76"/>
        <v/>
      </c>
    </row>
    <row r="57" spans="1:82" x14ac:dyDescent="0.25">
      <c r="A57" s="260" t="str">
        <f t="shared" si="45"/>
        <v/>
      </c>
      <c r="B57" s="145"/>
      <c r="C57" s="145"/>
      <c r="D57" s="260" t="str">
        <f t="shared" si="46"/>
        <v/>
      </c>
      <c r="E57" s="145"/>
      <c r="F57" s="145"/>
      <c r="G57" s="260" t="str">
        <f t="shared" si="47"/>
        <v/>
      </c>
      <c r="H57" s="145"/>
      <c r="I57" s="145"/>
      <c r="J57" s="261" t="str">
        <f t="shared" si="48"/>
        <v/>
      </c>
      <c r="K57" s="145"/>
      <c r="L57" s="145"/>
      <c r="M57" s="260" t="str">
        <f t="shared" si="49"/>
        <v/>
      </c>
      <c r="N57" s="145"/>
      <c r="O57" s="145"/>
      <c r="P57" s="260" t="str">
        <f t="shared" si="50"/>
        <v/>
      </c>
      <c r="Q57" s="145"/>
      <c r="R57" s="145"/>
      <c r="S57" s="260" t="str">
        <f t="shared" si="51"/>
        <v/>
      </c>
      <c r="T57" s="145"/>
      <c r="U57" s="145"/>
      <c r="V57" s="260" t="str">
        <f t="shared" si="52"/>
        <v/>
      </c>
      <c r="W57" s="145"/>
      <c r="X57" s="145"/>
      <c r="Y57" s="259"/>
      <c r="Z57" s="2"/>
      <c r="AA57" s="256">
        <v>53</v>
      </c>
      <c r="AB57" s="16" t="str">
        <f t="shared" si="77"/>
        <v/>
      </c>
      <c r="AC57" s="16" t="str">
        <f t="shared" si="78"/>
        <v/>
      </c>
      <c r="AD57" s="16" t="str">
        <f t="shared" si="2"/>
        <v/>
      </c>
      <c r="AE57" s="16" t="str">
        <f t="shared" si="3"/>
        <v/>
      </c>
      <c r="AF57" s="16" t="str">
        <f t="shared" si="4"/>
        <v/>
      </c>
      <c r="AG57" s="17" t="str">
        <f t="shared" si="79"/>
        <v/>
      </c>
      <c r="AH57" s="17" t="str">
        <f t="shared" si="80"/>
        <v/>
      </c>
      <c r="AI57" s="18" t="str">
        <f t="shared" si="7"/>
        <v/>
      </c>
      <c r="AJ57" s="18" t="str">
        <f t="shared" si="8"/>
        <v/>
      </c>
      <c r="AM57" s="2"/>
      <c r="AN57" s="2"/>
      <c r="AO57" s="2"/>
      <c r="AP57" s="2"/>
      <c r="AQ57" s="2"/>
      <c r="AR57" s="2"/>
      <c r="AS57" s="2"/>
      <c r="AT57" s="2"/>
      <c r="AU57" s="2"/>
      <c r="AV57" s="2"/>
      <c r="AW57" s="2"/>
      <c r="AX57" s="2"/>
      <c r="AY57" s="2"/>
      <c r="AZ57" s="2"/>
      <c r="BA57" s="2"/>
      <c r="BB57" s="2"/>
      <c r="BC57" s="2"/>
      <c r="BF57" s="2"/>
      <c r="BG57" s="262" t="str">
        <f t="shared" si="53"/>
        <v/>
      </c>
      <c r="BH57" s="217" t="str">
        <f t="shared" si="54"/>
        <v/>
      </c>
      <c r="BI57" s="229" t="str">
        <f t="shared" si="55"/>
        <v/>
      </c>
      <c r="BJ57" s="262" t="str">
        <f t="shared" si="56"/>
        <v/>
      </c>
      <c r="BK57" s="217" t="str">
        <f t="shared" si="57"/>
        <v/>
      </c>
      <c r="BL57" s="229" t="str">
        <f t="shared" si="58"/>
        <v/>
      </c>
      <c r="BM57" s="262" t="str">
        <f t="shared" si="59"/>
        <v/>
      </c>
      <c r="BN57" s="217" t="str">
        <f t="shared" si="60"/>
        <v/>
      </c>
      <c r="BO57" s="229" t="str">
        <f t="shared" si="61"/>
        <v/>
      </c>
      <c r="BP57" s="262" t="str">
        <f t="shared" si="62"/>
        <v/>
      </c>
      <c r="BQ57" s="217" t="str">
        <f t="shared" si="63"/>
        <v/>
      </c>
      <c r="BR57" s="229" t="str">
        <f t="shared" si="64"/>
        <v/>
      </c>
      <c r="BS57" s="262" t="str">
        <f t="shared" si="65"/>
        <v/>
      </c>
      <c r="BT57" s="217" t="str">
        <f t="shared" si="66"/>
        <v/>
      </c>
      <c r="BU57" s="229" t="str">
        <f t="shared" si="67"/>
        <v/>
      </c>
      <c r="BV57" s="262" t="str">
        <f t="shared" si="68"/>
        <v/>
      </c>
      <c r="BW57" s="217" t="str">
        <f t="shared" si="69"/>
        <v/>
      </c>
      <c r="BX57" s="229" t="str">
        <f t="shared" si="70"/>
        <v/>
      </c>
      <c r="BY57" s="262" t="str">
        <f t="shared" si="71"/>
        <v/>
      </c>
      <c r="BZ57" s="217" t="str">
        <f t="shared" si="72"/>
        <v/>
      </c>
      <c r="CA57" s="229" t="str">
        <f t="shared" si="73"/>
        <v/>
      </c>
      <c r="CB57" s="262" t="str">
        <f t="shared" si="74"/>
        <v/>
      </c>
      <c r="CC57" s="217" t="str">
        <f t="shared" si="75"/>
        <v/>
      </c>
      <c r="CD57" s="229" t="str">
        <f t="shared" si="76"/>
        <v/>
      </c>
    </row>
    <row r="58" spans="1:82" x14ac:dyDescent="0.25">
      <c r="A58" s="260" t="str">
        <f t="shared" si="45"/>
        <v/>
      </c>
      <c r="B58" s="145"/>
      <c r="C58" s="145"/>
      <c r="D58" s="260" t="str">
        <f t="shared" si="46"/>
        <v/>
      </c>
      <c r="E58" s="145"/>
      <c r="F58" s="145"/>
      <c r="G58" s="260" t="str">
        <f t="shared" si="47"/>
        <v/>
      </c>
      <c r="H58" s="145"/>
      <c r="I58" s="145"/>
      <c r="J58" s="261" t="str">
        <f t="shared" si="48"/>
        <v/>
      </c>
      <c r="K58" s="145"/>
      <c r="L58" s="145"/>
      <c r="M58" s="260" t="str">
        <f t="shared" si="49"/>
        <v/>
      </c>
      <c r="N58" s="145"/>
      <c r="O58" s="145"/>
      <c r="P58" s="260" t="str">
        <f t="shared" si="50"/>
        <v/>
      </c>
      <c r="Q58" s="145"/>
      <c r="R58" s="145"/>
      <c r="S58" s="260" t="str">
        <f t="shared" si="51"/>
        <v/>
      </c>
      <c r="T58" s="145"/>
      <c r="U58" s="145"/>
      <c r="V58" s="260" t="str">
        <f t="shared" si="52"/>
        <v/>
      </c>
      <c r="W58" s="145"/>
      <c r="X58" s="145"/>
      <c r="Y58" s="259"/>
      <c r="Z58" s="2"/>
      <c r="AA58" s="256">
        <v>54</v>
      </c>
      <c r="AB58" s="16" t="str">
        <f t="shared" si="77"/>
        <v/>
      </c>
      <c r="AC58" s="16" t="str">
        <f t="shared" si="78"/>
        <v/>
      </c>
      <c r="AD58" s="16" t="str">
        <f t="shared" si="2"/>
        <v/>
      </c>
      <c r="AE58" s="16" t="str">
        <f t="shared" si="3"/>
        <v/>
      </c>
      <c r="AF58" s="16" t="str">
        <f t="shared" si="4"/>
        <v/>
      </c>
      <c r="AG58" s="17" t="str">
        <f t="shared" si="79"/>
        <v/>
      </c>
      <c r="AH58" s="17" t="str">
        <f t="shared" si="80"/>
        <v/>
      </c>
      <c r="AI58" s="18" t="str">
        <f t="shared" si="7"/>
        <v/>
      </c>
      <c r="AJ58" s="18" t="str">
        <f t="shared" si="8"/>
        <v/>
      </c>
      <c r="AM58" s="2"/>
      <c r="AN58" s="2"/>
      <c r="AO58" s="2"/>
      <c r="AP58" s="2"/>
      <c r="AQ58" s="2"/>
      <c r="AR58" s="2"/>
      <c r="AS58" s="2"/>
      <c r="AT58" s="2"/>
      <c r="AU58" s="2"/>
      <c r="AV58" s="2"/>
      <c r="AW58" s="2"/>
      <c r="AX58" s="2"/>
      <c r="AY58" s="2"/>
      <c r="AZ58" s="2"/>
      <c r="BA58" s="2"/>
      <c r="BB58" s="2"/>
      <c r="BC58" s="2"/>
      <c r="BF58" s="2"/>
      <c r="BG58" s="262" t="str">
        <f t="shared" si="53"/>
        <v/>
      </c>
      <c r="BH58" s="217" t="str">
        <f t="shared" si="54"/>
        <v/>
      </c>
      <c r="BI58" s="229" t="str">
        <f t="shared" si="55"/>
        <v/>
      </c>
      <c r="BJ58" s="262" t="str">
        <f t="shared" si="56"/>
        <v/>
      </c>
      <c r="BK58" s="217" t="str">
        <f t="shared" si="57"/>
        <v/>
      </c>
      <c r="BL58" s="229" t="str">
        <f t="shared" si="58"/>
        <v/>
      </c>
      <c r="BM58" s="262" t="str">
        <f t="shared" si="59"/>
        <v/>
      </c>
      <c r="BN58" s="217" t="str">
        <f t="shared" si="60"/>
        <v/>
      </c>
      <c r="BO58" s="229" t="str">
        <f t="shared" si="61"/>
        <v/>
      </c>
      <c r="BP58" s="262" t="str">
        <f t="shared" si="62"/>
        <v/>
      </c>
      <c r="BQ58" s="217" t="str">
        <f t="shared" si="63"/>
        <v/>
      </c>
      <c r="BR58" s="229" t="str">
        <f t="shared" si="64"/>
        <v/>
      </c>
      <c r="BS58" s="262" t="str">
        <f t="shared" si="65"/>
        <v/>
      </c>
      <c r="BT58" s="217" t="str">
        <f t="shared" si="66"/>
        <v/>
      </c>
      <c r="BU58" s="229" t="str">
        <f t="shared" si="67"/>
        <v/>
      </c>
      <c r="BV58" s="262" t="str">
        <f t="shared" si="68"/>
        <v/>
      </c>
      <c r="BW58" s="217" t="str">
        <f t="shared" si="69"/>
        <v/>
      </c>
      <c r="BX58" s="229" t="str">
        <f t="shared" si="70"/>
        <v/>
      </c>
      <c r="BY58" s="262" t="str">
        <f t="shared" si="71"/>
        <v/>
      </c>
      <c r="BZ58" s="217" t="str">
        <f t="shared" si="72"/>
        <v/>
      </c>
      <c r="CA58" s="229" t="str">
        <f t="shared" si="73"/>
        <v/>
      </c>
      <c r="CB58" s="262" t="str">
        <f t="shared" si="74"/>
        <v/>
      </c>
      <c r="CC58" s="217" t="str">
        <f t="shared" si="75"/>
        <v/>
      </c>
      <c r="CD58" s="229" t="str">
        <f t="shared" si="76"/>
        <v/>
      </c>
    </row>
    <row r="59" spans="1:82" x14ac:dyDescent="0.25">
      <c r="A59" s="260" t="str">
        <f t="shared" si="45"/>
        <v/>
      </c>
      <c r="B59" s="145"/>
      <c r="C59" s="145"/>
      <c r="D59" s="260" t="str">
        <f t="shared" si="46"/>
        <v/>
      </c>
      <c r="E59" s="145"/>
      <c r="F59" s="145"/>
      <c r="G59" s="260" t="str">
        <f t="shared" si="47"/>
        <v/>
      </c>
      <c r="H59" s="145"/>
      <c r="I59" s="145"/>
      <c r="J59" s="261" t="str">
        <f t="shared" si="48"/>
        <v/>
      </c>
      <c r="K59" s="145"/>
      <c r="L59" s="145"/>
      <c r="M59" s="260" t="str">
        <f t="shared" si="49"/>
        <v/>
      </c>
      <c r="N59" s="145"/>
      <c r="O59" s="145"/>
      <c r="P59" s="260" t="str">
        <f t="shared" si="50"/>
        <v/>
      </c>
      <c r="Q59" s="145"/>
      <c r="R59" s="145"/>
      <c r="S59" s="260" t="str">
        <f t="shared" si="51"/>
        <v/>
      </c>
      <c r="T59" s="145"/>
      <c r="U59" s="145"/>
      <c r="V59" s="260" t="str">
        <f t="shared" si="52"/>
        <v/>
      </c>
      <c r="W59" s="145"/>
      <c r="X59" s="145"/>
      <c r="Y59" s="259"/>
      <c r="Z59" s="2"/>
      <c r="AA59" s="256">
        <v>55</v>
      </c>
      <c r="AB59" s="16" t="str">
        <f t="shared" si="77"/>
        <v/>
      </c>
      <c r="AC59" s="16" t="str">
        <f t="shared" si="78"/>
        <v/>
      </c>
      <c r="AD59" s="16" t="str">
        <f t="shared" si="2"/>
        <v/>
      </c>
      <c r="AE59" s="16" t="str">
        <f t="shared" si="3"/>
        <v/>
      </c>
      <c r="AF59" s="16" t="str">
        <f t="shared" si="4"/>
        <v/>
      </c>
      <c r="AG59" s="17" t="str">
        <f t="shared" si="79"/>
        <v/>
      </c>
      <c r="AH59" s="17" t="str">
        <f t="shared" si="80"/>
        <v/>
      </c>
      <c r="AI59" s="18" t="str">
        <f t="shared" si="7"/>
        <v/>
      </c>
      <c r="AJ59" s="18" t="str">
        <f t="shared" si="8"/>
        <v/>
      </c>
      <c r="AM59" s="2"/>
      <c r="AN59" s="2"/>
      <c r="AO59" s="2"/>
      <c r="AP59" s="2"/>
      <c r="AQ59" s="2"/>
      <c r="AR59" s="2"/>
      <c r="AS59" s="2"/>
      <c r="AT59" s="2"/>
      <c r="AU59" s="2"/>
      <c r="AV59" s="2"/>
      <c r="AW59" s="2"/>
      <c r="AX59" s="2"/>
      <c r="AY59" s="2"/>
      <c r="AZ59" s="2"/>
      <c r="BA59" s="2"/>
      <c r="BB59" s="2"/>
      <c r="BC59" s="2"/>
      <c r="BF59" s="2"/>
      <c r="BG59" s="262" t="str">
        <f t="shared" si="53"/>
        <v/>
      </c>
      <c r="BH59" s="217" t="str">
        <f t="shared" si="54"/>
        <v/>
      </c>
      <c r="BI59" s="229" t="str">
        <f t="shared" si="55"/>
        <v/>
      </c>
      <c r="BJ59" s="262" t="str">
        <f t="shared" si="56"/>
        <v/>
      </c>
      <c r="BK59" s="217" t="str">
        <f t="shared" si="57"/>
        <v/>
      </c>
      <c r="BL59" s="229" t="str">
        <f t="shared" si="58"/>
        <v/>
      </c>
      <c r="BM59" s="262" t="str">
        <f t="shared" si="59"/>
        <v/>
      </c>
      <c r="BN59" s="217" t="str">
        <f t="shared" si="60"/>
        <v/>
      </c>
      <c r="BO59" s="229" t="str">
        <f t="shared" si="61"/>
        <v/>
      </c>
      <c r="BP59" s="262" t="str">
        <f t="shared" si="62"/>
        <v/>
      </c>
      <c r="BQ59" s="217" t="str">
        <f t="shared" si="63"/>
        <v/>
      </c>
      <c r="BR59" s="229" t="str">
        <f t="shared" si="64"/>
        <v/>
      </c>
      <c r="BS59" s="262" t="str">
        <f t="shared" si="65"/>
        <v/>
      </c>
      <c r="BT59" s="217" t="str">
        <f t="shared" si="66"/>
        <v/>
      </c>
      <c r="BU59" s="229" t="str">
        <f t="shared" si="67"/>
        <v/>
      </c>
      <c r="BV59" s="262" t="str">
        <f t="shared" si="68"/>
        <v/>
      </c>
      <c r="BW59" s="217" t="str">
        <f t="shared" si="69"/>
        <v/>
      </c>
      <c r="BX59" s="229" t="str">
        <f t="shared" si="70"/>
        <v/>
      </c>
      <c r="BY59" s="262" t="str">
        <f t="shared" si="71"/>
        <v/>
      </c>
      <c r="BZ59" s="217" t="str">
        <f t="shared" si="72"/>
        <v/>
      </c>
      <c r="CA59" s="229" t="str">
        <f t="shared" si="73"/>
        <v/>
      </c>
      <c r="CB59" s="262" t="str">
        <f t="shared" si="74"/>
        <v/>
      </c>
      <c r="CC59" s="217" t="str">
        <f t="shared" si="75"/>
        <v/>
      </c>
      <c r="CD59" s="229" t="str">
        <f t="shared" si="76"/>
        <v/>
      </c>
    </row>
    <row r="60" spans="1:82" x14ac:dyDescent="0.25">
      <c r="A60" s="260" t="str">
        <f t="shared" si="45"/>
        <v/>
      </c>
      <c r="B60" s="145"/>
      <c r="C60" s="145"/>
      <c r="D60" s="260" t="str">
        <f t="shared" si="46"/>
        <v/>
      </c>
      <c r="E60" s="145"/>
      <c r="F60" s="145"/>
      <c r="G60" s="260" t="str">
        <f t="shared" si="47"/>
        <v/>
      </c>
      <c r="H60" s="145"/>
      <c r="I60" s="145"/>
      <c r="J60" s="261" t="str">
        <f t="shared" si="48"/>
        <v/>
      </c>
      <c r="K60" s="145"/>
      <c r="L60" s="145"/>
      <c r="M60" s="260" t="str">
        <f t="shared" si="49"/>
        <v/>
      </c>
      <c r="N60" s="145"/>
      <c r="O60" s="145"/>
      <c r="P60" s="260" t="str">
        <f t="shared" si="50"/>
        <v/>
      </c>
      <c r="Q60" s="145"/>
      <c r="R60" s="145"/>
      <c r="S60" s="260" t="str">
        <f t="shared" si="51"/>
        <v/>
      </c>
      <c r="T60" s="145"/>
      <c r="U60" s="145"/>
      <c r="V60" s="260" t="str">
        <f t="shared" si="52"/>
        <v/>
      </c>
      <c r="W60" s="145"/>
      <c r="X60" s="145"/>
      <c r="Y60" s="259"/>
      <c r="Z60" s="2"/>
      <c r="AA60" s="256">
        <v>56</v>
      </c>
      <c r="AB60" s="16" t="str">
        <f t="shared" si="77"/>
        <v/>
      </c>
      <c r="AC60" s="16" t="str">
        <f t="shared" si="78"/>
        <v/>
      </c>
      <c r="AD60" s="16" t="str">
        <f t="shared" si="2"/>
        <v/>
      </c>
      <c r="AE60" s="16" t="str">
        <f t="shared" si="3"/>
        <v/>
      </c>
      <c r="AF60" s="16" t="str">
        <f t="shared" si="4"/>
        <v/>
      </c>
      <c r="AG60" s="17" t="str">
        <f t="shared" si="79"/>
        <v/>
      </c>
      <c r="AH60" s="17" t="str">
        <f t="shared" si="80"/>
        <v/>
      </c>
      <c r="AI60" s="18" t="str">
        <f t="shared" si="7"/>
        <v/>
      </c>
      <c r="AJ60" s="18" t="str">
        <f t="shared" si="8"/>
        <v/>
      </c>
      <c r="AM60" s="2"/>
      <c r="AN60" s="2"/>
      <c r="AO60" s="2"/>
      <c r="AP60" s="2"/>
      <c r="AQ60" s="2"/>
      <c r="AR60" s="2"/>
      <c r="AS60" s="2"/>
      <c r="AT60" s="2"/>
      <c r="AU60" s="2"/>
      <c r="AV60" s="2"/>
      <c r="AW60" s="2"/>
      <c r="AX60" s="2"/>
      <c r="AY60" s="2"/>
      <c r="AZ60" s="2"/>
      <c r="BA60" s="2"/>
      <c r="BB60" s="2"/>
      <c r="BC60" s="2"/>
      <c r="BF60" s="2"/>
      <c r="BG60" s="262" t="str">
        <f t="shared" si="53"/>
        <v/>
      </c>
      <c r="BH60" s="217" t="str">
        <f t="shared" si="54"/>
        <v/>
      </c>
      <c r="BI60" s="229" t="str">
        <f t="shared" si="55"/>
        <v/>
      </c>
      <c r="BJ60" s="262" t="str">
        <f t="shared" si="56"/>
        <v/>
      </c>
      <c r="BK60" s="217" t="str">
        <f t="shared" si="57"/>
        <v/>
      </c>
      <c r="BL60" s="229" t="str">
        <f t="shared" si="58"/>
        <v/>
      </c>
      <c r="BM60" s="262" t="str">
        <f t="shared" si="59"/>
        <v/>
      </c>
      <c r="BN60" s="217" t="str">
        <f t="shared" si="60"/>
        <v/>
      </c>
      <c r="BO60" s="229" t="str">
        <f t="shared" si="61"/>
        <v/>
      </c>
      <c r="BP60" s="262" t="str">
        <f t="shared" si="62"/>
        <v/>
      </c>
      <c r="BQ60" s="217" t="str">
        <f t="shared" si="63"/>
        <v/>
      </c>
      <c r="BR60" s="229" t="str">
        <f t="shared" si="64"/>
        <v/>
      </c>
      <c r="BS60" s="262" t="str">
        <f t="shared" si="65"/>
        <v/>
      </c>
      <c r="BT60" s="217" t="str">
        <f t="shared" si="66"/>
        <v/>
      </c>
      <c r="BU60" s="229" t="str">
        <f t="shared" si="67"/>
        <v/>
      </c>
      <c r="BV60" s="262" t="str">
        <f t="shared" si="68"/>
        <v/>
      </c>
      <c r="BW60" s="217" t="str">
        <f t="shared" si="69"/>
        <v/>
      </c>
      <c r="BX60" s="229" t="str">
        <f t="shared" si="70"/>
        <v/>
      </c>
      <c r="BY60" s="262" t="str">
        <f t="shared" si="71"/>
        <v/>
      </c>
      <c r="BZ60" s="217" t="str">
        <f t="shared" si="72"/>
        <v/>
      </c>
      <c r="CA60" s="229" t="str">
        <f t="shared" si="73"/>
        <v/>
      </c>
      <c r="CB60" s="262" t="str">
        <f t="shared" si="74"/>
        <v/>
      </c>
      <c r="CC60" s="217" t="str">
        <f t="shared" si="75"/>
        <v/>
      </c>
      <c r="CD60" s="229" t="str">
        <f t="shared" si="76"/>
        <v/>
      </c>
    </row>
    <row r="61" spans="1:82" x14ac:dyDescent="0.25">
      <c r="A61" s="260" t="str">
        <f t="shared" si="45"/>
        <v/>
      </c>
      <c r="B61" s="145"/>
      <c r="C61" s="145"/>
      <c r="D61" s="260" t="str">
        <f t="shared" si="46"/>
        <v/>
      </c>
      <c r="E61" s="145"/>
      <c r="F61" s="145"/>
      <c r="G61" s="260" t="str">
        <f t="shared" si="47"/>
        <v/>
      </c>
      <c r="H61" s="145"/>
      <c r="I61" s="145"/>
      <c r="J61" s="261" t="str">
        <f t="shared" si="48"/>
        <v/>
      </c>
      <c r="K61" s="145"/>
      <c r="L61" s="145"/>
      <c r="M61" s="260" t="str">
        <f t="shared" si="49"/>
        <v/>
      </c>
      <c r="N61" s="145"/>
      <c r="O61" s="145"/>
      <c r="P61" s="260" t="str">
        <f t="shared" si="50"/>
        <v/>
      </c>
      <c r="Q61" s="145"/>
      <c r="R61" s="145"/>
      <c r="S61" s="260" t="str">
        <f t="shared" si="51"/>
        <v/>
      </c>
      <c r="T61" s="145"/>
      <c r="U61" s="145"/>
      <c r="V61" s="260" t="str">
        <f t="shared" si="52"/>
        <v/>
      </c>
      <c r="W61" s="145"/>
      <c r="X61" s="145"/>
      <c r="Y61" s="259"/>
      <c r="Z61" s="2"/>
      <c r="AA61" s="256">
        <v>57</v>
      </c>
      <c r="AB61" s="16" t="str">
        <f t="shared" si="77"/>
        <v/>
      </c>
      <c r="AC61" s="16" t="str">
        <f t="shared" si="78"/>
        <v/>
      </c>
      <c r="AD61" s="16" t="str">
        <f t="shared" si="2"/>
        <v/>
      </c>
      <c r="AE61" s="16" t="str">
        <f t="shared" si="3"/>
        <v/>
      </c>
      <c r="AF61" s="16" t="str">
        <f t="shared" si="4"/>
        <v/>
      </c>
      <c r="AG61" s="17" t="str">
        <f t="shared" si="79"/>
        <v/>
      </c>
      <c r="AH61" s="17" t="str">
        <f t="shared" si="80"/>
        <v/>
      </c>
      <c r="AI61" s="18" t="str">
        <f t="shared" si="7"/>
        <v/>
      </c>
      <c r="AJ61" s="18" t="str">
        <f t="shared" si="8"/>
        <v/>
      </c>
      <c r="AM61" s="2"/>
      <c r="AN61" s="2"/>
      <c r="AO61" s="2"/>
      <c r="AP61" s="2"/>
      <c r="AQ61" s="2"/>
      <c r="AR61" s="2"/>
      <c r="AS61" s="2"/>
      <c r="AT61" s="2"/>
      <c r="AU61" s="2"/>
      <c r="AV61" s="2"/>
      <c r="AW61" s="2"/>
      <c r="AX61" s="2"/>
      <c r="AY61" s="2"/>
      <c r="AZ61" s="2"/>
      <c r="BA61" s="2"/>
      <c r="BB61" s="2"/>
      <c r="BC61" s="2"/>
      <c r="BF61" s="2"/>
      <c r="BG61" s="262" t="str">
        <f t="shared" si="53"/>
        <v/>
      </c>
      <c r="BH61" s="217" t="str">
        <f t="shared" si="54"/>
        <v/>
      </c>
      <c r="BI61" s="229" t="str">
        <f t="shared" si="55"/>
        <v/>
      </c>
      <c r="BJ61" s="262" t="str">
        <f t="shared" si="56"/>
        <v/>
      </c>
      <c r="BK61" s="217" t="str">
        <f t="shared" si="57"/>
        <v/>
      </c>
      <c r="BL61" s="229" t="str">
        <f t="shared" si="58"/>
        <v/>
      </c>
      <c r="BM61" s="262" t="str">
        <f t="shared" si="59"/>
        <v/>
      </c>
      <c r="BN61" s="217" t="str">
        <f t="shared" si="60"/>
        <v/>
      </c>
      <c r="BO61" s="229" t="str">
        <f t="shared" si="61"/>
        <v/>
      </c>
      <c r="BP61" s="262" t="str">
        <f t="shared" si="62"/>
        <v/>
      </c>
      <c r="BQ61" s="217" t="str">
        <f t="shared" si="63"/>
        <v/>
      </c>
      <c r="BR61" s="229" t="str">
        <f t="shared" si="64"/>
        <v/>
      </c>
      <c r="BS61" s="262" t="str">
        <f t="shared" si="65"/>
        <v/>
      </c>
      <c r="BT61" s="217" t="str">
        <f t="shared" si="66"/>
        <v/>
      </c>
      <c r="BU61" s="229" t="str">
        <f t="shared" si="67"/>
        <v/>
      </c>
      <c r="BV61" s="262" t="str">
        <f t="shared" si="68"/>
        <v/>
      </c>
      <c r="BW61" s="217" t="str">
        <f t="shared" si="69"/>
        <v/>
      </c>
      <c r="BX61" s="229" t="str">
        <f t="shared" si="70"/>
        <v/>
      </c>
      <c r="BY61" s="262" t="str">
        <f t="shared" si="71"/>
        <v/>
      </c>
      <c r="BZ61" s="217" t="str">
        <f t="shared" si="72"/>
        <v/>
      </c>
      <c r="CA61" s="229" t="str">
        <f t="shared" si="73"/>
        <v/>
      </c>
      <c r="CB61" s="262" t="str">
        <f t="shared" si="74"/>
        <v/>
      </c>
      <c r="CC61" s="217" t="str">
        <f t="shared" si="75"/>
        <v/>
      </c>
      <c r="CD61" s="229" t="str">
        <f t="shared" si="76"/>
        <v/>
      </c>
    </row>
    <row r="62" spans="1:82" x14ac:dyDescent="0.25">
      <c r="A62" s="260" t="str">
        <f t="shared" si="45"/>
        <v/>
      </c>
      <c r="B62" s="152"/>
      <c r="C62" s="152"/>
      <c r="D62" s="260" t="str">
        <f t="shared" si="46"/>
        <v/>
      </c>
      <c r="E62" s="152"/>
      <c r="F62" s="152"/>
      <c r="G62" s="260" t="str">
        <f t="shared" si="47"/>
        <v/>
      </c>
      <c r="H62" s="152"/>
      <c r="I62" s="152"/>
      <c r="J62" s="261" t="str">
        <f t="shared" si="48"/>
        <v/>
      </c>
      <c r="K62" s="152"/>
      <c r="L62" s="152"/>
      <c r="M62" s="260" t="str">
        <f t="shared" si="49"/>
        <v/>
      </c>
      <c r="N62" s="152"/>
      <c r="O62" s="152"/>
      <c r="P62" s="260" t="str">
        <f t="shared" si="50"/>
        <v/>
      </c>
      <c r="Q62" s="152"/>
      <c r="R62" s="152"/>
      <c r="S62" s="260" t="str">
        <f t="shared" si="51"/>
        <v/>
      </c>
      <c r="T62" s="152"/>
      <c r="U62" s="152"/>
      <c r="V62" s="260" t="str">
        <f t="shared" si="52"/>
        <v/>
      </c>
      <c r="W62" s="152"/>
      <c r="X62" s="152"/>
      <c r="Y62" s="259"/>
      <c r="Z62" s="2"/>
      <c r="AA62" s="256">
        <v>58</v>
      </c>
      <c r="AB62" s="16" t="str">
        <f t="shared" si="77"/>
        <v/>
      </c>
      <c r="AC62" s="16" t="str">
        <f t="shared" si="78"/>
        <v/>
      </c>
      <c r="AD62" s="16" t="str">
        <f t="shared" si="2"/>
        <v/>
      </c>
      <c r="AE62" s="16" t="str">
        <f t="shared" si="3"/>
        <v/>
      </c>
      <c r="AF62" s="16" t="str">
        <f t="shared" si="4"/>
        <v/>
      </c>
      <c r="AG62" s="17" t="str">
        <f t="shared" si="79"/>
        <v/>
      </c>
      <c r="AH62" s="17" t="str">
        <f t="shared" si="80"/>
        <v/>
      </c>
      <c r="AI62" s="18" t="str">
        <f t="shared" si="7"/>
        <v/>
      </c>
      <c r="AJ62" s="18" t="str">
        <f t="shared" si="8"/>
        <v/>
      </c>
      <c r="AM62" s="2"/>
      <c r="AN62" s="2"/>
      <c r="AO62" s="2"/>
      <c r="AP62" s="2"/>
      <c r="AQ62" s="2"/>
      <c r="AR62" s="2"/>
      <c r="AS62" s="2"/>
      <c r="AT62" s="2"/>
      <c r="AU62" s="2"/>
      <c r="AV62" s="2"/>
      <c r="AW62" s="2"/>
      <c r="AX62" s="2"/>
      <c r="AY62" s="2"/>
      <c r="AZ62" s="2"/>
      <c r="BA62" s="2"/>
      <c r="BB62" s="2"/>
      <c r="BC62" s="2"/>
      <c r="BF62" s="2"/>
      <c r="BG62" s="262" t="str">
        <f t="shared" si="53"/>
        <v/>
      </c>
      <c r="BH62" s="222" t="str">
        <f t="shared" si="54"/>
        <v/>
      </c>
      <c r="BI62" s="230" t="str">
        <f t="shared" si="55"/>
        <v/>
      </c>
      <c r="BJ62" s="262" t="str">
        <f t="shared" si="56"/>
        <v/>
      </c>
      <c r="BK62" s="222" t="str">
        <f t="shared" si="57"/>
        <v/>
      </c>
      <c r="BL62" s="230" t="str">
        <f t="shared" si="58"/>
        <v/>
      </c>
      <c r="BM62" s="262" t="str">
        <f t="shared" si="59"/>
        <v/>
      </c>
      <c r="BN62" s="222" t="str">
        <f t="shared" si="60"/>
        <v/>
      </c>
      <c r="BO62" s="230" t="str">
        <f t="shared" si="61"/>
        <v/>
      </c>
      <c r="BP62" s="262" t="str">
        <f t="shared" si="62"/>
        <v/>
      </c>
      <c r="BQ62" s="222" t="str">
        <f t="shared" si="63"/>
        <v/>
      </c>
      <c r="BR62" s="230" t="str">
        <f t="shared" si="64"/>
        <v/>
      </c>
      <c r="BS62" s="262" t="str">
        <f t="shared" si="65"/>
        <v/>
      </c>
      <c r="BT62" s="222" t="str">
        <f t="shared" si="66"/>
        <v/>
      </c>
      <c r="BU62" s="230" t="str">
        <f t="shared" si="67"/>
        <v/>
      </c>
      <c r="BV62" s="262" t="str">
        <f t="shared" si="68"/>
        <v/>
      </c>
      <c r="BW62" s="222" t="str">
        <f t="shared" si="69"/>
        <v/>
      </c>
      <c r="BX62" s="230" t="str">
        <f t="shared" si="70"/>
        <v/>
      </c>
      <c r="BY62" s="262" t="str">
        <f t="shared" si="71"/>
        <v/>
      </c>
      <c r="BZ62" s="222" t="str">
        <f t="shared" si="72"/>
        <v/>
      </c>
      <c r="CA62" s="230" t="str">
        <f t="shared" si="73"/>
        <v/>
      </c>
      <c r="CB62" s="262" t="str">
        <f t="shared" si="74"/>
        <v/>
      </c>
      <c r="CC62" s="222" t="str">
        <f t="shared" si="75"/>
        <v/>
      </c>
      <c r="CD62" s="230" t="str">
        <f t="shared" si="76"/>
        <v/>
      </c>
    </row>
    <row r="63" spans="1:82" x14ac:dyDescent="0.25">
      <c r="A63" s="48"/>
      <c r="B63" s="54"/>
      <c r="C63" s="54"/>
      <c r="D63" s="54"/>
      <c r="E63" s="54"/>
      <c r="F63" s="54"/>
      <c r="G63" s="54"/>
      <c r="H63" s="54"/>
      <c r="I63" s="54"/>
      <c r="J63" s="2"/>
      <c r="K63" s="2"/>
      <c r="L63" s="2"/>
      <c r="M63" s="2"/>
      <c r="N63" s="2"/>
      <c r="O63" s="2"/>
      <c r="P63" s="2"/>
      <c r="Q63" s="2"/>
      <c r="R63" s="2"/>
      <c r="S63" s="2"/>
      <c r="T63" s="2"/>
      <c r="U63" s="2"/>
      <c r="V63" s="2"/>
      <c r="W63" s="2"/>
      <c r="X63" s="2"/>
      <c r="Y63" s="259"/>
      <c r="Z63" s="2"/>
      <c r="AA63" s="264">
        <v>59</v>
      </c>
      <c r="AB63" s="16" t="str">
        <f t="shared" si="77"/>
        <v/>
      </c>
      <c r="AC63" s="16" t="str">
        <f t="shared" si="78"/>
        <v/>
      </c>
      <c r="AD63" s="16" t="str">
        <f t="shared" si="2"/>
        <v/>
      </c>
      <c r="AE63" s="16" t="str">
        <f t="shared" si="3"/>
        <v/>
      </c>
      <c r="AF63" s="16" t="str">
        <f t="shared" si="4"/>
        <v/>
      </c>
      <c r="AG63" s="16" t="str">
        <f t="shared" si="79"/>
        <v/>
      </c>
      <c r="AH63" s="16" t="str">
        <f t="shared" si="80"/>
        <v/>
      </c>
      <c r="AI63" s="29" t="str">
        <f t="shared" si="7"/>
        <v/>
      </c>
      <c r="AJ63" s="29" t="str">
        <f t="shared" si="8"/>
        <v/>
      </c>
      <c r="AK63" s="2"/>
      <c r="AL63" s="2"/>
      <c r="AM63" s="2"/>
      <c r="AN63" s="2"/>
      <c r="AO63" s="2"/>
      <c r="AP63" s="2"/>
      <c r="AQ63" s="2"/>
      <c r="AR63" s="2"/>
      <c r="AS63" s="2"/>
      <c r="AT63" s="2"/>
      <c r="AU63" s="2"/>
      <c r="AV63" s="2"/>
      <c r="AW63" s="2"/>
      <c r="AX63" s="2"/>
      <c r="AY63" s="2"/>
      <c r="AZ63" s="2"/>
      <c r="BA63" s="2"/>
      <c r="BB63" s="2"/>
      <c r="BC63" s="2"/>
      <c r="BF63" s="2"/>
    </row>
    <row r="64" spans="1:82" x14ac:dyDescent="0.25">
      <c r="A64" s="99" t="s">
        <v>49</v>
      </c>
      <c r="B64" s="27">
        <v>2</v>
      </c>
      <c r="C64" s="76"/>
      <c r="D64" s="54"/>
      <c r="E64" s="54"/>
      <c r="F64" s="54"/>
      <c r="G64" s="54"/>
      <c r="H64" s="54"/>
      <c r="I64" s="54"/>
      <c r="J64" s="2"/>
      <c r="K64" s="2"/>
      <c r="L64" s="2"/>
      <c r="M64" s="2"/>
      <c r="N64" s="2"/>
      <c r="O64" s="2"/>
      <c r="P64" s="2"/>
      <c r="Q64" s="2"/>
      <c r="R64" s="2"/>
      <c r="S64" s="2"/>
      <c r="T64" s="2"/>
      <c r="U64" s="2"/>
      <c r="V64" s="2"/>
      <c r="W64" s="2"/>
      <c r="X64" s="2"/>
      <c r="Y64" s="259"/>
      <c r="Z64" s="2"/>
      <c r="AA64" s="264">
        <v>60</v>
      </c>
      <c r="AB64" s="16" t="str">
        <f t="shared" si="77"/>
        <v/>
      </c>
      <c r="AC64" s="16" t="str">
        <f t="shared" si="78"/>
        <v/>
      </c>
      <c r="AD64" s="16" t="str">
        <f t="shared" si="2"/>
        <v/>
      </c>
      <c r="AE64" s="16" t="str">
        <f t="shared" si="3"/>
        <v/>
      </c>
      <c r="AF64" s="16" t="str">
        <f t="shared" si="4"/>
        <v/>
      </c>
      <c r="AG64" s="16" t="str">
        <f t="shared" si="79"/>
        <v/>
      </c>
      <c r="AH64" s="16" t="str">
        <f t="shared" si="80"/>
        <v/>
      </c>
      <c r="AI64" s="29" t="str">
        <f t="shared" si="7"/>
        <v/>
      </c>
      <c r="AJ64" s="29" t="str">
        <f t="shared" si="8"/>
        <v/>
      </c>
      <c r="AK64" s="2"/>
      <c r="AL64" s="2"/>
      <c r="AM64" s="2"/>
      <c r="AN64" s="2"/>
      <c r="AO64" s="2"/>
      <c r="AP64" s="2"/>
      <c r="AQ64" s="2"/>
      <c r="AR64" s="2"/>
      <c r="AS64" s="2"/>
      <c r="AT64" s="2"/>
      <c r="AU64" s="2"/>
      <c r="AV64" s="2"/>
      <c r="AW64" s="2"/>
      <c r="AX64" s="2"/>
      <c r="AY64" s="2"/>
      <c r="AZ64" s="2"/>
      <c r="BA64" s="2"/>
      <c r="BB64" s="2"/>
      <c r="BC64" s="2"/>
      <c r="BF64" s="2"/>
    </row>
    <row r="65" spans="1:82" x14ac:dyDescent="0.25">
      <c r="A65" s="48"/>
      <c r="B65" s="56" t="s">
        <v>52</v>
      </c>
      <c r="C65" s="53"/>
      <c r="D65" s="53"/>
      <c r="E65" s="53"/>
      <c r="F65" s="53"/>
      <c r="G65" s="53"/>
      <c r="H65" s="53"/>
      <c r="I65" s="53"/>
      <c r="J65" s="53"/>
      <c r="K65" s="6"/>
      <c r="L65" s="265"/>
      <c r="M65" s="53"/>
      <c r="N65" s="6"/>
      <c r="O65" s="6"/>
      <c r="P65" s="6"/>
      <c r="Q65" s="6"/>
      <c r="R65" s="6"/>
      <c r="S65" s="6"/>
      <c r="T65" s="6"/>
      <c r="U65" s="6"/>
      <c r="V65" s="6"/>
      <c r="W65" s="6"/>
      <c r="X65" s="6"/>
      <c r="Y65" s="259"/>
      <c r="Z65" s="2"/>
      <c r="AA65" s="264">
        <v>61</v>
      </c>
      <c r="AB65" s="16" t="str">
        <f t="shared" si="77"/>
        <v/>
      </c>
      <c r="AC65" s="16" t="str">
        <f t="shared" si="78"/>
        <v/>
      </c>
      <c r="AD65" s="16" t="str">
        <f t="shared" si="2"/>
        <v/>
      </c>
      <c r="AE65" s="16" t="str">
        <f t="shared" si="3"/>
        <v/>
      </c>
      <c r="AF65" s="16" t="str">
        <f t="shared" si="4"/>
        <v/>
      </c>
      <c r="AG65" s="16" t="str">
        <f t="shared" si="79"/>
        <v/>
      </c>
      <c r="AH65" s="16" t="str">
        <f t="shared" si="80"/>
        <v/>
      </c>
      <c r="AI65" s="29" t="str">
        <f t="shared" si="7"/>
        <v/>
      </c>
      <c r="AJ65" s="29" t="str">
        <f t="shared" si="8"/>
        <v/>
      </c>
      <c r="AK65" s="2"/>
      <c r="AL65" s="2"/>
      <c r="AM65" s="2"/>
      <c r="AN65" s="2"/>
      <c r="AO65" s="2"/>
      <c r="AP65" s="2"/>
      <c r="AQ65" s="2"/>
      <c r="AR65" s="2"/>
      <c r="AS65" s="2"/>
      <c r="AT65" s="2"/>
      <c r="AU65" s="2"/>
      <c r="AV65" s="2"/>
      <c r="AW65" s="2"/>
      <c r="AX65" s="2"/>
      <c r="AY65" s="2"/>
      <c r="AZ65" s="2"/>
      <c r="BA65" s="2"/>
      <c r="BB65" s="2"/>
      <c r="BC65" s="2"/>
      <c r="BF65" s="2"/>
      <c r="BG65" s="266" t="s">
        <v>239</v>
      </c>
    </row>
    <row r="66" spans="1:82" x14ac:dyDescent="0.25">
      <c r="A66" s="45"/>
      <c r="B66" s="77" t="str">
        <f>IF($B$64&gt;=1,"Pier #1","")</f>
        <v>Pier #1</v>
      </c>
      <c r="C66" s="77" t="str">
        <f>IF($B$64&gt;=2,"Pier #2","")</f>
        <v>Pier #2</v>
      </c>
      <c r="D66" s="77" t="str">
        <f>IF($B$64&gt;=3,"Pier #3","")</f>
        <v/>
      </c>
      <c r="E66" s="77" t="str">
        <f>IF($B$64&gt;=4,"Pier #4","")</f>
        <v/>
      </c>
      <c r="F66" s="77" t="str">
        <f>IF($B$64&gt;=5,"Pier #5","")</f>
        <v/>
      </c>
      <c r="G66" s="77" t="str">
        <f>IF($B$64&gt;=6,"Pier #6","")</f>
        <v/>
      </c>
      <c r="H66" s="77" t="str">
        <f>IF($B$64&gt;=7,"Pier #7","")</f>
        <v/>
      </c>
      <c r="I66" s="77" t="str">
        <f>IF($B$64&gt;=8,"Pier #8","")</f>
        <v/>
      </c>
      <c r="J66" s="77" t="str">
        <f>IF($B$64&gt;=9,"Pier #9","")</f>
        <v/>
      </c>
      <c r="K66" s="77" t="str">
        <f>IF($B$64&gt;=10,"Pier #10","")</f>
        <v/>
      </c>
      <c r="L66" s="77" t="str">
        <f>IF($B$64&gt;=11,"Pier #11","")</f>
        <v/>
      </c>
      <c r="M66" s="77" t="str">
        <f>IF($B$64&gt;=12,"Pier #12","")</f>
        <v/>
      </c>
      <c r="N66" s="77" t="str">
        <f>IF($B$64&gt;=13,"Pier #13","")</f>
        <v/>
      </c>
      <c r="O66" s="77" t="str">
        <f>IF($B$64&gt;=14,"Pier #14","")</f>
        <v/>
      </c>
      <c r="P66" s="77" t="str">
        <f>IF($B$64&gt;=15,"Pier #15","")</f>
        <v/>
      </c>
      <c r="Q66" s="77" t="str">
        <f>IF($B$64&gt;=16,"Pier #16","")</f>
        <v/>
      </c>
      <c r="R66" s="77" t="str">
        <f>IF($B$64&gt;=17,"Pier #17","")</f>
        <v/>
      </c>
      <c r="S66" s="77" t="str">
        <f>IF($B$64&gt;=18,"Pier #18","")</f>
        <v/>
      </c>
      <c r="T66" s="77" t="str">
        <f>IF($B$64&gt;=19,"Pier #19","")</f>
        <v/>
      </c>
      <c r="U66" s="77" t="str">
        <f>IF($B$64&gt;=20,"Pier #20","")</f>
        <v/>
      </c>
      <c r="V66" s="77" t="str">
        <f>IF($B$64&gt;=21,"Pier #21","")</f>
        <v/>
      </c>
      <c r="W66" s="77" t="str">
        <f>IF($B$64&gt;=22,"Pier #22","")</f>
        <v/>
      </c>
      <c r="X66" s="77" t="str">
        <f>IF($B$64=23,"Pier #23","")</f>
        <v/>
      </c>
      <c r="Y66" s="259"/>
      <c r="Z66" s="2"/>
      <c r="AA66" s="264">
        <v>62</v>
      </c>
      <c r="AB66" s="16" t="str">
        <f t="shared" si="77"/>
        <v/>
      </c>
      <c r="AC66" s="16" t="str">
        <f t="shared" si="78"/>
        <v/>
      </c>
      <c r="AD66" s="16" t="str">
        <f t="shared" si="2"/>
        <v/>
      </c>
      <c r="AE66" s="16" t="str">
        <f t="shared" si="3"/>
        <v/>
      </c>
      <c r="AF66" s="16" t="str">
        <f t="shared" si="4"/>
        <v/>
      </c>
      <c r="AG66" s="16" t="str">
        <f t="shared" si="79"/>
        <v/>
      </c>
      <c r="AH66" s="16" t="str">
        <f t="shared" si="80"/>
        <v/>
      </c>
      <c r="AI66" s="29" t="str">
        <f t="shared" si="7"/>
        <v/>
      </c>
      <c r="AJ66" s="29" t="str">
        <f t="shared" si="8"/>
        <v/>
      </c>
      <c r="AK66" s="2"/>
      <c r="AL66" s="2"/>
      <c r="AM66" s="2"/>
      <c r="AN66" s="2"/>
      <c r="AO66" s="2"/>
      <c r="AP66" s="2"/>
      <c r="AQ66" s="2"/>
      <c r="AR66" s="2"/>
      <c r="AS66" s="2"/>
      <c r="AT66" s="2"/>
      <c r="AU66" s="2"/>
      <c r="AV66" s="2"/>
      <c r="AW66" s="2"/>
      <c r="AX66" s="2"/>
      <c r="AY66" s="2"/>
      <c r="AZ66" s="2"/>
      <c r="BA66" s="2"/>
      <c r="BB66" s="2"/>
      <c r="BC66" s="2"/>
      <c r="BF66" s="2"/>
      <c r="BG66" s="203" t="s">
        <v>52</v>
      </c>
      <c r="BH66" s="196" t="str">
        <f>IF($B$64&gt;=1,"Pier #1","")</f>
        <v>Pier #1</v>
      </c>
      <c r="BI66" s="196" t="str">
        <f>IF($B$64&gt;=2,"Pier #2","")</f>
        <v>Pier #2</v>
      </c>
      <c r="BJ66" s="196" t="str">
        <f>IF($B$64&gt;=3,"Pier #3","")</f>
        <v/>
      </c>
      <c r="BK66" s="196" t="str">
        <f>IF($B$64&gt;=4,"Pier #4","")</f>
        <v/>
      </c>
      <c r="BL66" s="196" t="str">
        <f>IF($B$64&gt;=5,"Pier #5","")</f>
        <v/>
      </c>
      <c r="BM66" s="196" t="str">
        <f>IF($B$64&gt;=6,"Pier #6","")</f>
        <v/>
      </c>
      <c r="BN66" s="196" t="str">
        <f>IF($B$64&gt;=7,"Pier #7","")</f>
        <v/>
      </c>
      <c r="BO66" s="196" t="str">
        <f>IF($B$64&gt;=8,"Pier #8","")</f>
        <v/>
      </c>
      <c r="BP66" s="196" t="str">
        <f>IF($B$64&gt;=9,"Pier #9","")</f>
        <v/>
      </c>
      <c r="BQ66" s="196" t="str">
        <f>IF($B$64&gt;=10,"Pier #10","")</f>
        <v/>
      </c>
      <c r="BR66" s="196" t="str">
        <f>IF($B$64&gt;=11,"Pier #11","")</f>
        <v/>
      </c>
      <c r="BS66" s="196" t="str">
        <f>IF($B$64&gt;=12,"Pier #12","")</f>
        <v/>
      </c>
      <c r="BT66" s="196" t="str">
        <f>IF($B$64&gt;=13,"Pier #13","")</f>
        <v/>
      </c>
      <c r="BU66" s="196" t="str">
        <f>IF($B$64&gt;=14,"Pier #14","")</f>
        <v/>
      </c>
      <c r="BV66" s="196" t="str">
        <f>IF($B$64&gt;=15,"Pier #15","")</f>
        <v/>
      </c>
      <c r="BW66" s="196" t="str">
        <f>IF($B$64&gt;=16,"Pier #16","")</f>
        <v/>
      </c>
      <c r="BX66" s="196" t="str">
        <f>IF($B$64&gt;=17,"Pier #17","")</f>
        <v/>
      </c>
      <c r="BY66" s="196" t="str">
        <f>IF($B$64&gt;=18,"Pier #18","")</f>
        <v/>
      </c>
      <c r="BZ66" s="196" t="str">
        <f>IF($B$64&gt;=19,"Pier #19","")</f>
        <v/>
      </c>
      <c r="CA66" s="196" t="str">
        <f>IF($B$64&gt;=20,"Pier #20","")</f>
        <v/>
      </c>
      <c r="CB66" s="196" t="str">
        <f>IF($B$64&gt;=21,"Pier #21","")</f>
        <v/>
      </c>
      <c r="CC66" s="196" t="str">
        <f>IF($B$64&gt;=22,"Pier #22","")</f>
        <v/>
      </c>
      <c r="CD66" s="196" t="str">
        <f>IF($B$64=23,"Pier #23","")</f>
        <v/>
      </c>
    </row>
    <row r="67" spans="1:82" x14ac:dyDescent="0.25">
      <c r="A67" s="45" t="s">
        <v>152</v>
      </c>
      <c r="B67" s="141">
        <v>4.5</v>
      </c>
      <c r="C67" s="141">
        <v>4.5</v>
      </c>
      <c r="D67" s="157"/>
      <c r="E67" s="141"/>
      <c r="F67" s="157"/>
      <c r="G67" s="141"/>
      <c r="H67" s="157"/>
      <c r="I67" s="141"/>
      <c r="J67" s="141"/>
      <c r="K67" s="141"/>
      <c r="L67" s="157"/>
      <c r="M67" s="141"/>
      <c r="N67" s="157"/>
      <c r="O67" s="141"/>
      <c r="P67" s="157"/>
      <c r="Q67" s="141"/>
      <c r="R67" s="141"/>
      <c r="S67" s="141"/>
      <c r="T67" s="141"/>
      <c r="U67" s="141"/>
      <c r="V67" s="141"/>
      <c r="W67" s="141"/>
      <c r="X67" s="141"/>
      <c r="Y67" s="259"/>
      <c r="Z67" s="2"/>
      <c r="AA67" s="264">
        <v>63</v>
      </c>
      <c r="AB67" s="16" t="str">
        <f t="shared" si="77"/>
        <v/>
      </c>
      <c r="AC67" s="16" t="str">
        <f t="shared" si="78"/>
        <v/>
      </c>
      <c r="AD67" s="16" t="str">
        <f t="shared" si="2"/>
        <v/>
      </c>
      <c r="AE67" s="16" t="str">
        <f t="shared" si="3"/>
        <v/>
      </c>
      <c r="AF67" s="16" t="str">
        <f t="shared" si="4"/>
        <v/>
      </c>
      <c r="AG67" s="16" t="str">
        <f t="shared" si="79"/>
        <v/>
      </c>
      <c r="AH67" s="16" t="str">
        <f t="shared" si="80"/>
        <v/>
      </c>
      <c r="AI67" s="29" t="str">
        <f t="shared" si="7"/>
        <v/>
      </c>
      <c r="AJ67" s="29" t="str">
        <f t="shared" si="8"/>
        <v/>
      </c>
      <c r="AK67" s="2"/>
      <c r="AL67" s="2"/>
      <c r="AM67" s="2"/>
      <c r="AN67" s="2"/>
      <c r="AO67" s="2"/>
      <c r="AP67" s="2"/>
      <c r="AQ67" s="2"/>
      <c r="AR67" s="2"/>
      <c r="AS67" s="2"/>
      <c r="AT67" s="2"/>
      <c r="AU67" s="2"/>
      <c r="AV67" s="2"/>
      <c r="AW67" s="2"/>
      <c r="AX67" s="2"/>
      <c r="AY67" s="2"/>
      <c r="AZ67" s="2"/>
      <c r="BA67" s="2"/>
      <c r="BB67" s="2"/>
      <c r="BC67" s="2"/>
      <c r="BF67" s="2"/>
      <c r="BG67" s="199" t="s">
        <v>209</v>
      </c>
      <c r="BH67" s="216">
        <f>IF($B$64&gt;=1,$B67*0.3048,"")</f>
        <v>1.3716000000000002</v>
      </c>
      <c r="BI67" s="231">
        <f>IF($B$64&gt;=2,$C67*0.3048,"")</f>
        <v>1.3716000000000002</v>
      </c>
      <c r="BJ67" s="216" t="str">
        <f>IF($B$64&gt;=3,$D67*0.3048,"")</f>
        <v/>
      </c>
      <c r="BK67" s="231" t="str">
        <f>IF($B$64&gt;=4,$E67*0.3048,"")</f>
        <v/>
      </c>
      <c r="BL67" s="216" t="str">
        <f>IF($B$64&gt;=5,$F67*0.3048,"")</f>
        <v/>
      </c>
      <c r="BM67" s="231" t="str">
        <f>IF($B$64&gt;=6,$G67*0.3048,"")</f>
        <v/>
      </c>
      <c r="BN67" s="216" t="str">
        <f>IF($B$64&gt;=7,$H67*0.3048,"")</f>
        <v/>
      </c>
      <c r="BO67" s="228" t="str">
        <f>IF($B$64&gt;=8,$I67*0.3048,"")</f>
        <v/>
      </c>
      <c r="BP67" s="216" t="str">
        <f>IF($B$64&gt;=9,$J67*0.3048,"")</f>
        <v/>
      </c>
      <c r="BQ67" s="231" t="str">
        <f>IF($B$64&gt;=10,$K67*0.3048,"")</f>
        <v/>
      </c>
      <c r="BR67" s="216" t="str">
        <f>IF($B$64&gt;=11,$L67*0.3048,"")</f>
        <v/>
      </c>
      <c r="BS67" s="231" t="str">
        <f>IF($B$64&gt;=12,$M67*0.3048,"")</f>
        <v/>
      </c>
      <c r="BT67" s="216" t="str">
        <f>IF($B$64&gt;=13,$N67*0.3048,"")</f>
        <v/>
      </c>
      <c r="BU67" s="231" t="str">
        <f>IF($B$64&gt;=14,$O67*0.3048,"")</f>
        <v/>
      </c>
      <c r="BV67" s="216" t="str">
        <f>IF($B$64&gt;=15,$P67*0.3048,"")</f>
        <v/>
      </c>
      <c r="BW67" s="228" t="str">
        <f>IF($B$64&gt;=16,$Q67*0.3048,"")</f>
        <v/>
      </c>
      <c r="BX67" s="228" t="str">
        <f>IF($B$64&gt;=17,$R67*0.3048,"")</f>
        <v/>
      </c>
      <c r="BY67" s="228" t="str">
        <f>IF($B$64&gt;=18,$S67*0.3048,"")</f>
        <v/>
      </c>
      <c r="BZ67" s="228" t="str">
        <f>IF($B$64&gt;=19,$T67*0.3048,"")</f>
        <v/>
      </c>
      <c r="CA67" s="228" t="str">
        <f>IF($B$64&gt;=20,$U67*0.3048,"")</f>
        <v/>
      </c>
      <c r="CB67" s="228" t="str">
        <f>IF($B$64&gt;=21,$V67*0.3048,"")</f>
        <v/>
      </c>
      <c r="CC67" s="228" t="str">
        <f>IF($B$64&gt;=22,$W67*0.3048,"")</f>
        <v/>
      </c>
      <c r="CD67" s="228" t="str">
        <f>IF($B$64=23,$X67*0.3048,"")</f>
        <v/>
      </c>
    </row>
    <row r="68" spans="1:82" x14ac:dyDescent="0.25">
      <c r="A68" s="45" t="s">
        <v>153</v>
      </c>
      <c r="B68" s="145">
        <v>9</v>
      </c>
      <c r="C68" s="145">
        <v>18</v>
      </c>
      <c r="D68" s="158"/>
      <c r="E68" s="145"/>
      <c r="F68" s="158"/>
      <c r="G68" s="145"/>
      <c r="H68" s="158"/>
      <c r="I68" s="145"/>
      <c r="J68" s="145"/>
      <c r="K68" s="145"/>
      <c r="L68" s="158"/>
      <c r="M68" s="145"/>
      <c r="N68" s="158"/>
      <c r="O68" s="145"/>
      <c r="P68" s="158"/>
      <c r="Q68" s="145"/>
      <c r="R68" s="145"/>
      <c r="S68" s="145"/>
      <c r="T68" s="145"/>
      <c r="U68" s="145"/>
      <c r="V68" s="145"/>
      <c r="W68" s="145"/>
      <c r="X68" s="145"/>
      <c r="Y68" s="259"/>
      <c r="Z68" s="2"/>
      <c r="AA68" s="264">
        <v>64</v>
      </c>
      <c r="AB68" s="16" t="str">
        <f t="shared" si="77"/>
        <v/>
      </c>
      <c r="AC68" s="16" t="str">
        <f t="shared" si="78"/>
        <v/>
      </c>
      <c r="AD68" s="16" t="str">
        <f t="shared" si="2"/>
        <v/>
      </c>
      <c r="AE68" s="16" t="str">
        <f t="shared" si="3"/>
        <v/>
      </c>
      <c r="AF68" s="16" t="str">
        <f t="shared" si="4"/>
        <v/>
      </c>
      <c r="AG68" s="16" t="str">
        <f t="shared" si="79"/>
        <v/>
      </c>
      <c r="AH68" s="16" t="str">
        <f t="shared" si="80"/>
        <v/>
      </c>
      <c r="AI68" s="29" t="str">
        <f t="shared" si="7"/>
        <v/>
      </c>
      <c r="AJ68" s="29" t="str">
        <f t="shared" si="8"/>
        <v/>
      </c>
      <c r="AK68" s="2"/>
      <c r="AL68" s="2"/>
      <c r="AM68" s="2"/>
      <c r="AN68" s="2"/>
      <c r="AO68" s="2"/>
      <c r="AP68" s="2"/>
      <c r="AQ68" s="2"/>
      <c r="AR68" s="2"/>
      <c r="AS68" s="2"/>
      <c r="AT68" s="2"/>
      <c r="AU68" s="2"/>
      <c r="AV68" s="2"/>
      <c r="AW68" s="2"/>
      <c r="AX68" s="2"/>
      <c r="AY68" s="2"/>
      <c r="AZ68" s="2"/>
      <c r="BA68" s="2"/>
      <c r="BB68" s="2"/>
      <c r="BC68" s="2"/>
      <c r="BF68" s="2"/>
      <c r="BG68" s="199" t="s">
        <v>210</v>
      </c>
      <c r="BH68" s="217">
        <f>IF($B$64&gt;=1,$B68*0.3048,"")</f>
        <v>2.7432000000000003</v>
      </c>
      <c r="BI68" s="232">
        <f>IF($B$64&gt;=2,$C68*0.3048,"")</f>
        <v>5.4864000000000006</v>
      </c>
      <c r="BJ68" s="217" t="str">
        <f>IF($B$64&gt;=3,$D68*0.3048,"")</f>
        <v/>
      </c>
      <c r="BK68" s="232" t="str">
        <f>IF($B$64&gt;=4,$E68*0.3048,"")</f>
        <v/>
      </c>
      <c r="BL68" s="217" t="str">
        <f>IF($B$64&gt;=5,$F68*0.3048,"")</f>
        <v/>
      </c>
      <c r="BM68" s="232" t="str">
        <f>IF($B$64&gt;=6,$G68*0.3048,"")</f>
        <v/>
      </c>
      <c r="BN68" s="217" t="str">
        <f>IF($B$64&gt;=7,$H68*0.3048,"")</f>
        <v/>
      </c>
      <c r="BO68" s="229" t="str">
        <f>IF($B$64&gt;=8,$I68*0.3048,"")</f>
        <v/>
      </c>
      <c r="BP68" s="217" t="str">
        <f>IF($B$64&gt;=9,$J68*0.3048,"")</f>
        <v/>
      </c>
      <c r="BQ68" s="232" t="str">
        <f>IF($B$64&gt;=10,$K68*0.3048,"")</f>
        <v/>
      </c>
      <c r="BR68" s="217" t="str">
        <f>IF($B$64&gt;=11,$L68*0.3048,"")</f>
        <v/>
      </c>
      <c r="BS68" s="232" t="str">
        <f>IF($B$64&gt;=12,$M68*0.3048,"")</f>
        <v/>
      </c>
      <c r="BT68" s="217" t="str">
        <f>IF($B$64&gt;=13,$N68*0.3048,"")</f>
        <v/>
      </c>
      <c r="BU68" s="232" t="str">
        <f>IF($B$64&gt;=14,$O68*0.3048,"")</f>
        <v/>
      </c>
      <c r="BV68" s="217" t="str">
        <f>IF($B$64&gt;=15,$P68*0.3048,"")</f>
        <v/>
      </c>
      <c r="BW68" s="229" t="str">
        <f>IF($B$64&gt;=16,$Q68*0.3048,"")</f>
        <v/>
      </c>
      <c r="BX68" s="229" t="str">
        <f>IF($B$64&gt;=17,$R68*0.3048,"")</f>
        <v/>
      </c>
      <c r="BY68" s="229" t="str">
        <f>IF($B$64&gt;=18,$S68*0.3048,"")</f>
        <v/>
      </c>
      <c r="BZ68" s="229" t="str">
        <f>IF($B$64&gt;=19,$T68*0.3048,"")</f>
        <v/>
      </c>
      <c r="CA68" s="229" t="str">
        <f>IF($B$64&gt;=20,$U68*0.3048,"")</f>
        <v/>
      </c>
      <c r="CB68" s="229" t="str">
        <f>IF($B$64&gt;=21,$V68*0.3048,"")</f>
        <v/>
      </c>
      <c r="CC68" s="229" t="str">
        <f>IF($B$64&gt;=22,$W68*0.3048,"")</f>
        <v/>
      </c>
      <c r="CD68" s="229" t="str">
        <f>IF($B$64=23,$X68*0.3048,"")</f>
        <v/>
      </c>
    </row>
    <row r="69" spans="1:82" x14ac:dyDescent="0.25">
      <c r="A69" s="45" t="s">
        <v>154</v>
      </c>
      <c r="B69" s="145">
        <v>5</v>
      </c>
      <c r="C69" s="145">
        <v>5</v>
      </c>
      <c r="D69" s="158"/>
      <c r="E69" s="145"/>
      <c r="F69" s="158"/>
      <c r="G69" s="145"/>
      <c r="H69" s="158"/>
      <c r="I69" s="145"/>
      <c r="J69" s="145"/>
      <c r="K69" s="145"/>
      <c r="L69" s="158"/>
      <c r="M69" s="145"/>
      <c r="N69" s="158"/>
      <c r="O69" s="145"/>
      <c r="P69" s="158"/>
      <c r="Q69" s="145"/>
      <c r="R69" s="145"/>
      <c r="S69" s="145"/>
      <c r="T69" s="145"/>
      <c r="U69" s="145"/>
      <c r="V69" s="145"/>
      <c r="W69" s="145"/>
      <c r="X69" s="145"/>
      <c r="Y69" s="259"/>
      <c r="Z69" s="2"/>
      <c r="AA69" s="264">
        <v>65</v>
      </c>
      <c r="AB69" s="16" t="str">
        <f t="shared" si="77"/>
        <v/>
      </c>
      <c r="AC69" s="16" t="str">
        <f t="shared" si="78"/>
        <v/>
      </c>
      <c r="AD69" s="16" t="str">
        <f t="shared" ref="AD69:AD132" si="81">IF($C$9&gt;=$AA69,$AB69^2,"")</f>
        <v/>
      </c>
      <c r="AE69" s="16" t="str">
        <f t="shared" ref="AE69:AE132" si="82">IF($C$9&gt;=$AA69,$AC69^2,"")</f>
        <v/>
      </c>
      <c r="AF69" s="16" t="str">
        <f t="shared" ref="AF69:AF132" si="83">IF($C$9&gt;=$AA69,$AB69*$AC69,"")</f>
        <v/>
      </c>
      <c r="AG69" s="16" t="str">
        <f t="shared" si="79"/>
        <v/>
      </c>
      <c r="AH69" s="16" t="str">
        <f t="shared" si="80"/>
        <v/>
      </c>
      <c r="AI69" s="29" t="str">
        <f t="shared" ref="AI69:AI132" si="84">IF($C$9&gt;=$AA69,(-$AF$418/$C$9+($AF$422*$AB$411--$AF$421*$AB$414)/($AB$411*$AB$412-$AB$414^2)*$AG69+(-$AF$421*$AB$412-$AF$422*$AB$414)/($AB$411*$AB$412-$AB$414^2)*$AH69),"")</f>
        <v/>
      </c>
      <c r="AJ69" s="29" t="str">
        <f t="shared" ref="AJ69:AJ132" si="85">IF($C$9&gt;=$AA69,((($AF$419/$C$9+$AF$423*-$AH69/$AB$413)^2+($AF$420/$C$9+$AF$423*$AG69/$AB$413)^2)^(1/2)),"")</f>
        <v/>
      </c>
      <c r="AK69" s="2"/>
      <c r="AL69" s="2"/>
      <c r="AM69" s="2"/>
      <c r="AN69" s="2"/>
      <c r="AO69" s="2"/>
      <c r="AP69" s="2"/>
      <c r="AQ69" s="2"/>
      <c r="AR69" s="2"/>
      <c r="AS69" s="2"/>
      <c r="AT69" s="2"/>
      <c r="AU69" s="2"/>
      <c r="AV69" s="2"/>
      <c r="AW69" s="2"/>
      <c r="AX69" s="2"/>
      <c r="AY69" s="2"/>
      <c r="AZ69" s="2"/>
      <c r="BA69" s="2"/>
      <c r="BB69" s="2"/>
      <c r="BC69" s="2"/>
      <c r="BF69" s="2"/>
      <c r="BG69" s="199" t="s">
        <v>211</v>
      </c>
      <c r="BH69" s="217">
        <f>IF($B$64&gt;=1,$B69*0.3048,"")</f>
        <v>1.524</v>
      </c>
      <c r="BI69" s="232">
        <f>IF($B$64&gt;=2,$C69*0.3048,"")</f>
        <v>1.524</v>
      </c>
      <c r="BJ69" s="217" t="str">
        <f>IF($B$64&gt;=3,$D69*0.3048,"")</f>
        <v/>
      </c>
      <c r="BK69" s="232" t="str">
        <f>IF($B$64&gt;=4,$E69*0.3048,"")</f>
        <v/>
      </c>
      <c r="BL69" s="217" t="str">
        <f>IF($B$64&gt;=5,$F69*0.3048,"")</f>
        <v/>
      </c>
      <c r="BM69" s="232" t="str">
        <f>IF($B$64&gt;=6,$G69*0.3048,"")</f>
        <v/>
      </c>
      <c r="BN69" s="217" t="str">
        <f>IF($B$64&gt;=7,$H69*0.3048,"")</f>
        <v/>
      </c>
      <c r="BO69" s="229" t="str">
        <f>IF($B$64&gt;=8,$I69*0.3048,"")</f>
        <v/>
      </c>
      <c r="BP69" s="217" t="str">
        <f>IF($B$64&gt;=9,$J69*0.3048,"")</f>
        <v/>
      </c>
      <c r="BQ69" s="232" t="str">
        <f>IF($B$64&gt;=10,$K69*0.3048,"")</f>
        <v/>
      </c>
      <c r="BR69" s="217" t="str">
        <f>IF($B$64&gt;=11,$L69*0.3048,"")</f>
        <v/>
      </c>
      <c r="BS69" s="232" t="str">
        <f>IF($B$64&gt;=12,$M69*0.3048,"")</f>
        <v/>
      </c>
      <c r="BT69" s="217" t="str">
        <f>IF($B$64&gt;=13,$N69*0.3048,"")</f>
        <v/>
      </c>
      <c r="BU69" s="232" t="str">
        <f>IF($B$64&gt;=14,$O69*0.3048,"")</f>
        <v/>
      </c>
      <c r="BV69" s="217" t="str">
        <f>IF($B$64&gt;=15,$P69*0.3048,"")</f>
        <v/>
      </c>
      <c r="BW69" s="229" t="str">
        <f>IF($B$64&gt;=16,$Q69*0.3048,"")</f>
        <v/>
      </c>
      <c r="BX69" s="229" t="str">
        <f>IF($B$64&gt;=17,$R69*0.3048,"")</f>
        <v/>
      </c>
      <c r="BY69" s="229" t="str">
        <f>IF($B$64&gt;=18,$S69*0.3048,"")</f>
        <v/>
      </c>
      <c r="BZ69" s="229" t="str">
        <f>IF($B$64&gt;=19,$T69*0.3048,"")</f>
        <v/>
      </c>
      <c r="CA69" s="229" t="str">
        <f>IF($B$64&gt;=20,$U69*0.3048,"")</f>
        <v/>
      </c>
      <c r="CB69" s="229" t="str">
        <f>IF($B$64&gt;=21,$V69*0.3048,"")</f>
        <v/>
      </c>
      <c r="CC69" s="229" t="str">
        <f>IF($B$64&gt;=22,$W69*0.3048,"")</f>
        <v/>
      </c>
      <c r="CD69" s="229" t="str">
        <f>IF($B$64=23,$X69*0.3048,"")</f>
        <v/>
      </c>
    </row>
    <row r="70" spans="1:82" x14ac:dyDescent="0.25">
      <c r="A70" s="45" t="s">
        <v>155</v>
      </c>
      <c r="B70" s="159">
        <v>-1500</v>
      </c>
      <c r="C70" s="159">
        <v>-1500</v>
      </c>
      <c r="D70" s="160"/>
      <c r="E70" s="159"/>
      <c r="F70" s="160"/>
      <c r="G70" s="159"/>
      <c r="H70" s="160"/>
      <c r="I70" s="159"/>
      <c r="J70" s="159"/>
      <c r="K70" s="159"/>
      <c r="L70" s="160"/>
      <c r="M70" s="159"/>
      <c r="N70" s="160"/>
      <c r="O70" s="159"/>
      <c r="P70" s="160"/>
      <c r="Q70" s="159"/>
      <c r="R70" s="159"/>
      <c r="S70" s="159"/>
      <c r="T70" s="159"/>
      <c r="U70" s="159"/>
      <c r="V70" s="159"/>
      <c r="W70" s="159"/>
      <c r="X70" s="159"/>
      <c r="Y70" s="259"/>
      <c r="Z70" s="2"/>
      <c r="AA70" s="264">
        <v>66</v>
      </c>
      <c r="AB70" s="16" t="str">
        <f t="shared" si="77"/>
        <v/>
      </c>
      <c r="AC70" s="16" t="str">
        <f t="shared" si="78"/>
        <v/>
      </c>
      <c r="AD70" s="16" t="str">
        <f t="shared" si="81"/>
        <v/>
      </c>
      <c r="AE70" s="16" t="str">
        <f t="shared" si="82"/>
        <v/>
      </c>
      <c r="AF70" s="16" t="str">
        <f t="shared" si="83"/>
        <v/>
      </c>
      <c r="AG70" s="16" t="str">
        <f t="shared" si="79"/>
        <v/>
      </c>
      <c r="AH70" s="16" t="str">
        <f t="shared" si="80"/>
        <v/>
      </c>
      <c r="AI70" s="29" t="str">
        <f t="shared" si="84"/>
        <v/>
      </c>
      <c r="AJ70" s="29" t="str">
        <f t="shared" si="85"/>
        <v/>
      </c>
      <c r="AK70" s="2"/>
      <c r="AL70" s="2"/>
      <c r="AM70" s="2"/>
      <c r="AN70" s="2"/>
      <c r="AO70" s="2"/>
      <c r="AP70" s="2"/>
      <c r="AQ70" s="2"/>
      <c r="AR70" s="2"/>
      <c r="AS70" s="2"/>
      <c r="AT70" s="2"/>
      <c r="AU70" s="2"/>
      <c r="AV70" s="2"/>
      <c r="AW70" s="2"/>
      <c r="AX70" s="2"/>
      <c r="AY70" s="2"/>
      <c r="AZ70" s="2"/>
      <c r="BA70" s="2"/>
      <c r="BB70" s="2"/>
      <c r="BC70" s="2"/>
      <c r="BF70" s="2"/>
      <c r="BG70" s="199" t="s">
        <v>212</v>
      </c>
      <c r="BH70" s="233">
        <f>IF($B$64&gt;=1,$B70*4.448222,"")</f>
        <v>-6672.3330000000005</v>
      </c>
      <c r="BI70" s="234">
        <f>IF($B$64&gt;=2,$C70*4.448222,"")</f>
        <v>-6672.3330000000005</v>
      </c>
      <c r="BJ70" s="233" t="str">
        <f>IF($B$64&gt;=3,$D70*4.448222,"")</f>
        <v/>
      </c>
      <c r="BK70" s="234" t="str">
        <f>IF($B$64&gt;=4,$E70*4.448222,"")</f>
        <v/>
      </c>
      <c r="BL70" s="233" t="str">
        <f>IF($B$64&gt;=5,$F70*4.448222,"")</f>
        <v/>
      </c>
      <c r="BM70" s="234" t="str">
        <f>IF($B$64&gt;=6,$G70*4.448222,"")</f>
        <v/>
      </c>
      <c r="BN70" s="233" t="str">
        <f>IF($B$64&gt;=7,$H70*4.448222,"")</f>
        <v/>
      </c>
      <c r="BO70" s="235" t="str">
        <f>IF($B$64&gt;=8,$I70*4.448222,"")</f>
        <v/>
      </c>
      <c r="BP70" s="233" t="str">
        <f>IF($B$64&gt;=9,$J70*4.448222,"")</f>
        <v/>
      </c>
      <c r="BQ70" s="234" t="str">
        <f>IF($B$64&gt;=10,$K70*4.448222,"")</f>
        <v/>
      </c>
      <c r="BR70" s="233" t="str">
        <f>IF($B$64&gt;=11,$L70*4.448222,"")</f>
        <v/>
      </c>
      <c r="BS70" s="234" t="str">
        <f>IF($B$64&gt;=12,$M70*4.448222,"")</f>
        <v/>
      </c>
      <c r="BT70" s="233" t="str">
        <f>IF($B$64&gt;=13,$N70*4.448222,"")</f>
        <v/>
      </c>
      <c r="BU70" s="234" t="str">
        <f>IF($B$64&gt;=14,$O70*4.448222,"")</f>
        <v/>
      </c>
      <c r="BV70" s="233" t="str">
        <f>IF($B$64&gt;=15,$P70*4.448222,"")</f>
        <v/>
      </c>
      <c r="BW70" s="235" t="str">
        <f>IF($B$64&gt;=16,$Q70*4.448222,"")</f>
        <v/>
      </c>
      <c r="BX70" s="235" t="str">
        <f>IF($B$64&gt;=17,$R70*4.448222,"")</f>
        <v/>
      </c>
      <c r="BY70" s="235" t="str">
        <f>IF($B$64&gt;=18,$S70*4.448222,"")</f>
        <v/>
      </c>
      <c r="BZ70" s="235" t="str">
        <f>IF($B$64&gt;=19,$T70*4.448222,"")</f>
        <v/>
      </c>
      <c r="CA70" s="235" t="str">
        <f>IF($B$64&gt;=20,$U70*4.448222,"")</f>
        <v/>
      </c>
      <c r="CB70" s="235" t="str">
        <f>IF($B$64&gt;=21,$V70*4.448222,"")</f>
        <v/>
      </c>
      <c r="CC70" s="235" t="str">
        <f>IF($B$64&gt;=22,$W70*4.448222,"")</f>
        <v/>
      </c>
      <c r="CD70" s="235" t="str">
        <f>IF($B$64=23,$X70*4.448222,"")</f>
        <v/>
      </c>
    </row>
    <row r="71" spans="1:82" x14ac:dyDescent="0.25">
      <c r="A71" s="45" t="s">
        <v>156</v>
      </c>
      <c r="B71" s="159">
        <v>-20</v>
      </c>
      <c r="C71" s="159">
        <v>-20</v>
      </c>
      <c r="D71" s="160"/>
      <c r="E71" s="159"/>
      <c r="F71" s="160"/>
      <c r="G71" s="159"/>
      <c r="H71" s="160"/>
      <c r="I71" s="159"/>
      <c r="J71" s="159"/>
      <c r="K71" s="159"/>
      <c r="L71" s="160"/>
      <c r="M71" s="159"/>
      <c r="N71" s="160"/>
      <c r="O71" s="159"/>
      <c r="P71" s="160"/>
      <c r="Q71" s="159"/>
      <c r="R71" s="159"/>
      <c r="S71" s="159"/>
      <c r="T71" s="159"/>
      <c r="U71" s="159"/>
      <c r="V71" s="159"/>
      <c r="W71" s="159"/>
      <c r="X71" s="159"/>
      <c r="Y71" s="259"/>
      <c r="Z71" s="2"/>
      <c r="AA71" s="264">
        <v>67</v>
      </c>
      <c r="AB71" s="16" t="str">
        <f t="shared" si="77"/>
        <v/>
      </c>
      <c r="AC71" s="16" t="str">
        <f t="shared" si="78"/>
        <v/>
      </c>
      <c r="AD71" s="16" t="str">
        <f t="shared" si="81"/>
        <v/>
      </c>
      <c r="AE71" s="16" t="str">
        <f t="shared" si="82"/>
        <v/>
      </c>
      <c r="AF71" s="16" t="str">
        <f t="shared" si="83"/>
        <v/>
      </c>
      <c r="AG71" s="16" t="str">
        <f t="shared" si="79"/>
        <v/>
      </c>
      <c r="AH71" s="16" t="str">
        <f t="shared" si="80"/>
        <v/>
      </c>
      <c r="AI71" s="29" t="str">
        <f t="shared" si="84"/>
        <v/>
      </c>
      <c r="AJ71" s="29" t="str">
        <f t="shared" si="85"/>
        <v/>
      </c>
      <c r="AK71" s="2"/>
      <c r="AL71" s="2"/>
      <c r="AM71" s="2"/>
      <c r="AN71" s="2"/>
      <c r="AO71" s="2"/>
      <c r="AP71" s="2"/>
      <c r="AQ71" s="2"/>
      <c r="AR71" s="2"/>
      <c r="AS71" s="2"/>
      <c r="AT71" s="2"/>
      <c r="AU71" s="2"/>
      <c r="AV71" s="2"/>
      <c r="AW71" s="2"/>
      <c r="AX71" s="2"/>
      <c r="AY71" s="2"/>
      <c r="AZ71" s="2"/>
      <c r="BA71" s="2"/>
      <c r="BB71" s="2"/>
      <c r="BC71" s="2"/>
      <c r="BF71" s="2"/>
      <c r="BG71" s="199" t="s">
        <v>213</v>
      </c>
      <c r="BH71" s="233">
        <f>IF($B$64&gt;=1,$B71*4.448222,"")</f>
        <v>-88.96444000000001</v>
      </c>
      <c r="BI71" s="234">
        <f>IF($B$64&gt;=2,$C71*4.448222,"")</f>
        <v>-88.96444000000001</v>
      </c>
      <c r="BJ71" s="233" t="str">
        <f>IF($B$64&gt;=3,$D71*4.448222,"")</f>
        <v/>
      </c>
      <c r="BK71" s="234" t="str">
        <f>IF($B$64&gt;=4,$E71*4.448222,"")</f>
        <v/>
      </c>
      <c r="BL71" s="233" t="str">
        <f>IF($B$64&gt;=5,$F71*4.448222,"")</f>
        <v/>
      </c>
      <c r="BM71" s="234" t="str">
        <f>IF($B$64&gt;=6,$G71*4.448222,"")</f>
        <v/>
      </c>
      <c r="BN71" s="233" t="str">
        <f>IF($B$64&gt;=7,$H71*4.448222,"")</f>
        <v/>
      </c>
      <c r="BO71" s="235" t="str">
        <f>IF($B$64&gt;=8,$I71*4.448222,"")</f>
        <v/>
      </c>
      <c r="BP71" s="233" t="str">
        <f>IF($B$64&gt;=9,$J71*4.448222,"")</f>
        <v/>
      </c>
      <c r="BQ71" s="234" t="str">
        <f>IF($B$64&gt;=10,$K71*4.448222,"")</f>
        <v/>
      </c>
      <c r="BR71" s="233" t="str">
        <f>IF($B$64&gt;=11,$L71*4.448222,"")</f>
        <v/>
      </c>
      <c r="BS71" s="234" t="str">
        <f>IF($B$64&gt;=12,$M71*4.448222,"")</f>
        <v/>
      </c>
      <c r="BT71" s="233" t="str">
        <f>IF($B$64&gt;=13,$N71*4.448222,"")</f>
        <v/>
      </c>
      <c r="BU71" s="234" t="str">
        <f>IF($B$64&gt;=14,$O71*4.448222,"")</f>
        <v/>
      </c>
      <c r="BV71" s="233" t="str">
        <f>IF($B$64&gt;=15,$P71*4.448222,"")</f>
        <v/>
      </c>
      <c r="BW71" s="235" t="str">
        <f>IF($B$64&gt;=16,$Q71*4.448222,"")</f>
        <v/>
      </c>
      <c r="BX71" s="235" t="str">
        <f>IF($B$64&gt;=17,$R71*4.448222,"")</f>
        <v/>
      </c>
      <c r="BY71" s="235" t="str">
        <f>IF($B$64&gt;=18,$S71*4.448222,"")</f>
        <v/>
      </c>
      <c r="BZ71" s="235" t="str">
        <f>IF($B$64&gt;=19,$T71*4.448222,"")</f>
        <v/>
      </c>
      <c r="CA71" s="235" t="str">
        <f>IF($B$64&gt;=20,$U71*4.448222,"")</f>
        <v/>
      </c>
      <c r="CB71" s="235" t="str">
        <f>IF($B$64&gt;=21,$V71*4.448222,"")</f>
        <v/>
      </c>
      <c r="CC71" s="235" t="str">
        <f>IF($B$64&gt;=22,$W71*4.448222,"")</f>
        <v/>
      </c>
      <c r="CD71" s="235" t="str">
        <f>IF($B$64=23,$X71*4.448222,"")</f>
        <v/>
      </c>
    </row>
    <row r="72" spans="1:82" x14ac:dyDescent="0.25">
      <c r="A72" s="45" t="s">
        <v>157</v>
      </c>
      <c r="B72" s="159">
        <v>-30</v>
      </c>
      <c r="C72" s="159">
        <v>-30</v>
      </c>
      <c r="D72" s="160"/>
      <c r="E72" s="159"/>
      <c r="F72" s="160"/>
      <c r="G72" s="159"/>
      <c r="H72" s="160"/>
      <c r="I72" s="159"/>
      <c r="J72" s="159"/>
      <c r="K72" s="159"/>
      <c r="L72" s="160"/>
      <c r="M72" s="159"/>
      <c r="N72" s="160"/>
      <c r="O72" s="159"/>
      <c r="P72" s="160"/>
      <c r="Q72" s="159"/>
      <c r="R72" s="159"/>
      <c r="S72" s="159"/>
      <c r="T72" s="159"/>
      <c r="U72" s="159"/>
      <c r="V72" s="159"/>
      <c r="W72" s="159"/>
      <c r="X72" s="159"/>
      <c r="Y72" s="259"/>
      <c r="Z72" s="2"/>
      <c r="AA72" s="264">
        <v>68</v>
      </c>
      <c r="AB72" s="16" t="str">
        <f t="shared" si="77"/>
        <v/>
      </c>
      <c r="AC72" s="16" t="str">
        <f t="shared" si="78"/>
        <v/>
      </c>
      <c r="AD72" s="16" t="str">
        <f t="shared" si="81"/>
        <v/>
      </c>
      <c r="AE72" s="16" t="str">
        <f t="shared" si="82"/>
        <v/>
      </c>
      <c r="AF72" s="16" t="str">
        <f t="shared" si="83"/>
        <v/>
      </c>
      <c r="AG72" s="16" t="str">
        <f t="shared" si="79"/>
        <v/>
      </c>
      <c r="AH72" s="16" t="str">
        <f t="shared" si="80"/>
        <v/>
      </c>
      <c r="AI72" s="29" t="str">
        <f t="shared" si="84"/>
        <v/>
      </c>
      <c r="AJ72" s="29" t="str">
        <f t="shared" si="85"/>
        <v/>
      </c>
      <c r="AK72" s="2"/>
      <c r="AL72" s="2"/>
      <c r="AM72" s="2"/>
      <c r="AN72" s="2"/>
      <c r="AO72" s="2"/>
      <c r="AP72" s="2"/>
      <c r="AQ72" s="2"/>
      <c r="AR72" s="2"/>
      <c r="AS72" s="2"/>
      <c r="AT72" s="2"/>
      <c r="AU72" s="2"/>
      <c r="AV72" s="2"/>
      <c r="AW72" s="2"/>
      <c r="AX72" s="2"/>
      <c r="AY72" s="2"/>
      <c r="AZ72" s="2"/>
      <c r="BA72" s="2"/>
      <c r="BB72" s="2"/>
      <c r="BC72" s="2"/>
      <c r="BF72" s="2"/>
      <c r="BG72" s="199" t="s">
        <v>214</v>
      </c>
      <c r="BH72" s="233">
        <f>IF($B$64&gt;=1,$B72*4.448222,"")</f>
        <v>-133.44666000000001</v>
      </c>
      <c r="BI72" s="234">
        <f>IF($B$64&gt;=2,$C72*4.448222,"")</f>
        <v>-133.44666000000001</v>
      </c>
      <c r="BJ72" s="233" t="str">
        <f>IF($B$64&gt;=3,$D72*4.448222,"")</f>
        <v/>
      </c>
      <c r="BK72" s="234" t="str">
        <f>IF($B$64&gt;=4,$E72*4.448222,"")</f>
        <v/>
      </c>
      <c r="BL72" s="233" t="str">
        <f>IF($B$64&gt;=5,$F72*4.448222,"")</f>
        <v/>
      </c>
      <c r="BM72" s="234" t="str">
        <f>IF($B$64&gt;=6,$G72*4.448222,"")</f>
        <v/>
      </c>
      <c r="BN72" s="233" t="str">
        <f>IF($B$64&gt;=7,$H72*4.448222,"")</f>
        <v/>
      </c>
      <c r="BO72" s="235" t="str">
        <f>IF($B$64&gt;=8,$I72*4.448222,"")</f>
        <v/>
      </c>
      <c r="BP72" s="233" t="str">
        <f>IF($B$64&gt;=9,$J72*4.448222,"")</f>
        <v/>
      </c>
      <c r="BQ72" s="234" t="str">
        <f>IF($B$64&gt;=10,$K72*4.448222,"")</f>
        <v/>
      </c>
      <c r="BR72" s="233" t="str">
        <f>IF($B$64&gt;=11,$L72*4.448222,"")</f>
        <v/>
      </c>
      <c r="BS72" s="234" t="str">
        <f>IF($B$64&gt;=12,$M72*4.448222,"")</f>
        <v/>
      </c>
      <c r="BT72" s="233" t="str">
        <f>IF($B$64&gt;=13,$N72*4.448222,"")</f>
        <v/>
      </c>
      <c r="BU72" s="234" t="str">
        <f>IF($B$64&gt;=14,$O72*4.448222,"")</f>
        <v/>
      </c>
      <c r="BV72" s="233" t="str">
        <f>IF($B$64&gt;=15,$P72*4.448222,"")</f>
        <v/>
      </c>
      <c r="BW72" s="235" t="str">
        <f>IF($B$64&gt;=16,$Q72*4.448222,"")</f>
        <v/>
      </c>
      <c r="BX72" s="235" t="str">
        <f>IF($B$64&gt;=17,$R72*4.448222,"")</f>
        <v/>
      </c>
      <c r="BY72" s="235" t="str">
        <f>IF($B$64&gt;=18,$S72*4.448222,"")</f>
        <v/>
      </c>
      <c r="BZ72" s="235" t="str">
        <f>IF($B$64&gt;=19,$T72*4.448222,"")</f>
        <v/>
      </c>
      <c r="CA72" s="235" t="str">
        <f>IF($B$64&gt;=20,$U72*4.448222,"")</f>
        <v/>
      </c>
      <c r="CB72" s="235" t="str">
        <f>IF($B$64&gt;=21,$V72*4.448222,"")</f>
        <v/>
      </c>
      <c r="CC72" s="235" t="str">
        <f>IF($B$64&gt;=22,$W72*4.448222,"")</f>
        <v/>
      </c>
      <c r="CD72" s="235" t="str">
        <f>IF($B$64=23,$X72*4.448222,"")</f>
        <v/>
      </c>
    </row>
    <row r="73" spans="1:82" x14ac:dyDescent="0.25">
      <c r="A73" s="45" t="s">
        <v>158</v>
      </c>
      <c r="B73" s="159">
        <v>100</v>
      </c>
      <c r="C73" s="159">
        <v>100</v>
      </c>
      <c r="D73" s="160"/>
      <c r="E73" s="159"/>
      <c r="F73" s="160"/>
      <c r="G73" s="159"/>
      <c r="H73" s="160"/>
      <c r="I73" s="159"/>
      <c r="J73" s="159"/>
      <c r="K73" s="159"/>
      <c r="L73" s="160"/>
      <c r="M73" s="159"/>
      <c r="N73" s="160"/>
      <c r="O73" s="159"/>
      <c r="P73" s="160"/>
      <c r="Q73" s="159"/>
      <c r="R73" s="159"/>
      <c r="S73" s="159"/>
      <c r="T73" s="159"/>
      <c r="U73" s="159"/>
      <c r="V73" s="159"/>
      <c r="W73" s="159"/>
      <c r="X73" s="159"/>
      <c r="Y73" s="259"/>
      <c r="Z73" s="2"/>
      <c r="AA73" s="264">
        <v>69</v>
      </c>
      <c r="AB73" s="16" t="str">
        <f t="shared" si="77"/>
        <v/>
      </c>
      <c r="AC73" s="16" t="str">
        <f t="shared" si="78"/>
        <v/>
      </c>
      <c r="AD73" s="16" t="str">
        <f t="shared" si="81"/>
        <v/>
      </c>
      <c r="AE73" s="16" t="str">
        <f t="shared" si="82"/>
        <v/>
      </c>
      <c r="AF73" s="16" t="str">
        <f t="shared" si="83"/>
        <v/>
      </c>
      <c r="AG73" s="16" t="str">
        <f t="shared" si="79"/>
        <v/>
      </c>
      <c r="AH73" s="16" t="str">
        <f t="shared" si="80"/>
        <v/>
      </c>
      <c r="AI73" s="29" t="str">
        <f t="shared" si="84"/>
        <v/>
      </c>
      <c r="AJ73" s="29" t="str">
        <f t="shared" si="85"/>
        <v/>
      </c>
      <c r="AK73" s="2"/>
      <c r="AL73" s="2"/>
      <c r="AM73" s="2"/>
      <c r="AN73" s="2"/>
      <c r="AO73" s="2"/>
      <c r="AP73" s="2"/>
      <c r="AQ73" s="2"/>
      <c r="AR73" s="2"/>
      <c r="AS73" s="2"/>
      <c r="AT73" s="2"/>
      <c r="AU73" s="2"/>
      <c r="AV73" s="2"/>
      <c r="AW73" s="2"/>
      <c r="AX73" s="2"/>
      <c r="AY73" s="2"/>
      <c r="AZ73" s="2"/>
      <c r="BA73" s="2"/>
      <c r="BB73" s="2"/>
      <c r="BC73" s="2"/>
      <c r="BF73" s="2"/>
      <c r="BG73" s="199" t="s">
        <v>215</v>
      </c>
      <c r="BH73" s="233">
        <f>IF($B$64&gt;=1,$B73*1.355818,"")</f>
        <v>135.58179999999999</v>
      </c>
      <c r="BI73" s="234">
        <f>IF($B$64&gt;=2,$C73*1.355818,"")</f>
        <v>135.58179999999999</v>
      </c>
      <c r="BJ73" s="233" t="str">
        <f>IF($B$64&gt;=3,$D73*1.355818,"")</f>
        <v/>
      </c>
      <c r="BK73" s="234" t="str">
        <f>IF($B$64&gt;=4,$E73*1.355818,"")</f>
        <v/>
      </c>
      <c r="BL73" s="233" t="str">
        <f>IF($B$64&gt;=5,$F73*1.355818,"")</f>
        <v/>
      </c>
      <c r="BM73" s="234" t="str">
        <f>IF($B$64&gt;=6,$G73*1.355818,"")</f>
        <v/>
      </c>
      <c r="BN73" s="233" t="str">
        <f>IF($B$64&gt;=7,$H73*1.355818,"")</f>
        <v/>
      </c>
      <c r="BO73" s="235" t="str">
        <f>IF($B$64&gt;=8,$I73*1.355818,"")</f>
        <v/>
      </c>
      <c r="BP73" s="233" t="str">
        <f>IF($B$64&gt;=9,$J73*1.355818,"")</f>
        <v/>
      </c>
      <c r="BQ73" s="234" t="str">
        <f>IF($B$64&gt;=10,$K73*1.355818,"")</f>
        <v/>
      </c>
      <c r="BR73" s="233" t="str">
        <f>IF($B$64&gt;=11,$L73*1.355818,"")</f>
        <v/>
      </c>
      <c r="BS73" s="234" t="str">
        <f>IF($B$64&gt;=12,$M73*1.355818,"")</f>
        <v/>
      </c>
      <c r="BT73" s="233" t="str">
        <f>IF($B$64&gt;=13,$N73*1.355818,"")</f>
        <v/>
      </c>
      <c r="BU73" s="234" t="str">
        <f>IF($B$64&gt;=14,$O73*1.355818,"")</f>
        <v/>
      </c>
      <c r="BV73" s="233" t="str">
        <f>IF($B$64&gt;=15,$P73*1.355818,"")</f>
        <v/>
      </c>
      <c r="BW73" s="235" t="str">
        <f>IF($B$64&gt;=16,$Q73*1.355818,"")</f>
        <v/>
      </c>
      <c r="BX73" s="235" t="str">
        <f>IF($B$64&gt;=17,$R73*1.355818,"")</f>
        <v/>
      </c>
      <c r="BY73" s="235" t="str">
        <f>IF($B$64&gt;=18,$S73*1.355818,"")</f>
        <v/>
      </c>
      <c r="BZ73" s="235" t="str">
        <f>IF($B$64&gt;=19,$T73*1.355818,"")</f>
        <v/>
      </c>
      <c r="CA73" s="235" t="str">
        <f>IF($B$64&gt;=20,$U73*1.355818,"")</f>
        <v/>
      </c>
      <c r="CB73" s="235" t="str">
        <f>IF($B$64&gt;=21,$V73*1.355818,"")</f>
        <v/>
      </c>
      <c r="CC73" s="235" t="str">
        <f>IF($B$64&gt;=22,$W73*1.355818,"")</f>
        <v/>
      </c>
      <c r="CD73" s="235" t="str">
        <f>IF($B$64=23,$X73*1.355818,"")</f>
        <v/>
      </c>
    </row>
    <row r="74" spans="1:82" x14ac:dyDescent="0.25">
      <c r="A74" s="45" t="s">
        <v>159</v>
      </c>
      <c r="B74" s="159">
        <v>-150</v>
      </c>
      <c r="C74" s="159">
        <v>-150</v>
      </c>
      <c r="D74" s="160"/>
      <c r="E74" s="159"/>
      <c r="F74" s="160"/>
      <c r="G74" s="159"/>
      <c r="H74" s="160"/>
      <c r="I74" s="159"/>
      <c r="J74" s="159"/>
      <c r="K74" s="159"/>
      <c r="L74" s="160"/>
      <c r="M74" s="159"/>
      <c r="N74" s="160"/>
      <c r="O74" s="159"/>
      <c r="P74" s="160"/>
      <c r="Q74" s="159"/>
      <c r="R74" s="159"/>
      <c r="S74" s="159"/>
      <c r="T74" s="159"/>
      <c r="U74" s="159"/>
      <c r="V74" s="159"/>
      <c r="W74" s="159"/>
      <c r="X74" s="159"/>
      <c r="Y74" s="259"/>
      <c r="Z74" s="2"/>
      <c r="AA74" s="264">
        <v>70</v>
      </c>
      <c r="AB74" s="16" t="str">
        <f t="shared" si="77"/>
        <v/>
      </c>
      <c r="AC74" s="16" t="str">
        <f t="shared" si="78"/>
        <v/>
      </c>
      <c r="AD74" s="16" t="str">
        <f t="shared" si="81"/>
        <v/>
      </c>
      <c r="AE74" s="16" t="str">
        <f t="shared" si="82"/>
        <v/>
      </c>
      <c r="AF74" s="16" t="str">
        <f t="shared" si="83"/>
        <v/>
      </c>
      <c r="AG74" s="16" t="str">
        <f t="shared" si="79"/>
        <v/>
      </c>
      <c r="AH74" s="16" t="str">
        <f t="shared" si="80"/>
        <v/>
      </c>
      <c r="AI74" s="29" t="str">
        <f t="shared" si="84"/>
        <v/>
      </c>
      <c r="AJ74" s="29" t="str">
        <f t="shared" si="85"/>
        <v/>
      </c>
      <c r="AK74" s="2"/>
      <c r="AL74" s="2"/>
      <c r="AM74" s="2"/>
      <c r="AN74" s="2"/>
      <c r="AO74" s="2"/>
      <c r="AP74" s="2"/>
      <c r="AQ74" s="2"/>
      <c r="AR74" s="2"/>
      <c r="AS74" s="2"/>
      <c r="AT74" s="2"/>
      <c r="AU74" s="2"/>
      <c r="AV74" s="2"/>
      <c r="AW74" s="2"/>
      <c r="AX74" s="2"/>
      <c r="AY74" s="2"/>
      <c r="AZ74" s="2"/>
      <c r="BA74" s="2"/>
      <c r="BB74" s="2"/>
      <c r="BC74" s="2"/>
      <c r="BF74" s="2"/>
      <c r="BG74" s="199" t="s">
        <v>216</v>
      </c>
      <c r="BH74" s="233">
        <f>IF($B$64&gt;=1,$B74*1.355818,"")</f>
        <v>-203.37270000000001</v>
      </c>
      <c r="BI74" s="234">
        <f>IF($B$64&gt;=2,$C74*1.355818,"")</f>
        <v>-203.37270000000001</v>
      </c>
      <c r="BJ74" s="233" t="str">
        <f>IF($B$64&gt;=3,$D74*1.355818,"")</f>
        <v/>
      </c>
      <c r="BK74" s="234" t="str">
        <f>IF($B$64&gt;=4,$E74*1.355818,"")</f>
        <v/>
      </c>
      <c r="BL74" s="233" t="str">
        <f>IF($B$64&gt;=5,$F74*1.355818,"")</f>
        <v/>
      </c>
      <c r="BM74" s="234" t="str">
        <f>IF($B$64&gt;=6,$G74*1.355818,"")</f>
        <v/>
      </c>
      <c r="BN74" s="233" t="str">
        <f>IF($B$64&gt;=7,$H74*1.355818,"")</f>
        <v/>
      </c>
      <c r="BO74" s="235" t="str">
        <f>IF($B$64&gt;=8,$I74*1.355818,"")</f>
        <v/>
      </c>
      <c r="BP74" s="233" t="str">
        <f>IF($B$64&gt;=9,$J74*1.355818,"")</f>
        <v/>
      </c>
      <c r="BQ74" s="234" t="str">
        <f>IF($B$64&gt;=10,$K74*1.355818,"")</f>
        <v/>
      </c>
      <c r="BR74" s="233" t="str">
        <f>IF($B$64&gt;=11,$L74*1.355818,"")</f>
        <v/>
      </c>
      <c r="BS74" s="234" t="str">
        <f>IF($B$64&gt;=12,$M74*1.355818,"")</f>
        <v/>
      </c>
      <c r="BT74" s="233" t="str">
        <f>IF($B$64&gt;=13,$N74*1.355818,"")</f>
        <v/>
      </c>
      <c r="BU74" s="234" t="str">
        <f>IF($B$64&gt;=14,$O74*1.355818,"")</f>
        <v/>
      </c>
      <c r="BV74" s="233" t="str">
        <f>IF($B$64&gt;=15,$P74*1.355818,"")</f>
        <v/>
      </c>
      <c r="BW74" s="235" t="str">
        <f>IF($B$64&gt;=16,$Q74*1.355818,"")</f>
        <v/>
      </c>
      <c r="BX74" s="235" t="str">
        <f>IF($B$64&gt;=17,$R74*1.355818,"")</f>
        <v/>
      </c>
      <c r="BY74" s="235" t="str">
        <f>IF($B$64&gt;=18,$S74*1.355818,"")</f>
        <v/>
      </c>
      <c r="BZ74" s="235" t="str">
        <f>IF($B$64&gt;=19,$T74*1.355818,"")</f>
        <v/>
      </c>
      <c r="CA74" s="235" t="str">
        <f>IF($B$64&gt;=20,$U74*1.355818,"")</f>
        <v/>
      </c>
      <c r="CB74" s="235" t="str">
        <f>IF($B$64&gt;=21,$V74*1.355818,"")</f>
        <v/>
      </c>
      <c r="CC74" s="235" t="str">
        <f>IF($B$64&gt;=22,$W74*1.355818,"")</f>
        <v/>
      </c>
      <c r="CD74" s="235" t="str">
        <f>IF($B$64=23,$X74*1.355818,"")</f>
        <v/>
      </c>
    </row>
    <row r="75" spans="1:82" x14ac:dyDescent="0.25">
      <c r="A75" s="45" t="s">
        <v>160</v>
      </c>
      <c r="B75" s="162">
        <v>0</v>
      </c>
      <c r="C75" s="162">
        <v>0</v>
      </c>
      <c r="D75" s="163"/>
      <c r="E75" s="162"/>
      <c r="F75" s="163"/>
      <c r="G75" s="162"/>
      <c r="H75" s="163"/>
      <c r="I75" s="162"/>
      <c r="J75" s="162"/>
      <c r="K75" s="162"/>
      <c r="L75" s="163"/>
      <c r="M75" s="162"/>
      <c r="N75" s="163"/>
      <c r="O75" s="162"/>
      <c r="P75" s="163"/>
      <c r="Q75" s="162"/>
      <c r="R75" s="162"/>
      <c r="S75" s="162"/>
      <c r="T75" s="162"/>
      <c r="U75" s="162"/>
      <c r="V75" s="162"/>
      <c r="W75" s="162"/>
      <c r="X75" s="162"/>
      <c r="Y75" s="259"/>
      <c r="Z75" s="2"/>
      <c r="AA75" s="264">
        <v>71</v>
      </c>
      <c r="AB75" s="16" t="str">
        <f t="shared" si="77"/>
        <v/>
      </c>
      <c r="AC75" s="16" t="str">
        <f t="shared" si="78"/>
        <v/>
      </c>
      <c r="AD75" s="16" t="str">
        <f t="shared" si="81"/>
        <v/>
      </c>
      <c r="AE75" s="16" t="str">
        <f t="shared" si="82"/>
        <v/>
      </c>
      <c r="AF75" s="16" t="str">
        <f t="shared" si="83"/>
        <v/>
      </c>
      <c r="AG75" s="16" t="str">
        <f t="shared" si="79"/>
        <v/>
      </c>
      <c r="AH75" s="16" t="str">
        <f t="shared" si="80"/>
        <v/>
      </c>
      <c r="AI75" s="29" t="str">
        <f t="shared" si="84"/>
        <v/>
      </c>
      <c r="AJ75" s="29" t="str">
        <f t="shared" si="85"/>
        <v/>
      </c>
      <c r="AK75" s="2"/>
      <c r="AL75" s="2"/>
      <c r="AM75" s="2"/>
      <c r="AN75" s="2"/>
      <c r="AO75" s="2"/>
      <c r="AP75" s="2"/>
      <c r="AQ75" s="2"/>
      <c r="AR75" s="2"/>
      <c r="AS75" s="2"/>
      <c r="AT75" s="2"/>
      <c r="AU75" s="2"/>
      <c r="AV75" s="2"/>
      <c r="AW75" s="2"/>
      <c r="AX75" s="2"/>
      <c r="AY75" s="2"/>
      <c r="AZ75" s="2"/>
      <c r="BA75" s="2"/>
      <c r="BB75" s="2"/>
      <c r="BC75" s="2"/>
      <c r="BF75" s="2"/>
      <c r="BG75" s="199" t="s">
        <v>255</v>
      </c>
      <c r="BH75" s="236">
        <f>IF($B$64&gt;=1,$B75*1.355818,"")</f>
        <v>0</v>
      </c>
      <c r="BI75" s="237">
        <f>IF($B$64&gt;=2,$C75*1.355818,"")</f>
        <v>0</v>
      </c>
      <c r="BJ75" s="236" t="str">
        <f>IF($B$64&gt;=3,$D75*1.355818,"")</f>
        <v/>
      </c>
      <c r="BK75" s="237" t="str">
        <f>IF($B$64&gt;=4,$E75*1.355818,"")</f>
        <v/>
      </c>
      <c r="BL75" s="236" t="str">
        <f>IF($B$64&gt;=5,$F75*1.355818,"")</f>
        <v/>
      </c>
      <c r="BM75" s="237" t="str">
        <f>IF($B$64&gt;=6,$G75*1.355818,"")</f>
        <v/>
      </c>
      <c r="BN75" s="236" t="str">
        <f>IF($B$64&gt;=7,$H75*1.355818,"")</f>
        <v/>
      </c>
      <c r="BO75" s="238" t="str">
        <f>IF($B$64&gt;=8,$I75*1.355818,"")</f>
        <v/>
      </c>
      <c r="BP75" s="236" t="str">
        <f>IF($B$64&gt;=9,$J75*1.355818,"")</f>
        <v/>
      </c>
      <c r="BQ75" s="237" t="str">
        <f>IF($B$64&gt;=10,$K75*1.355818,"")</f>
        <v/>
      </c>
      <c r="BR75" s="236" t="str">
        <f>IF($B$64&gt;=11,$L75*1.355818,"")</f>
        <v/>
      </c>
      <c r="BS75" s="237" t="str">
        <f>IF($B$64&gt;=12,$M75*1.355818,"")</f>
        <v/>
      </c>
      <c r="BT75" s="236" t="str">
        <f>IF($B$64&gt;=13,$N75*1.355818,"")</f>
        <v/>
      </c>
      <c r="BU75" s="237" t="str">
        <f>IF($B$64&gt;=14,$O75*1.355818,"")</f>
        <v/>
      </c>
      <c r="BV75" s="236" t="str">
        <f>IF($B$64&gt;=15,$P75*1.355818,"")</f>
        <v/>
      </c>
      <c r="BW75" s="238" t="str">
        <f>IF($B$64&gt;=16,$Q75*1.355818,"")</f>
        <v/>
      </c>
      <c r="BX75" s="238" t="str">
        <f>IF($B$64&gt;=17,$R75*1.355818,"")</f>
        <v/>
      </c>
      <c r="BY75" s="238" t="str">
        <f>IF($B$64&gt;=18,$S75*1.355818,"")</f>
        <v/>
      </c>
      <c r="BZ75" s="238" t="str">
        <f>IF($B$64&gt;=19,$T75*1.355818,"")</f>
        <v/>
      </c>
      <c r="CA75" s="238" t="str">
        <f>IF($B$64&gt;=20,$U75*1.355818,"")</f>
        <v/>
      </c>
      <c r="CB75" s="238" t="str">
        <f>IF($B$64&gt;=21,$V75*1.355818,"")</f>
        <v/>
      </c>
      <c r="CC75" s="238" t="str">
        <f>IF($B$64&gt;=22,$W75*1.355818,"")</f>
        <v/>
      </c>
      <c r="CD75" s="238" t="str">
        <f>IF($B$64=23,$X75*1.355818,"")</f>
        <v/>
      </c>
    </row>
    <row r="76" spans="1:82" x14ac:dyDescent="0.25">
      <c r="A76" s="48"/>
      <c r="B76" s="54"/>
      <c r="C76" s="54"/>
      <c r="D76" s="54"/>
      <c r="E76" s="54"/>
      <c r="F76" s="54"/>
      <c r="G76" s="54"/>
      <c r="H76" s="54"/>
      <c r="I76" s="267"/>
      <c r="J76" s="2"/>
      <c r="K76" s="2"/>
      <c r="L76" s="2"/>
      <c r="M76" s="2"/>
      <c r="N76" s="2"/>
      <c r="O76" s="2"/>
      <c r="P76" s="2"/>
      <c r="Q76" s="2"/>
      <c r="R76" s="2"/>
      <c r="S76" s="2"/>
      <c r="T76" s="2"/>
      <c r="U76" s="2"/>
      <c r="V76" s="2"/>
      <c r="W76" s="2"/>
      <c r="X76" s="2"/>
      <c r="Y76" s="259"/>
      <c r="Z76" s="2"/>
      <c r="AA76" s="264">
        <v>72</v>
      </c>
      <c r="AB76" s="16" t="str">
        <f t="shared" si="77"/>
        <v/>
      </c>
      <c r="AC76" s="16" t="str">
        <f t="shared" si="78"/>
        <v/>
      </c>
      <c r="AD76" s="16" t="str">
        <f t="shared" si="81"/>
        <v/>
      </c>
      <c r="AE76" s="16" t="str">
        <f t="shared" si="82"/>
        <v/>
      </c>
      <c r="AF76" s="16" t="str">
        <f t="shared" si="83"/>
        <v/>
      </c>
      <c r="AG76" s="16" t="str">
        <f t="shared" si="79"/>
        <v/>
      </c>
      <c r="AH76" s="16" t="str">
        <f t="shared" si="80"/>
        <v/>
      </c>
      <c r="AI76" s="29" t="str">
        <f t="shared" si="84"/>
        <v/>
      </c>
      <c r="AJ76" s="29" t="str">
        <f t="shared" si="85"/>
        <v/>
      </c>
      <c r="AK76" s="2"/>
      <c r="AL76" s="2"/>
      <c r="AM76" s="2"/>
      <c r="AN76" s="2"/>
      <c r="AO76" s="2"/>
      <c r="AP76" s="2"/>
      <c r="AQ76" s="2"/>
      <c r="AR76" s="2"/>
      <c r="AS76" s="2"/>
      <c r="AT76" s="2"/>
      <c r="AU76" s="2"/>
      <c r="AV76" s="2"/>
      <c r="AW76" s="2"/>
      <c r="AX76" s="2"/>
      <c r="AY76" s="2"/>
      <c r="AZ76" s="2"/>
      <c r="BA76" s="2"/>
      <c r="BB76" s="2"/>
      <c r="BC76" s="2"/>
      <c r="BF76" s="2"/>
      <c r="BM76" s="5"/>
      <c r="BN76" s="8"/>
      <c r="BO76" s="8"/>
      <c r="BP76" s="8"/>
      <c r="BQ76" s="8"/>
      <c r="BR76" s="8"/>
      <c r="BS76" s="8"/>
      <c r="BT76" s="8"/>
      <c r="BU76" s="8"/>
      <c r="BV76" s="8"/>
    </row>
    <row r="77" spans="1:82" x14ac:dyDescent="0.25">
      <c r="A77" s="79"/>
      <c r="B77" s="106"/>
      <c r="C77" s="106"/>
      <c r="D77" s="106"/>
      <c r="E77" s="106"/>
      <c r="F77" s="106"/>
      <c r="G77" s="106"/>
      <c r="H77" s="106"/>
      <c r="I77" s="106"/>
      <c r="J77" s="273"/>
      <c r="K77" s="273"/>
      <c r="L77" s="273"/>
      <c r="M77" s="273"/>
      <c r="N77" s="273"/>
      <c r="O77" s="273"/>
      <c r="P77" s="273"/>
      <c r="Q77" s="273"/>
      <c r="R77" s="273"/>
      <c r="S77" s="273"/>
      <c r="T77" s="273"/>
      <c r="U77" s="273"/>
      <c r="V77" s="273"/>
      <c r="W77" s="273"/>
      <c r="X77" s="273"/>
      <c r="Y77" s="119" t="s">
        <v>105</v>
      </c>
      <c r="Z77" s="2"/>
      <c r="AA77" s="264">
        <v>73</v>
      </c>
      <c r="AB77" s="16" t="str">
        <f t="shared" si="77"/>
        <v/>
      </c>
      <c r="AC77" s="16" t="str">
        <f t="shared" si="78"/>
        <v/>
      </c>
      <c r="AD77" s="16" t="str">
        <f t="shared" si="81"/>
        <v/>
      </c>
      <c r="AE77" s="16" t="str">
        <f t="shared" si="82"/>
        <v/>
      </c>
      <c r="AF77" s="16" t="str">
        <f t="shared" si="83"/>
        <v/>
      </c>
      <c r="AG77" s="16" t="str">
        <f t="shared" si="79"/>
        <v/>
      </c>
      <c r="AH77" s="16" t="str">
        <f t="shared" si="80"/>
        <v/>
      </c>
      <c r="AI77" s="29" t="str">
        <f t="shared" si="84"/>
        <v/>
      </c>
      <c r="AJ77" s="29" t="str">
        <f t="shared" si="85"/>
        <v/>
      </c>
      <c r="AK77" s="2"/>
      <c r="AL77" s="2"/>
      <c r="AM77" s="2"/>
      <c r="AN77" s="2"/>
      <c r="AO77" s="2"/>
      <c r="AP77" s="2"/>
      <c r="AQ77" s="2"/>
      <c r="AR77" s="2"/>
      <c r="AS77" s="2"/>
      <c r="AT77" s="2"/>
      <c r="AU77" s="2"/>
      <c r="AV77" s="2"/>
      <c r="AW77" s="2"/>
      <c r="AX77" s="2"/>
      <c r="AY77" s="2"/>
      <c r="AZ77" s="2"/>
      <c r="BA77" s="2"/>
      <c r="BB77" s="2"/>
      <c r="BC77" s="2"/>
      <c r="BF77" s="2"/>
      <c r="BM77" s="8"/>
      <c r="BN77" s="8"/>
      <c r="BO77" s="8"/>
      <c r="BP77" s="8"/>
      <c r="BQ77" s="8"/>
      <c r="BR77" s="8"/>
      <c r="BS77" s="8"/>
      <c r="BT77" s="8"/>
      <c r="BU77" s="8"/>
      <c r="BV77" s="8"/>
    </row>
    <row r="78" spans="1:82" x14ac:dyDescent="0.25">
      <c r="A78" s="100"/>
      <c r="B78" s="101"/>
      <c r="C78" s="101"/>
      <c r="D78" s="101"/>
      <c r="E78" s="101"/>
      <c r="F78" s="101"/>
      <c r="G78" s="101"/>
      <c r="H78" s="101"/>
      <c r="I78" s="101"/>
      <c r="J78" s="275"/>
      <c r="K78" s="275"/>
      <c r="L78" s="275"/>
      <c r="M78" s="275"/>
      <c r="N78" s="275"/>
      <c r="O78" s="275"/>
      <c r="P78" s="275"/>
      <c r="Q78" s="275"/>
      <c r="R78" s="275"/>
      <c r="S78" s="275"/>
      <c r="T78" s="275"/>
      <c r="U78" s="275"/>
      <c r="V78" s="275"/>
      <c r="W78" s="275"/>
      <c r="X78" s="275"/>
      <c r="Y78" s="276"/>
      <c r="Z78" s="2"/>
      <c r="AA78" s="264">
        <v>74</v>
      </c>
      <c r="AB78" s="16" t="str">
        <f t="shared" si="77"/>
        <v/>
      </c>
      <c r="AC78" s="16" t="str">
        <f t="shared" si="78"/>
        <v/>
      </c>
      <c r="AD78" s="16" t="str">
        <f t="shared" si="81"/>
        <v/>
      </c>
      <c r="AE78" s="16" t="str">
        <f t="shared" si="82"/>
        <v/>
      </c>
      <c r="AF78" s="16" t="str">
        <f t="shared" si="83"/>
        <v/>
      </c>
      <c r="AG78" s="16" t="str">
        <f t="shared" si="79"/>
        <v/>
      </c>
      <c r="AH78" s="16" t="str">
        <f t="shared" si="80"/>
        <v/>
      </c>
      <c r="AI78" s="29" t="str">
        <f t="shared" si="84"/>
        <v/>
      </c>
      <c r="AJ78" s="29" t="str">
        <f t="shared" si="85"/>
        <v/>
      </c>
      <c r="AK78" s="2"/>
      <c r="AL78" s="2"/>
      <c r="AM78" s="2"/>
      <c r="AN78" s="2"/>
      <c r="AO78" s="2"/>
      <c r="AP78" s="2"/>
      <c r="AQ78" s="2"/>
      <c r="AR78" s="2"/>
      <c r="AS78" s="2"/>
      <c r="AT78" s="2"/>
      <c r="AU78" s="2"/>
      <c r="AV78" s="2"/>
      <c r="AW78" s="2"/>
      <c r="AX78" s="2"/>
      <c r="AY78" s="2"/>
      <c r="AZ78" s="2"/>
      <c r="BA78" s="2"/>
      <c r="BB78" s="2"/>
      <c r="BC78" s="2"/>
      <c r="BF78" s="197" t="s">
        <v>181</v>
      </c>
      <c r="BG78" s="198"/>
      <c r="BH78" s="198"/>
      <c r="BI78" s="198"/>
      <c r="BJ78" s="198"/>
      <c r="BK78" s="198"/>
      <c r="BL78" s="92"/>
      <c r="BM78" s="92"/>
      <c r="BN78" s="92"/>
      <c r="BO78" s="92"/>
      <c r="BP78" s="92"/>
      <c r="BQ78" s="92"/>
    </row>
    <row r="79" spans="1:82" x14ac:dyDescent="0.25">
      <c r="A79" s="48"/>
      <c r="B79" s="54"/>
      <c r="C79" s="54"/>
      <c r="D79" s="54"/>
      <c r="E79" s="54"/>
      <c r="F79" s="54"/>
      <c r="G79" s="54"/>
      <c r="H79" s="54"/>
      <c r="I79" s="54"/>
      <c r="J79" s="2"/>
      <c r="K79" s="2"/>
      <c r="L79" s="2"/>
      <c r="M79" s="2"/>
      <c r="N79" s="2"/>
      <c r="O79" s="2"/>
      <c r="P79" s="2"/>
      <c r="Q79" s="2"/>
      <c r="R79" s="2"/>
      <c r="S79" s="2"/>
      <c r="T79" s="2"/>
      <c r="U79" s="2"/>
      <c r="V79" s="2"/>
      <c r="W79" s="2"/>
      <c r="X79" s="2"/>
      <c r="Y79" s="259"/>
      <c r="Z79" s="2"/>
      <c r="AA79" s="264">
        <v>75</v>
      </c>
      <c r="AB79" s="16" t="str">
        <f t="shared" si="77"/>
        <v/>
      </c>
      <c r="AC79" s="16" t="str">
        <f t="shared" si="78"/>
        <v/>
      </c>
      <c r="AD79" s="16" t="str">
        <f t="shared" si="81"/>
        <v/>
      </c>
      <c r="AE79" s="16" t="str">
        <f t="shared" si="82"/>
        <v/>
      </c>
      <c r="AF79" s="16" t="str">
        <f t="shared" si="83"/>
        <v/>
      </c>
      <c r="AG79" s="16" t="str">
        <f t="shared" si="79"/>
        <v/>
      </c>
      <c r="AH79" s="16" t="str">
        <f t="shared" si="80"/>
        <v/>
      </c>
      <c r="AI79" s="29" t="str">
        <f t="shared" si="84"/>
        <v/>
      </c>
      <c r="AJ79" s="29" t="str">
        <f t="shared" si="85"/>
        <v/>
      </c>
      <c r="AK79" s="2"/>
      <c r="AL79" s="2"/>
      <c r="AM79" s="2"/>
      <c r="AN79" s="2"/>
      <c r="AO79" s="2"/>
      <c r="AP79" s="2"/>
      <c r="AQ79" s="2"/>
      <c r="AR79" s="2"/>
      <c r="AS79" s="2"/>
      <c r="AT79" s="2"/>
      <c r="AU79" s="2"/>
      <c r="AV79" s="2"/>
      <c r="AW79" s="2"/>
      <c r="AX79" s="2"/>
      <c r="AY79" s="2"/>
      <c r="AZ79" s="2"/>
      <c r="BA79" s="2"/>
      <c r="BB79" s="2"/>
      <c r="BC79" s="2"/>
      <c r="BF79" s="201"/>
      <c r="BG79" s="201"/>
      <c r="BH79" s="201"/>
      <c r="BI79" s="201"/>
      <c r="BJ79" s="201"/>
      <c r="BK79" s="201"/>
      <c r="BL79" s="92"/>
      <c r="BM79" s="92"/>
      <c r="BN79" s="92"/>
      <c r="BO79" s="92"/>
      <c r="BP79" s="92"/>
      <c r="BQ79" s="92"/>
    </row>
    <row r="80" spans="1:82" x14ac:dyDescent="0.25">
      <c r="A80" s="48"/>
      <c r="B80" s="54"/>
      <c r="C80" s="54"/>
      <c r="D80" s="54"/>
      <c r="E80" s="54"/>
      <c r="F80" s="54"/>
      <c r="G80" s="54"/>
      <c r="H80" s="54"/>
      <c r="I80" s="54"/>
      <c r="J80" s="2"/>
      <c r="K80" s="2"/>
      <c r="L80" s="2"/>
      <c r="M80" s="2"/>
      <c r="N80" s="2"/>
      <c r="O80" s="2"/>
      <c r="P80" s="2"/>
      <c r="Q80" s="2"/>
      <c r="R80" s="2"/>
      <c r="S80" s="2"/>
      <c r="T80" s="2"/>
      <c r="U80" s="2"/>
      <c r="V80" s="2"/>
      <c r="W80" s="2"/>
      <c r="X80" s="2"/>
      <c r="Y80" s="259"/>
      <c r="Z80" s="2"/>
      <c r="AA80" s="264">
        <v>76</v>
      </c>
      <c r="AB80" s="16" t="str">
        <f t="shared" si="77"/>
        <v/>
      </c>
      <c r="AC80" s="16" t="str">
        <f t="shared" si="78"/>
        <v/>
      </c>
      <c r="AD80" s="16" t="str">
        <f t="shared" si="81"/>
        <v/>
      </c>
      <c r="AE80" s="16" t="str">
        <f t="shared" si="82"/>
        <v/>
      </c>
      <c r="AF80" s="16" t="str">
        <f t="shared" si="83"/>
        <v/>
      </c>
      <c r="AG80" s="16" t="str">
        <f t="shared" si="79"/>
        <v/>
      </c>
      <c r="AH80" s="16" t="str">
        <f t="shared" si="80"/>
        <v/>
      </c>
      <c r="AI80" s="29" t="str">
        <f t="shared" si="84"/>
        <v/>
      </c>
      <c r="AJ80" s="29" t="str">
        <f t="shared" si="85"/>
        <v/>
      </c>
      <c r="AK80" s="2"/>
      <c r="AL80" s="2"/>
      <c r="AM80" s="2"/>
      <c r="AN80" s="2"/>
      <c r="AO80" s="2"/>
      <c r="AP80" s="2"/>
      <c r="AQ80" s="2"/>
      <c r="AR80" s="2"/>
      <c r="AS80" s="2"/>
      <c r="AT80" s="2"/>
      <c r="AU80" s="2"/>
      <c r="AV80" s="2"/>
      <c r="AW80" s="2"/>
      <c r="AX80" s="2"/>
      <c r="AY80" s="2"/>
      <c r="AZ80" s="2"/>
      <c r="BA80" s="2"/>
      <c r="BB80" s="2"/>
      <c r="BC80" s="2"/>
      <c r="BF80" s="223" t="s">
        <v>236</v>
      </c>
      <c r="BG80" s="204"/>
      <c r="BH80" s="205"/>
      <c r="BI80" s="205"/>
      <c r="BJ80" s="205"/>
      <c r="BK80" s="205"/>
      <c r="BL80" s="92"/>
      <c r="BM80" s="92"/>
      <c r="BN80" s="92"/>
      <c r="BO80" s="92"/>
      <c r="BP80" s="92"/>
      <c r="BQ80" s="92"/>
    </row>
    <row r="81" spans="1:82" x14ac:dyDescent="0.25">
      <c r="A81" s="48"/>
      <c r="B81" s="54"/>
      <c r="C81" s="54"/>
      <c r="D81" s="54"/>
      <c r="E81" s="54"/>
      <c r="F81" s="54"/>
      <c r="G81" s="54"/>
      <c r="H81" s="54"/>
      <c r="I81" s="54"/>
      <c r="J81" s="2"/>
      <c r="K81" s="2"/>
      <c r="L81" s="2"/>
      <c r="M81" s="2"/>
      <c r="N81" s="54"/>
      <c r="O81" s="54"/>
      <c r="P81" s="54"/>
      <c r="Q81" s="54"/>
      <c r="R81" s="54"/>
      <c r="S81" s="2"/>
      <c r="T81" s="54"/>
      <c r="U81" s="2"/>
      <c r="V81" s="2"/>
      <c r="W81" s="2"/>
      <c r="X81" s="2"/>
      <c r="Y81" s="259"/>
      <c r="Z81" s="2"/>
      <c r="AA81" s="264">
        <v>77</v>
      </c>
      <c r="AB81" s="16" t="str">
        <f t="shared" si="77"/>
        <v/>
      </c>
      <c r="AC81" s="16" t="str">
        <f t="shared" si="78"/>
        <v/>
      </c>
      <c r="AD81" s="16" t="str">
        <f t="shared" si="81"/>
        <v/>
      </c>
      <c r="AE81" s="16" t="str">
        <f t="shared" si="82"/>
        <v/>
      </c>
      <c r="AF81" s="16" t="str">
        <f t="shared" si="83"/>
        <v/>
      </c>
      <c r="AG81" s="16" t="str">
        <f t="shared" si="79"/>
        <v/>
      </c>
      <c r="AH81" s="16" t="str">
        <f t="shared" si="80"/>
        <v/>
      </c>
      <c r="AI81" s="29" t="str">
        <f t="shared" si="84"/>
        <v/>
      </c>
      <c r="AJ81" s="29" t="str">
        <f t="shared" si="85"/>
        <v/>
      </c>
      <c r="AK81" s="2"/>
      <c r="AL81" s="2"/>
      <c r="AM81" s="2"/>
      <c r="AN81" s="2"/>
      <c r="AO81" s="2"/>
      <c r="AP81" s="2"/>
      <c r="AQ81" s="2"/>
      <c r="AR81" s="2"/>
      <c r="AS81" s="2"/>
      <c r="AT81" s="2"/>
      <c r="AU81" s="2"/>
      <c r="AV81" s="2"/>
      <c r="AW81" s="2"/>
      <c r="AX81" s="2"/>
      <c r="AY81" s="2"/>
      <c r="AZ81" s="2"/>
      <c r="BA81" s="2"/>
      <c r="BB81" s="2"/>
      <c r="BC81" s="2"/>
      <c r="BF81" s="241" t="s">
        <v>237</v>
      </c>
      <c r="BG81" s="204"/>
      <c r="BH81" s="202"/>
      <c r="BI81" s="202"/>
      <c r="BJ81" s="202"/>
      <c r="BK81" s="202"/>
      <c r="BL81" s="92"/>
      <c r="BM81" s="92"/>
      <c r="BN81" s="92"/>
      <c r="BO81" s="92"/>
      <c r="BP81" s="92"/>
      <c r="BQ81" s="92"/>
    </row>
    <row r="82" spans="1:82" x14ac:dyDescent="0.25">
      <c r="A82" s="48"/>
      <c r="B82" s="54"/>
      <c r="C82" s="54"/>
      <c r="D82" s="54"/>
      <c r="E82" s="54"/>
      <c r="F82" s="54"/>
      <c r="G82" s="54"/>
      <c r="H82" s="54"/>
      <c r="I82" s="54"/>
      <c r="J82" s="2"/>
      <c r="K82" s="2"/>
      <c r="L82" s="2"/>
      <c r="M82" s="2"/>
      <c r="N82" s="54"/>
      <c r="O82" s="54"/>
      <c r="P82" s="54"/>
      <c r="Q82" s="83"/>
      <c r="R82" s="54"/>
      <c r="S82" s="2"/>
      <c r="T82" s="54"/>
      <c r="U82" s="2"/>
      <c r="V82" s="2"/>
      <c r="W82" s="2"/>
      <c r="X82" s="2"/>
      <c r="Y82" s="259"/>
      <c r="Z82" s="2"/>
      <c r="AA82" s="264">
        <v>78</v>
      </c>
      <c r="AB82" s="16" t="str">
        <f t="shared" si="77"/>
        <v/>
      </c>
      <c r="AC82" s="16" t="str">
        <f t="shared" si="78"/>
        <v/>
      </c>
      <c r="AD82" s="16" t="str">
        <f t="shared" si="81"/>
        <v/>
      </c>
      <c r="AE82" s="16" t="str">
        <f t="shared" si="82"/>
        <v/>
      </c>
      <c r="AF82" s="16" t="str">
        <f t="shared" si="83"/>
        <v/>
      </c>
      <c r="AG82" s="16" t="str">
        <f t="shared" si="79"/>
        <v/>
      </c>
      <c r="AH82" s="16" t="str">
        <f t="shared" si="80"/>
        <v/>
      </c>
      <c r="AI82" s="29" t="str">
        <f t="shared" si="84"/>
        <v/>
      </c>
      <c r="AJ82" s="29" t="str">
        <f t="shared" si="85"/>
        <v/>
      </c>
      <c r="AK82" s="2"/>
      <c r="AL82" s="2"/>
      <c r="AM82" s="2"/>
      <c r="AN82" s="2"/>
      <c r="AO82" s="2"/>
      <c r="AP82" s="2"/>
      <c r="AQ82" s="2"/>
      <c r="AR82" s="2"/>
      <c r="AS82" s="2"/>
      <c r="AT82" s="2"/>
      <c r="AU82" s="2"/>
      <c r="AV82" s="2"/>
      <c r="AW82" s="2"/>
      <c r="AX82" s="2"/>
      <c r="AY82" s="2"/>
      <c r="AZ82" s="2"/>
      <c r="BA82" s="2"/>
      <c r="BB82" s="2"/>
      <c r="BC82" s="2"/>
      <c r="BF82" s="200"/>
      <c r="BG82" s="200"/>
      <c r="BH82" s="200"/>
      <c r="BI82" s="200"/>
      <c r="BJ82" s="200"/>
      <c r="BK82" s="200"/>
      <c r="BL82" s="92"/>
      <c r="BM82" s="92"/>
      <c r="BN82" s="92"/>
      <c r="BO82" s="92"/>
      <c r="BP82" s="92"/>
      <c r="BQ82" s="92"/>
    </row>
    <row r="83" spans="1:82" x14ac:dyDescent="0.25">
      <c r="A83" s="48"/>
      <c r="B83" s="54"/>
      <c r="C83" s="54"/>
      <c r="D83" s="54"/>
      <c r="E83" s="54"/>
      <c r="F83" s="54"/>
      <c r="G83" s="54"/>
      <c r="H83" s="54"/>
      <c r="I83" s="54"/>
      <c r="J83" s="2"/>
      <c r="K83" s="2"/>
      <c r="L83" s="2"/>
      <c r="M83" s="2"/>
      <c r="N83" s="54"/>
      <c r="O83" s="54"/>
      <c r="P83" s="54"/>
      <c r="Q83" s="54"/>
      <c r="R83" s="54"/>
      <c r="S83" s="2"/>
      <c r="T83" s="54"/>
      <c r="U83" s="2"/>
      <c r="V83" s="2"/>
      <c r="W83" s="2"/>
      <c r="X83" s="2"/>
      <c r="Y83" s="259"/>
      <c r="Z83" s="2"/>
      <c r="AA83" s="264">
        <v>79</v>
      </c>
      <c r="AB83" s="16" t="str">
        <f t="shared" si="77"/>
        <v/>
      </c>
      <c r="AC83" s="16" t="str">
        <f t="shared" si="78"/>
        <v/>
      </c>
      <c r="AD83" s="16" t="str">
        <f t="shared" si="81"/>
        <v/>
      </c>
      <c r="AE83" s="16" t="str">
        <f t="shared" si="82"/>
        <v/>
      </c>
      <c r="AF83" s="16" t="str">
        <f t="shared" si="83"/>
        <v/>
      </c>
      <c r="AG83" s="16" t="str">
        <f t="shared" si="79"/>
        <v/>
      </c>
      <c r="AH83" s="16" t="str">
        <f t="shared" si="80"/>
        <v/>
      </c>
      <c r="AI83" s="29" t="str">
        <f t="shared" si="84"/>
        <v/>
      </c>
      <c r="AJ83" s="29" t="str">
        <f t="shared" si="85"/>
        <v/>
      </c>
      <c r="AK83" s="2"/>
      <c r="AL83" s="2"/>
      <c r="AM83" s="2"/>
      <c r="AN83" s="2"/>
      <c r="AO83" s="2"/>
      <c r="AP83" s="2"/>
      <c r="AQ83" s="2"/>
      <c r="AR83" s="2"/>
      <c r="AS83" s="2"/>
      <c r="AT83" s="2"/>
      <c r="AU83" s="2"/>
      <c r="AV83" s="2"/>
      <c r="AW83" s="2"/>
      <c r="AX83" s="2"/>
      <c r="AY83" s="2"/>
      <c r="AZ83" s="2"/>
      <c r="BA83" s="2"/>
      <c r="BB83" s="2"/>
      <c r="BC83" s="2"/>
      <c r="BF83" s="223" t="s">
        <v>190</v>
      </c>
      <c r="BG83" s="200"/>
      <c r="BH83" s="200"/>
      <c r="BI83" s="200"/>
      <c r="BJ83" s="200"/>
      <c r="BK83" s="200"/>
      <c r="BL83" s="92"/>
      <c r="BM83" s="92"/>
      <c r="BN83" s="92"/>
      <c r="BO83" s="92"/>
      <c r="BP83" s="92"/>
      <c r="BQ83" s="92"/>
    </row>
    <row r="84" spans="1:82" x14ac:dyDescent="0.25">
      <c r="A84" s="48"/>
      <c r="B84" s="54"/>
      <c r="C84" s="54"/>
      <c r="D84" s="54"/>
      <c r="E84" s="54"/>
      <c r="F84" s="54"/>
      <c r="G84" s="54"/>
      <c r="H84" s="54"/>
      <c r="I84" s="54"/>
      <c r="J84" s="2"/>
      <c r="K84" s="2"/>
      <c r="L84" s="2"/>
      <c r="M84" s="2"/>
      <c r="N84" s="54"/>
      <c r="O84" s="54"/>
      <c r="P84" s="54"/>
      <c r="Q84" s="72"/>
      <c r="R84" s="54"/>
      <c r="S84" s="2"/>
      <c r="T84" s="54"/>
      <c r="U84" s="2"/>
      <c r="V84" s="2"/>
      <c r="W84" s="2"/>
      <c r="X84" s="2"/>
      <c r="Y84" s="259"/>
      <c r="Z84" s="2"/>
      <c r="AA84" s="264">
        <v>80</v>
      </c>
      <c r="AB84" s="16" t="str">
        <f t="shared" si="77"/>
        <v/>
      </c>
      <c r="AC84" s="16" t="str">
        <f t="shared" si="78"/>
        <v/>
      </c>
      <c r="AD84" s="16" t="str">
        <f t="shared" si="81"/>
        <v/>
      </c>
      <c r="AE84" s="16" t="str">
        <f t="shared" si="82"/>
        <v/>
      </c>
      <c r="AF84" s="16" t="str">
        <f t="shared" si="83"/>
        <v/>
      </c>
      <c r="AG84" s="16" t="str">
        <f t="shared" si="79"/>
        <v/>
      </c>
      <c r="AH84" s="16" t="str">
        <f t="shared" si="80"/>
        <v/>
      </c>
      <c r="AI84" s="29" t="str">
        <f t="shared" si="84"/>
        <v/>
      </c>
      <c r="AJ84" s="29" t="str">
        <f t="shared" si="85"/>
        <v/>
      </c>
      <c r="AK84" s="2"/>
      <c r="AL84" s="2"/>
      <c r="AM84" s="2"/>
      <c r="AN84" s="2"/>
      <c r="AO84" s="2"/>
      <c r="AP84" s="2"/>
      <c r="AQ84" s="2"/>
      <c r="AR84" s="2"/>
      <c r="AS84" s="2"/>
      <c r="AT84" s="2"/>
      <c r="AU84" s="2"/>
      <c r="AV84" s="2"/>
      <c r="AW84" s="2"/>
      <c r="AX84" s="2"/>
      <c r="AY84" s="2"/>
      <c r="AZ84" s="2"/>
      <c r="BA84" s="2"/>
      <c r="BB84" s="2"/>
      <c r="BC84" s="2"/>
      <c r="BF84" s="202"/>
      <c r="BG84" s="206"/>
      <c r="BH84" s="199" t="s">
        <v>182</v>
      </c>
      <c r="BI84" s="207">
        <v>8</v>
      </c>
      <c r="BJ84" s="200"/>
      <c r="BK84" s="268" t="s">
        <v>252</v>
      </c>
      <c r="BL84" s="224" t="s">
        <v>329</v>
      </c>
      <c r="BM84" s="202"/>
      <c r="BN84" s="202"/>
      <c r="BO84" s="92"/>
      <c r="BP84" s="92"/>
      <c r="BQ84" s="92"/>
    </row>
    <row r="85" spans="1:82" x14ac:dyDescent="0.25">
      <c r="A85" s="48"/>
      <c r="B85" s="54"/>
      <c r="C85" s="54"/>
      <c r="D85" s="54"/>
      <c r="E85" s="54"/>
      <c r="F85" s="54"/>
      <c r="G85" s="54"/>
      <c r="H85" s="54"/>
      <c r="I85" s="54"/>
      <c r="J85" s="2"/>
      <c r="K85" s="2"/>
      <c r="L85" s="2"/>
      <c r="M85" s="2"/>
      <c r="N85" s="54"/>
      <c r="O85" s="54"/>
      <c r="P85" s="54"/>
      <c r="Q85" s="54"/>
      <c r="R85" s="74"/>
      <c r="S85" s="2"/>
      <c r="T85" s="54"/>
      <c r="U85" s="2"/>
      <c r="V85" s="2"/>
      <c r="W85" s="2"/>
      <c r="X85" s="2"/>
      <c r="Y85" s="259"/>
      <c r="Z85" s="2"/>
      <c r="AA85" s="264">
        <v>81</v>
      </c>
      <c r="AB85" s="16" t="str">
        <f t="shared" si="77"/>
        <v/>
      </c>
      <c r="AC85" s="16" t="str">
        <f t="shared" si="78"/>
        <v/>
      </c>
      <c r="AD85" s="16" t="str">
        <f t="shared" si="81"/>
        <v/>
      </c>
      <c r="AE85" s="16" t="str">
        <f t="shared" si="82"/>
        <v/>
      </c>
      <c r="AF85" s="16" t="str">
        <f t="shared" si="83"/>
        <v/>
      </c>
      <c r="AG85" s="16" t="str">
        <f t="shared" si="79"/>
        <v/>
      </c>
      <c r="AH85" s="16" t="str">
        <f t="shared" si="80"/>
        <v/>
      </c>
      <c r="AI85" s="29" t="str">
        <f t="shared" si="84"/>
        <v/>
      </c>
      <c r="AJ85" s="29" t="str">
        <f t="shared" si="85"/>
        <v/>
      </c>
      <c r="AK85" s="2"/>
      <c r="AL85" s="2"/>
      <c r="AM85" s="2"/>
      <c r="AN85" s="2"/>
      <c r="AO85" s="2"/>
      <c r="AP85" s="2"/>
      <c r="AQ85" s="2"/>
      <c r="AR85" s="2"/>
      <c r="AS85" s="2"/>
      <c r="AT85" s="2"/>
      <c r="AU85" s="2"/>
      <c r="AV85" s="2"/>
      <c r="AW85" s="2"/>
      <c r="AX85" s="2"/>
      <c r="AY85" s="2"/>
      <c r="AZ85" s="2"/>
      <c r="BA85" s="2"/>
      <c r="BB85" s="2"/>
      <c r="BC85" s="2"/>
      <c r="BF85" s="202"/>
      <c r="BG85" s="200"/>
      <c r="BH85" s="208" t="s">
        <v>183</v>
      </c>
      <c r="BI85" s="209">
        <v>24</v>
      </c>
      <c r="BJ85" s="210" t="s">
        <v>42</v>
      </c>
      <c r="BK85" s="269"/>
      <c r="BL85" s="224" t="s">
        <v>327</v>
      </c>
      <c r="BM85" s="202"/>
      <c r="BN85" s="202"/>
      <c r="BO85" s="92"/>
      <c r="BP85" s="92"/>
      <c r="BQ85" s="92"/>
    </row>
    <row r="86" spans="1:82" x14ac:dyDescent="0.25">
      <c r="A86" s="48"/>
      <c r="B86" s="54"/>
      <c r="C86" s="54"/>
      <c r="D86" s="54"/>
      <c r="E86" s="54"/>
      <c r="F86" s="54"/>
      <c r="G86" s="54"/>
      <c r="H86" s="54"/>
      <c r="I86" s="54"/>
      <c r="J86" s="2"/>
      <c r="K86" s="2"/>
      <c r="L86" s="2"/>
      <c r="M86" s="2"/>
      <c r="N86" s="54"/>
      <c r="O86" s="54"/>
      <c r="P86" s="74"/>
      <c r="Q86" s="74"/>
      <c r="R86" s="74"/>
      <c r="S86" s="2"/>
      <c r="T86" s="54"/>
      <c r="U86" s="2"/>
      <c r="V86" s="2"/>
      <c r="W86" s="2"/>
      <c r="X86" s="2"/>
      <c r="Y86" s="259"/>
      <c r="Z86" s="2"/>
      <c r="AA86" s="264">
        <v>82</v>
      </c>
      <c r="AB86" s="16" t="str">
        <f t="shared" si="77"/>
        <v/>
      </c>
      <c r="AC86" s="16" t="str">
        <f t="shared" si="78"/>
        <v/>
      </c>
      <c r="AD86" s="16" t="str">
        <f t="shared" si="81"/>
        <v/>
      </c>
      <c r="AE86" s="16" t="str">
        <f t="shared" si="82"/>
        <v/>
      </c>
      <c r="AF86" s="16" t="str">
        <f t="shared" si="83"/>
        <v/>
      </c>
      <c r="AG86" s="16" t="str">
        <f t="shared" si="79"/>
        <v/>
      </c>
      <c r="AH86" s="16" t="str">
        <f t="shared" si="80"/>
        <v/>
      </c>
      <c r="AI86" s="29" t="str">
        <f t="shared" si="84"/>
        <v/>
      </c>
      <c r="AJ86" s="29" t="str">
        <f t="shared" si="85"/>
        <v/>
      </c>
      <c r="AK86" s="2"/>
      <c r="AL86" s="2"/>
      <c r="AM86" s="2"/>
      <c r="AN86" s="2"/>
      <c r="AO86" s="2"/>
      <c r="AP86" s="2"/>
      <c r="AQ86" s="2"/>
      <c r="AR86" s="2"/>
      <c r="AS86" s="2"/>
      <c r="AT86" s="2"/>
      <c r="AU86" s="2"/>
      <c r="AV86" s="2"/>
      <c r="AW86" s="2"/>
      <c r="AX86" s="2"/>
      <c r="AY86" s="2"/>
      <c r="AZ86" s="2"/>
      <c r="BA86" s="2"/>
      <c r="BB86" s="2"/>
      <c r="BC86" s="2"/>
      <c r="BF86" s="200"/>
      <c r="BG86" s="200"/>
      <c r="BH86" s="208" t="s">
        <v>175</v>
      </c>
      <c r="BI86" s="209">
        <v>12</v>
      </c>
      <c r="BJ86" s="210" t="s">
        <v>42</v>
      </c>
      <c r="BK86" s="270" t="s">
        <v>240</v>
      </c>
      <c r="BL86" s="224" t="s">
        <v>251</v>
      </c>
      <c r="BM86" s="202"/>
      <c r="BN86" s="202"/>
      <c r="BO86" s="92"/>
      <c r="BP86" s="92"/>
      <c r="BQ86" s="92"/>
    </row>
    <row r="87" spans="1:82" x14ac:dyDescent="0.25">
      <c r="A87" s="48"/>
      <c r="B87" s="54"/>
      <c r="C87" s="54"/>
      <c r="D87" s="54"/>
      <c r="E87" s="54"/>
      <c r="F87" s="54"/>
      <c r="G87" s="54"/>
      <c r="H87" s="54"/>
      <c r="I87" s="54"/>
      <c r="J87" s="2"/>
      <c r="K87" s="2"/>
      <c r="L87" s="2"/>
      <c r="M87" s="2"/>
      <c r="N87" s="54"/>
      <c r="O87" s="54"/>
      <c r="P87" s="74"/>
      <c r="Q87" s="74"/>
      <c r="R87" s="54"/>
      <c r="S87" s="2"/>
      <c r="T87" s="54"/>
      <c r="U87" s="2"/>
      <c r="V87" s="2"/>
      <c r="W87" s="2"/>
      <c r="X87" s="2"/>
      <c r="Y87" s="259"/>
      <c r="Z87" s="2"/>
      <c r="AA87" s="264">
        <v>83</v>
      </c>
      <c r="AB87" s="16" t="str">
        <f t="shared" ref="AB87:AB104" si="86">IF($C$9&gt;=$AA87,$F45+0.000001-$AB$410,"")</f>
        <v/>
      </c>
      <c r="AC87" s="16" t="str">
        <f t="shared" ref="AC87:AC104" si="87">IF($C$9&gt;=$AA87,$E45+0.000001-$AB$409,"")</f>
        <v/>
      </c>
      <c r="AD87" s="16" t="str">
        <f t="shared" si="81"/>
        <v/>
      </c>
      <c r="AE87" s="16" t="str">
        <f t="shared" si="82"/>
        <v/>
      </c>
      <c r="AF87" s="16" t="str">
        <f t="shared" si="83"/>
        <v/>
      </c>
      <c r="AG87" s="16" t="str">
        <f t="shared" ref="AG87:AG104" si="88">IF($C$9&gt;=$AA87,$E45-$AB$409,"")</f>
        <v/>
      </c>
      <c r="AH87" s="16" t="str">
        <f t="shared" ref="AH87:AH104" si="89">IF($C$9&gt;=$AA87,$F45-$AB$410,"")</f>
        <v/>
      </c>
      <c r="AI87" s="29" t="str">
        <f t="shared" si="84"/>
        <v/>
      </c>
      <c r="AJ87" s="29" t="str">
        <f t="shared" si="85"/>
        <v/>
      </c>
      <c r="AK87" s="2"/>
      <c r="AL87" s="2"/>
      <c r="AM87" s="2"/>
      <c r="AN87" s="2"/>
      <c r="AO87" s="2"/>
      <c r="AP87" s="2"/>
      <c r="AQ87" s="2"/>
      <c r="AR87" s="2"/>
      <c r="AS87" s="2"/>
      <c r="AT87" s="2"/>
      <c r="AU87" s="2"/>
      <c r="AV87" s="2"/>
      <c r="AW87" s="2"/>
      <c r="AX87" s="2"/>
      <c r="AY87" s="2"/>
      <c r="AZ87" s="2"/>
      <c r="BA87" s="2"/>
      <c r="BB87" s="2"/>
      <c r="BC87" s="2"/>
      <c r="BF87" s="200"/>
      <c r="BG87" s="200"/>
      <c r="BH87" s="208" t="s">
        <v>176</v>
      </c>
      <c r="BI87" s="209">
        <v>12</v>
      </c>
      <c r="BJ87" s="210" t="s">
        <v>42</v>
      </c>
      <c r="BK87" s="270" t="s">
        <v>241</v>
      </c>
      <c r="BL87" s="224" t="s">
        <v>242</v>
      </c>
      <c r="BM87" s="200"/>
      <c r="BN87" s="200"/>
      <c r="BO87" s="92"/>
      <c r="BP87" s="92"/>
      <c r="BQ87" s="92"/>
    </row>
    <row r="88" spans="1:82" x14ac:dyDescent="0.25">
      <c r="A88" s="48"/>
      <c r="B88" s="54"/>
      <c r="C88" s="54"/>
      <c r="D88" s="54"/>
      <c r="E88" s="54"/>
      <c r="F88" s="54"/>
      <c r="G88" s="54"/>
      <c r="H88" s="54"/>
      <c r="I88" s="54"/>
      <c r="J88" s="2"/>
      <c r="K88" s="2"/>
      <c r="L88" s="2"/>
      <c r="M88" s="2"/>
      <c r="N88" s="54"/>
      <c r="O88" s="54"/>
      <c r="P88" s="74"/>
      <c r="Q88" s="54"/>
      <c r="R88" s="54"/>
      <c r="S88" s="2"/>
      <c r="T88" s="54"/>
      <c r="U88" s="2"/>
      <c r="V88" s="2"/>
      <c r="W88" s="2"/>
      <c r="X88" s="2"/>
      <c r="Y88" s="259"/>
      <c r="Z88" s="2"/>
      <c r="AA88" s="264">
        <v>84</v>
      </c>
      <c r="AB88" s="16" t="str">
        <f t="shared" si="86"/>
        <v/>
      </c>
      <c r="AC88" s="16" t="str">
        <f t="shared" si="87"/>
        <v/>
      </c>
      <c r="AD88" s="16" t="str">
        <f t="shared" si="81"/>
        <v/>
      </c>
      <c r="AE88" s="16" t="str">
        <f t="shared" si="82"/>
        <v/>
      </c>
      <c r="AF88" s="16" t="str">
        <f t="shared" si="83"/>
        <v/>
      </c>
      <c r="AG88" s="16" t="str">
        <f t="shared" si="88"/>
        <v/>
      </c>
      <c r="AH88" s="16" t="str">
        <f t="shared" si="89"/>
        <v/>
      </c>
      <c r="AI88" s="29" t="str">
        <f t="shared" si="84"/>
        <v/>
      </c>
      <c r="AJ88" s="29" t="str">
        <f t="shared" si="85"/>
        <v/>
      </c>
      <c r="AK88" s="2"/>
      <c r="AL88" s="2"/>
      <c r="AM88" s="2"/>
      <c r="AN88" s="2"/>
      <c r="AO88" s="2"/>
      <c r="AP88" s="2"/>
      <c r="AQ88" s="2"/>
      <c r="AR88" s="2"/>
      <c r="AS88" s="2"/>
      <c r="AT88" s="2"/>
      <c r="AU88" s="2"/>
      <c r="AV88" s="2"/>
      <c r="AW88" s="2"/>
      <c r="AX88" s="2"/>
      <c r="AY88" s="2"/>
      <c r="AZ88" s="2"/>
      <c r="BA88" s="2"/>
      <c r="BB88" s="2"/>
      <c r="BC88" s="2"/>
      <c r="BF88" s="200"/>
      <c r="BG88" s="200"/>
      <c r="BH88" s="211" t="s">
        <v>184</v>
      </c>
      <c r="BI88" s="212">
        <v>0</v>
      </c>
      <c r="BJ88" s="210" t="s">
        <v>44</v>
      </c>
      <c r="BK88" s="269"/>
      <c r="BL88" s="200"/>
      <c r="BM88" s="200"/>
      <c r="BN88" s="200"/>
      <c r="BO88" s="92"/>
      <c r="BP88" s="92"/>
      <c r="BQ88" s="92"/>
    </row>
    <row r="89" spans="1:82" x14ac:dyDescent="0.25">
      <c r="A89" s="48"/>
      <c r="B89" s="54"/>
      <c r="C89" s="54"/>
      <c r="D89" s="54"/>
      <c r="E89" s="54"/>
      <c r="F89" s="54"/>
      <c r="G89" s="54"/>
      <c r="H89" s="54"/>
      <c r="I89" s="54"/>
      <c r="J89" s="2"/>
      <c r="K89" s="2"/>
      <c r="L89" s="2"/>
      <c r="M89" s="2"/>
      <c r="N89" s="54"/>
      <c r="O89" s="54"/>
      <c r="P89" s="54"/>
      <c r="Q89" s="54"/>
      <c r="R89" s="54"/>
      <c r="S89" s="2"/>
      <c r="T89" s="54"/>
      <c r="U89" s="2"/>
      <c r="V89" s="2"/>
      <c r="W89" s="2"/>
      <c r="X89" s="2"/>
      <c r="Y89" s="259"/>
      <c r="Z89" s="2"/>
      <c r="AA89" s="264">
        <v>85</v>
      </c>
      <c r="AB89" s="16" t="str">
        <f t="shared" si="86"/>
        <v/>
      </c>
      <c r="AC89" s="16" t="str">
        <f t="shared" si="87"/>
        <v/>
      </c>
      <c r="AD89" s="16" t="str">
        <f t="shared" si="81"/>
        <v/>
      </c>
      <c r="AE89" s="16" t="str">
        <f t="shared" si="82"/>
        <v/>
      </c>
      <c r="AF89" s="16" t="str">
        <f t="shared" si="83"/>
        <v/>
      </c>
      <c r="AG89" s="16" t="str">
        <f t="shared" si="88"/>
        <v/>
      </c>
      <c r="AH89" s="16" t="str">
        <f t="shared" si="89"/>
        <v/>
      </c>
      <c r="AI89" s="29" t="str">
        <f t="shared" si="84"/>
        <v/>
      </c>
      <c r="AJ89" s="29" t="str">
        <f t="shared" si="85"/>
        <v/>
      </c>
      <c r="AK89" s="2"/>
      <c r="AL89" s="2"/>
      <c r="AM89" s="2"/>
      <c r="AN89" s="2"/>
      <c r="AO89" s="2"/>
      <c r="AP89" s="2"/>
      <c r="AQ89" s="2"/>
      <c r="AR89" s="2"/>
      <c r="AS89" s="2"/>
      <c r="AT89" s="2"/>
      <c r="AU89" s="2"/>
      <c r="AV89" s="2"/>
      <c r="AW89" s="2"/>
      <c r="AX89" s="2"/>
      <c r="AY89" s="2"/>
      <c r="AZ89" s="2"/>
      <c r="BA89" s="2"/>
      <c r="BB89" s="2"/>
      <c r="BC89" s="2"/>
      <c r="BF89" s="200"/>
      <c r="BG89" s="200"/>
      <c r="BH89" s="200"/>
      <c r="BI89" s="200"/>
      <c r="BJ89" s="200"/>
      <c r="BK89" s="200"/>
      <c r="BL89" s="92"/>
      <c r="BM89" s="92"/>
      <c r="BN89" s="92"/>
      <c r="BO89" s="92"/>
      <c r="BP89" s="92"/>
      <c r="BQ89" s="92"/>
    </row>
    <row r="90" spans="1:82" x14ac:dyDescent="0.25">
      <c r="A90" s="48"/>
      <c r="B90" s="54"/>
      <c r="C90" s="54"/>
      <c r="D90" s="54"/>
      <c r="E90" s="54"/>
      <c r="F90" s="54"/>
      <c r="G90" s="54"/>
      <c r="H90" s="54"/>
      <c r="I90" s="54"/>
      <c r="J90" s="2"/>
      <c r="K90" s="2"/>
      <c r="L90" s="2"/>
      <c r="M90" s="2"/>
      <c r="N90" s="54"/>
      <c r="O90" s="54"/>
      <c r="P90" s="54"/>
      <c r="Q90" s="54"/>
      <c r="R90" s="54"/>
      <c r="S90" s="2"/>
      <c r="T90" s="54"/>
      <c r="U90" s="2"/>
      <c r="V90" s="2"/>
      <c r="W90" s="2"/>
      <c r="X90" s="2"/>
      <c r="Y90" s="259"/>
      <c r="Z90" s="2"/>
      <c r="AA90" s="264">
        <v>86</v>
      </c>
      <c r="AB90" s="16" t="str">
        <f t="shared" si="86"/>
        <v/>
      </c>
      <c r="AC90" s="16" t="str">
        <f t="shared" si="87"/>
        <v/>
      </c>
      <c r="AD90" s="16" t="str">
        <f t="shared" si="81"/>
        <v/>
      </c>
      <c r="AE90" s="16" t="str">
        <f t="shared" si="82"/>
        <v/>
      </c>
      <c r="AF90" s="16" t="str">
        <f t="shared" si="83"/>
        <v/>
      </c>
      <c r="AG90" s="16" t="str">
        <f t="shared" si="88"/>
        <v/>
      </c>
      <c r="AH90" s="16" t="str">
        <f t="shared" si="89"/>
        <v/>
      </c>
      <c r="AI90" s="29" t="str">
        <f t="shared" si="84"/>
        <v/>
      </c>
      <c r="AJ90" s="29" t="str">
        <f t="shared" si="85"/>
        <v/>
      </c>
      <c r="AK90" s="2"/>
      <c r="AL90" s="2"/>
      <c r="AM90" s="2"/>
      <c r="AN90" s="2"/>
      <c r="AO90" s="2"/>
      <c r="AP90" s="2"/>
      <c r="AQ90" s="2"/>
      <c r="AR90" s="2"/>
      <c r="AS90" s="2"/>
      <c r="AT90" s="2"/>
      <c r="AU90" s="2"/>
      <c r="AV90" s="2"/>
      <c r="AW90" s="2"/>
      <c r="AX90" s="2"/>
      <c r="AY90" s="2"/>
      <c r="AZ90" s="2"/>
      <c r="BA90" s="2"/>
      <c r="BB90" s="2"/>
      <c r="BC90" s="2"/>
      <c r="BF90" s="196"/>
      <c r="BG90" s="201"/>
      <c r="BH90" s="213" t="s">
        <v>53</v>
      </c>
      <c r="BI90" s="214"/>
      <c r="BJ90" s="226"/>
    </row>
    <row r="91" spans="1:82" x14ac:dyDescent="0.25">
      <c r="A91" s="48"/>
      <c r="B91" s="54"/>
      <c r="C91" s="54"/>
      <c r="D91" s="54"/>
      <c r="E91" s="54"/>
      <c r="F91" s="54"/>
      <c r="G91" s="54"/>
      <c r="H91" s="54"/>
      <c r="I91" s="54"/>
      <c r="J91" s="2"/>
      <c r="K91" s="2"/>
      <c r="L91" s="2"/>
      <c r="M91" s="2"/>
      <c r="N91" s="54"/>
      <c r="O91" s="54"/>
      <c r="P91" s="54"/>
      <c r="Q91" s="54"/>
      <c r="R91" s="54"/>
      <c r="S91" s="2"/>
      <c r="T91" s="54"/>
      <c r="U91" s="2"/>
      <c r="V91" s="2"/>
      <c r="W91" s="2"/>
      <c r="X91" s="2"/>
      <c r="Y91" s="259"/>
      <c r="Z91" s="2"/>
      <c r="AA91" s="264">
        <v>87</v>
      </c>
      <c r="AB91" s="16" t="str">
        <f t="shared" si="86"/>
        <v/>
      </c>
      <c r="AC91" s="16" t="str">
        <f t="shared" si="87"/>
        <v/>
      </c>
      <c r="AD91" s="16" t="str">
        <f t="shared" si="81"/>
        <v/>
      </c>
      <c r="AE91" s="16" t="str">
        <f t="shared" si="82"/>
        <v/>
      </c>
      <c r="AF91" s="16" t="str">
        <f t="shared" si="83"/>
        <v/>
      </c>
      <c r="AG91" s="16" t="str">
        <f t="shared" si="88"/>
        <v/>
      </c>
      <c r="AH91" s="16" t="str">
        <f t="shared" si="89"/>
        <v/>
      </c>
      <c r="AI91" s="29" t="str">
        <f t="shared" si="84"/>
        <v/>
      </c>
      <c r="AJ91" s="29" t="str">
        <f t="shared" si="85"/>
        <v/>
      </c>
      <c r="AK91" s="2"/>
      <c r="AL91" s="2"/>
      <c r="AM91" s="2"/>
      <c r="AN91" s="2"/>
      <c r="AO91" s="2"/>
      <c r="AP91" s="2"/>
      <c r="AQ91" s="2"/>
      <c r="AR91" s="2"/>
      <c r="AS91" s="2"/>
      <c r="AT91" s="2"/>
      <c r="AU91" s="2"/>
      <c r="AV91" s="2"/>
      <c r="AW91" s="2"/>
      <c r="AX91" s="2"/>
      <c r="AY91" s="2"/>
      <c r="AZ91" s="2"/>
      <c r="BA91" s="2"/>
      <c r="BB91" s="2"/>
      <c r="BC91" s="2"/>
      <c r="BF91" s="196"/>
      <c r="BG91" s="201"/>
      <c r="BH91" s="195" t="s">
        <v>185</v>
      </c>
      <c r="BI91" s="195" t="s">
        <v>186</v>
      </c>
      <c r="BJ91" s="202"/>
      <c r="BK91" s="195" t="s">
        <v>185</v>
      </c>
      <c r="BL91" s="195" t="s">
        <v>186</v>
      </c>
      <c r="BN91" s="195" t="s">
        <v>185</v>
      </c>
      <c r="BO91" s="195" t="s">
        <v>186</v>
      </c>
      <c r="BQ91" s="195" t="s">
        <v>185</v>
      </c>
      <c r="BR91" s="195" t="s">
        <v>186</v>
      </c>
      <c r="BT91" s="195" t="s">
        <v>185</v>
      </c>
      <c r="BU91" s="195" t="s">
        <v>186</v>
      </c>
      <c r="BW91" s="195" t="s">
        <v>185</v>
      </c>
      <c r="BX91" s="195" t="s">
        <v>186</v>
      </c>
      <c r="BZ91" s="195" t="s">
        <v>185</v>
      </c>
      <c r="CA91" s="195" t="s">
        <v>186</v>
      </c>
      <c r="CC91" s="195" t="s">
        <v>185</v>
      </c>
      <c r="CD91" s="195" t="s">
        <v>186</v>
      </c>
    </row>
    <row r="92" spans="1:82" x14ac:dyDescent="0.25">
      <c r="A92" s="48"/>
      <c r="B92" s="54"/>
      <c r="C92" s="54"/>
      <c r="D92" s="54"/>
      <c r="E92" s="54"/>
      <c r="F92" s="54"/>
      <c r="G92" s="54"/>
      <c r="H92" s="54"/>
      <c r="I92" s="54"/>
      <c r="J92" s="2"/>
      <c r="K92" s="2"/>
      <c r="L92" s="2"/>
      <c r="M92" s="2"/>
      <c r="N92" s="88"/>
      <c r="O92" s="54"/>
      <c r="P92" s="54"/>
      <c r="Q92" s="54"/>
      <c r="R92" s="54"/>
      <c r="S92" s="2"/>
      <c r="T92" s="54"/>
      <c r="U92" s="2"/>
      <c r="V92" s="2"/>
      <c r="W92" s="2"/>
      <c r="X92" s="2"/>
      <c r="Y92" s="259"/>
      <c r="Z92" s="2"/>
      <c r="AA92" s="264">
        <v>88</v>
      </c>
      <c r="AB92" s="16" t="str">
        <f t="shared" si="86"/>
        <v/>
      </c>
      <c r="AC92" s="16" t="str">
        <f t="shared" si="87"/>
        <v/>
      </c>
      <c r="AD92" s="16" t="str">
        <f t="shared" si="81"/>
        <v/>
      </c>
      <c r="AE92" s="16" t="str">
        <f t="shared" si="82"/>
        <v/>
      </c>
      <c r="AF92" s="16" t="str">
        <f t="shared" si="83"/>
        <v/>
      </c>
      <c r="AG92" s="16" t="str">
        <f t="shared" si="88"/>
        <v/>
      </c>
      <c r="AH92" s="16" t="str">
        <f t="shared" si="89"/>
        <v/>
      </c>
      <c r="AI92" s="29" t="str">
        <f t="shared" si="84"/>
        <v/>
      </c>
      <c r="AJ92" s="29" t="str">
        <f t="shared" si="85"/>
        <v/>
      </c>
      <c r="AK92" s="2"/>
      <c r="AL92" s="2"/>
      <c r="AM92" s="2"/>
      <c r="AN92" s="2"/>
      <c r="AO92" s="2"/>
      <c r="AP92" s="2"/>
      <c r="AQ92" s="2"/>
      <c r="AR92" s="2"/>
      <c r="AS92" s="2"/>
      <c r="AT92" s="2"/>
      <c r="AU92" s="2"/>
      <c r="AV92" s="2"/>
      <c r="AW92" s="2"/>
      <c r="AX92" s="2"/>
      <c r="AY92" s="2"/>
      <c r="AZ92" s="2"/>
      <c r="BA92" s="2"/>
      <c r="BB92" s="2"/>
      <c r="BC92" s="2"/>
      <c r="BF92" s="208"/>
      <c r="BG92" s="215">
        <f t="shared" ref="BG92:BG123" si="90">IF($BI$84&gt;=$AA5,$AA5,"")</f>
        <v>1</v>
      </c>
      <c r="BH92" s="216">
        <f t="shared" ref="BH92:BH123" si="91">IF($BG92&lt;&gt;"",$BI$86+($BI$85)*COS( PI()/180*($BI$88+($BG92-1)*360/$BI$84))/2,"")</f>
        <v>24</v>
      </c>
      <c r="BI92" s="216">
        <f t="shared" ref="BI92:BI123" si="92">IF($BG92&lt;&gt;"",$BI$87+($BI$85)*SIN( PI()/180*($BI$88+($BG92-1)*360/$BI$84))/2,"")</f>
        <v>12</v>
      </c>
      <c r="BJ92" s="215" t="str">
        <f t="shared" ref="BJ92:BJ123" si="93">IF($BI$84&gt;=$AA55,$AA55,"")</f>
        <v/>
      </c>
      <c r="BK92" s="216" t="str">
        <f t="shared" ref="BK92:BK123" si="94">IF($BJ92&lt;&gt;"",$BI$86+($BI$85)*COS( PI()/180*($BI$88+($BJ92-1)*360/$BI$84))/2,"")</f>
        <v/>
      </c>
      <c r="BL92" s="228" t="str">
        <f t="shared" ref="BL92:BL123" si="95">IF($BJ92&lt;&gt;"",$BI$87+($BI$85)*SIN( PI()/180*($BI$88+($BJ92-1)*360/$BI$84))/2,"")</f>
        <v/>
      </c>
      <c r="BM92" s="215" t="str">
        <f t="shared" ref="BM92:BM123" si="96">IF($BI$84&gt;=$AA105,$AA105,"")</f>
        <v/>
      </c>
      <c r="BN92" s="216" t="str">
        <f t="shared" ref="BN92:BN123" si="97">IF($BM92&lt;&gt;"",$BI$86+($BI$85)*COS( PI()/180*($BI$88+($BM92-1)*360/$BI$84))/2,"")</f>
        <v/>
      </c>
      <c r="BO92" s="228" t="str">
        <f t="shared" ref="BO92:BO123" si="98">IF($BM92&lt;&gt;"",$BI$87+($BI$85)*SIN( PI()/180*($BI$88+($BM92-1)*360/$BI$84))/2,"")</f>
        <v/>
      </c>
      <c r="BP92" s="215" t="str">
        <f t="shared" ref="BP92:BP123" si="99">IF($BI$84&gt;=$AA155,$AA155,"")</f>
        <v/>
      </c>
      <c r="BQ92" s="216" t="str">
        <f t="shared" ref="BQ92:BQ123" si="100">IF($BP92&lt;&gt;"",$BI$86+($BI$85)*COS( PI()/180*($BI$88+($BP92-1)*360/$BI$84))/2,"")</f>
        <v/>
      </c>
      <c r="BR92" s="228" t="str">
        <f t="shared" ref="BR92:BR123" si="101">IF($BP92&lt;&gt;"",$BI$87+($BI$85)*SIN( PI()/180*($BI$88+($BP92-1)*360/$BI$84))/2,"")</f>
        <v/>
      </c>
      <c r="BS92" s="215" t="str">
        <f t="shared" ref="BS92:BS123" si="102">IF($BI$84&gt;=$AA205,$AA205,"")</f>
        <v/>
      </c>
      <c r="BT92" s="216" t="str">
        <f t="shared" ref="BT92:BT123" si="103">IF($BS92&lt;&gt;"",$BI$86+($BI$85)*COS( PI()/180*($BI$88+($BS92-1)*360/$BI$84))/2,"")</f>
        <v/>
      </c>
      <c r="BU92" s="228" t="str">
        <f t="shared" ref="BU92:BU123" si="104">IF($BS92&lt;&gt;"",$BI$87+($BI$85)*SIN( PI()/180*($BI$88+($BS92-1)*360/$BI$84))/2,"")</f>
        <v/>
      </c>
      <c r="BV92" s="215" t="str">
        <f t="shared" ref="BV92:BV123" si="105">IF($BI$84&gt;=$AA255,$AA255,"")</f>
        <v/>
      </c>
      <c r="BW92" s="216" t="str">
        <f t="shared" ref="BW92:BW123" si="106">IF($BV92&lt;&gt;"",$BI$86+($BI$85)*COS( PI()/180*($BI$88+($BV92-1)*360/$BI$84))/2,"")</f>
        <v/>
      </c>
      <c r="BX92" s="228" t="str">
        <f t="shared" ref="BX92:BX123" si="107">IF($BV92&lt;&gt;"",$BI$87+($BI$85)*SIN( PI()/180*($BI$88+($BV92-1)*360/$BI$84))/2,"")</f>
        <v/>
      </c>
      <c r="BY92" s="215" t="str">
        <f t="shared" ref="BY92:BY123" si="108">IF($BI$84&gt;=$AA305,$AA305,"")</f>
        <v/>
      </c>
      <c r="BZ92" s="216" t="str">
        <f t="shared" ref="BZ92:BZ123" si="109">IF($BY92&lt;&gt;"",$BI$86+($BI$85)*COS( PI()/180*($BI$88+($BY92-1)*360/$BI$84))/2,"")</f>
        <v/>
      </c>
      <c r="CA92" s="228" t="str">
        <f t="shared" ref="CA92:CA123" si="110">IF($BY92&lt;&gt;"",$BI$87+($BI$85)*SIN( PI()/180*($BI$88+($BY92-1)*360/$BI$84))/2,"")</f>
        <v/>
      </c>
      <c r="CB92" s="215" t="str">
        <f t="shared" ref="CB92:CB123" si="111">IF($BI$84&gt;=$AA355,$AA355,"")</f>
        <v/>
      </c>
      <c r="CC92" s="216" t="str">
        <f t="shared" ref="CC92:CC123" si="112">IF($CB92&lt;&gt;"",$BI$86+($BI$85)*COS( PI()/180*($BI$88+($CB92-1)*360/$BI$84))/2,"")</f>
        <v/>
      </c>
      <c r="CD92" s="228" t="str">
        <f t="shared" ref="CD92:CD123" si="113">IF($CB92&lt;&gt;"",$BI$87+($BI$85)*SIN( PI()/180*($BI$88+($CB92-1)*360/$BI$84))/2,"")</f>
        <v/>
      </c>
    </row>
    <row r="93" spans="1:82" x14ac:dyDescent="0.25">
      <c r="A93" s="48"/>
      <c r="B93" s="54"/>
      <c r="C93" s="54"/>
      <c r="D93" s="54"/>
      <c r="E93" s="54"/>
      <c r="F93" s="54"/>
      <c r="G93" s="54"/>
      <c r="H93" s="54"/>
      <c r="I93" s="54"/>
      <c r="J93" s="2"/>
      <c r="K93" s="2"/>
      <c r="L93" s="2"/>
      <c r="M93" s="2"/>
      <c r="N93" s="53"/>
      <c r="O93" s="53"/>
      <c r="P93" s="54"/>
      <c r="Q93" s="53"/>
      <c r="R93" s="53"/>
      <c r="S93" s="2"/>
      <c r="T93" s="54"/>
      <c r="U93" s="2"/>
      <c r="V93" s="2"/>
      <c r="W93" s="2"/>
      <c r="X93" s="2"/>
      <c r="Y93" s="259"/>
      <c r="Z93" s="2"/>
      <c r="AA93" s="264">
        <v>89</v>
      </c>
      <c r="AB93" s="16" t="str">
        <f t="shared" si="86"/>
        <v/>
      </c>
      <c r="AC93" s="16" t="str">
        <f t="shared" si="87"/>
        <v/>
      </c>
      <c r="AD93" s="16" t="str">
        <f t="shared" si="81"/>
        <v/>
      </c>
      <c r="AE93" s="16" t="str">
        <f t="shared" si="82"/>
        <v/>
      </c>
      <c r="AF93" s="16" t="str">
        <f t="shared" si="83"/>
        <v/>
      </c>
      <c r="AG93" s="16" t="str">
        <f t="shared" si="88"/>
        <v/>
      </c>
      <c r="AH93" s="16" t="str">
        <f t="shared" si="89"/>
        <v/>
      </c>
      <c r="AI93" s="29" t="str">
        <f t="shared" si="84"/>
        <v/>
      </c>
      <c r="AJ93" s="29" t="str">
        <f t="shared" si="85"/>
        <v/>
      </c>
      <c r="AK93" s="2"/>
      <c r="AL93" s="2"/>
      <c r="AM93" s="2"/>
      <c r="AN93" s="2"/>
      <c r="AO93" s="2"/>
      <c r="AP93" s="2"/>
      <c r="AQ93" s="2"/>
      <c r="AR93" s="2"/>
      <c r="AS93" s="2"/>
      <c r="AT93" s="2"/>
      <c r="AU93" s="2"/>
      <c r="AV93" s="2"/>
      <c r="AW93" s="2"/>
      <c r="AX93" s="2"/>
      <c r="AY93" s="2"/>
      <c r="AZ93" s="2"/>
      <c r="BA93" s="2"/>
      <c r="BB93" s="2"/>
      <c r="BC93" s="2"/>
      <c r="BF93" s="208"/>
      <c r="BG93" s="215">
        <f t="shared" si="90"/>
        <v>2</v>
      </c>
      <c r="BH93" s="217">
        <f t="shared" si="91"/>
        <v>20.485281374238571</v>
      </c>
      <c r="BI93" s="217">
        <f t="shared" si="92"/>
        <v>20.485281374238568</v>
      </c>
      <c r="BJ93" s="215" t="str">
        <f t="shared" si="93"/>
        <v/>
      </c>
      <c r="BK93" s="217" t="str">
        <f t="shared" si="94"/>
        <v/>
      </c>
      <c r="BL93" s="217" t="str">
        <f t="shared" si="95"/>
        <v/>
      </c>
      <c r="BM93" s="215" t="str">
        <f t="shared" si="96"/>
        <v/>
      </c>
      <c r="BN93" s="217" t="str">
        <f t="shared" si="97"/>
        <v/>
      </c>
      <c r="BO93" s="217" t="str">
        <f t="shared" si="98"/>
        <v/>
      </c>
      <c r="BP93" s="215" t="str">
        <f t="shared" si="99"/>
        <v/>
      </c>
      <c r="BQ93" s="217" t="str">
        <f t="shared" si="100"/>
        <v/>
      </c>
      <c r="BR93" s="217" t="str">
        <f t="shared" si="101"/>
        <v/>
      </c>
      <c r="BS93" s="215" t="str">
        <f t="shared" si="102"/>
        <v/>
      </c>
      <c r="BT93" s="217" t="str">
        <f t="shared" si="103"/>
        <v/>
      </c>
      <c r="BU93" s="217" t="str">
        <f t="shared" si="104"/>
        <v/>
      </c>
      <c r="BV93" s="215" t="str">
        <f t="shared" si="105"/>
        <v/>
      </c>
      <c r="BW93" s="217" t="str">
        <f t="shared" si="106"/>
        <v/>
      </c>
      <c r="BX93" s="217" t="str">
        <f t="shared" si="107"/>
        <v/>
      </c>
      <c r="BY93" s="215" t="str">
        <f t="shared" si="108"/>
        <v/>
      </c>
      <c r="BZ93" s="217" t="str">
        <f t="shared" si="109"/>
        <v/>
      </c>
      <c r="CA93" s="217" t="str">
        <f t="shared" si="110"/>
        <v/>
      </c>
      <c r="CB93" s="215" t="str">
        <f t="shared" si="111"/>
        <v/>
      </c>
      <c r="CC93" s="217" t="str">
        <f t="shared" si="112"/>
        <v/>
      </c>
      <c r="CD93" s="217" t="str">
        <f t="shared" si="113"/>
        <v/>
      </c>
    </row>
    <row r="94" spans="1:82" x14ac:dyDescent="0.25">
      <c r="A94" s="48"/>
      <c r="B94" s="54"/>
      <c r="C94" s="54"/>
      <c r="D94" s="54"/>
      <c r="E94" s="54"/>
      <c r="F94" s="54"/>
      <c r="G94" s="54"/>
      <c r="H94" s="54"/>
      <c r="I94" s="54"/>
      <c r="J94" s="2"/>
      <c r="K94" s="2"/>
      <c r="L94" s="2"/>
      <c r="M94" s="2"/>
      <c r="N94" s="77"/>
      <c r="O94" s="77"/>
      <c r="P94" s="54"/>
      <c r="Q94" s="77"/>
      <c r="R94" s="77"/>
      <c r="S94" s="2"/>
      <c r="T94" s="54"/>
      <c r="U94" s="2"/>
      <c r="V94" s="2"/>
      <c r="W94" s="2"/>
      <c r="X94" s="2"/>
      <c r="Y94" s="259"/>
      <c r="Z94" s="2"/>
      <c r="AA94" s="264">
        <v>90</v>
      </c>
      <c r="AB94" s="16" t="str">
        <f t="shared" si="86"/>
        <v/>
      </c>
      <c r="AC94" s="16" t="str">
        <f t="shared" si="87"/>
        <v/>
      </c>
      <c r="AD94" s="16" t="str">
        <f t="shared" si="81"/>
        <v/>
      </c>
      <c r="AE94" s="16" t="str">
        <f t="shared" si="82"/>
        <v/>
      </c>
      <c r="AF94" s="16" t="str">
        <f t="shared" si="83"/>
        <v/>
      </c>
      <c r="AG94" s="16" t="str">
        <f t="shared" si="88"/>
        <v/>
      </c>
      <c r="AH94" s="16" t="str">
        <f t="shared" si="89"/>
        <v/>
      </c>
      <c r="AI94" s="29" t="str">
        <f t="shared" si="84"/>
        <v/>
      </c>
      <c r="AJ94" s="29" t="str">
        <f t="shared" si="85"/>
        <v/>
      </c>
      <c r="AK94" s="2"/>
      <c r="AL94" s="2"/>
      <c r="AM94" s="2"/>
      <c r="AN94" s="2"/>
      <c r="AO94" s="2"/>
      <c r="AP94" s="2"/>
      <c r="AQ94" s="2"/>
      <c r="AR94" s="2"/>
      <c r="AS94" s="2"/>
      <c r="AT94" s="2"/>
      <c r="AU94" s="2"/>
      <c r="AV94" s="2"/>
      <c r="AW94" s="2"/>
      <c r="AX94" s="2"/>
      <c r="AY94" s="2"/>
      <c r="AZ94" s="2"/>
      <c r="BA94" s="2"/>
      <c r="BB94" s="2"/>
      <c r="BC94" s="2"/>
      <c r="BF94" s="208"/>
      <c r="BG94" s="215">
        <f t="shared" si="90"/>
        <v>3</v>
      </c>
      <c r="BH94" s="217">
        <f t="shared" si="91"/>
        <v>12</v>
      </c>
      <c r="BI94" s="217">
        <f t="shared" si="92"/>
        <v>24</v>
      </c>
      <c r="BJ94" s="215" t="str">
        <f t="shared" si="93"/>
        <v/>
      </c>
      <c r="BK94" s="217" t="str">
        <f t="shared" si="94"/>
        <v/>
      </c>
      <c r="BL94" s="217" t="str">
        <f t="shared" si="95"/>
        <v/>
      </c>
      <c r="BM94" s="215" t="str">
        <f t="shared" si="96"/>
        <v/>
      </c>
      <c r="BN94" s="217" t="str">
        <f t="shared" si="97"/>
        <v/>
      </c>
      <c r="BO94" s="217" t="str">
        <f t="shared" si="98"/>
        <v/>
      </c>
      <c r="BP94" s="215" t="str">
        <f t="shared" si="99"/>
        <v/>
      </c>
      <c r="BQ94" s="217" t="str">
        <f t="shared" si="100"/>
        <v/>
      </c>
      <c r="BR94" s="217" t="str">
        <f t="shared" si="101"/>
        <v/>
      </c>
      <c r="BS94" s="215" t="str">
        <f t="shared" si="102"/>
        <v/>
      </c>
      <c r="BT94" s="217" t="str">
        <f t="shared" si="103"/>
        <v/>
      </c>
      <c r="BU94" s="217" t="str">
        <f t="shared" si="104"/>
        <v/>
      </c>
      <c r="BV94" s="215" t="str">
        <f t="shared" si="105"/>
        <v/>
      </c>
      <c r="BW94" s="217" t="str">
        <f t="shared" si="106"/>
        <v/>
      </c>
      <c r="BX94" s="217" t="str">
        <f t="shared" si="107"/>
        <v/>
      </c>
      <c r="BY94" s="215" t="str">
        <f t="shared" si="108"/>
        <v/>
      </c>
      <c r="BZ94" s="217" t="str">
        <f t="shared" si="109"/>
        <v/>
      </c>
      <c r="CA94" s="217" t="str">
        <f t="shared" si="110"/>
        <v/>
      </c>
      <c r="CB94" s="215" t="str">
        <f t="shared" si="111"/>
        <v/>
      </c>
      <c r="CC94" s="217" t="str">
        <f t="shared" si="112"/>
        <v/>
      </c>
      <c r="CD94" s="217" t="str">
        <f t="shared" si="113"/>
        <v/>
      </c>
    </row>
    <row r="95" spans="1:82" x14ac:dyDescent="0.25">
      <c r="A95" s="48"/>
      <c r="B95" s="54"/>
      <c r="C95" s="54"/>
      <c r="D95" s="54"/>
      <c r="E95" s="54"/>
      <c r="F95" s="54"/>
      <c r="G95" s="54"/>
      <c r="H95" s="54"/>
      <c r="I95" s="54"/>
      <c r="J95" s="2"/>
      <c r="K95" s="2"/>
      <c r="L95" s="2"/>
      <c r="M95" s="2"/>
      <c r="N95" s="81"/>
      <c r="O95" s="81"/>
      <c r="P95" s="54"/>
      <c r="Q95" s="81"/>
      <c r="R95" s="81"/>
      <c r="S95" s="2"/>
      <c r="T95" s="54"/>
      <c r="U95" s="2"/>
      <c r="V95" s="2"/>
      <c r="W95" s="2"/>
      <c r="X95" s="2"/>
      <c r="Y95" s="259"/>
      <c r="Z95" s="2"/>
      <c r="AA95" s="264">
        <v>91</v>
      </c>
      <c r="AB95" s="16" t="str">
        <f t="shared" si="86"/>
        <v/>
      </c>
      <c r="AC95" s="16" t="str">
        <f t="shared" si="87"/>
        <v/>
      </c>
      <c r="AD95" s="16" t="str">
        <f t="shared" si="81"/>
        <v/>
      </c>
      <c r="AE95" s="16" t="str">
        <f t="shared" si="82"/>
        <v/>
      </c>
      <c r="AF95" s="16" t="str">
        <f t="shared" si="83"/>
        <v/>
      </c>
      <c r="AG95" s="16" t="str">
        <f t="shared" si="88"/>
        <v/>
      </c>
      <c r="AH95" s="16" t="str">
        <f t="shared" si="89"/>
        <v/>
      </c>
      <c r="AI95" s="29" t="str">
        <f t="shared" si="84"/>
        <v/>
      </c>
      <c r="AJ95" s="29" t="str">
        <f t="shared" si="85"/>
        <v/>
      </c>
      <c r="AK95" s="2"/>
      <c r="AL95" s="2"/>
      <c r="AM95" s="2"/>
      <c r="AN95" s="2"/>
      <c r="AO95" s="2"/>
      <c r="AP95" s="2"/>
      <c r="AQ95" s="2"/>
      <c r="AR95" s="2"/>
      <c r="AS95" s="2"/>
      <c r="AT95" s="2"/>
      <c r="AU95" s="2"/>
      <c r="AV95" s="2"/>
      <c r="AW95" s="2"/>
      <c r="AX95" s="2"/>
      <c r="AY95" s="2"/>
      <c r="AZ95" s="2"/>
      <c r="BA95" s="2"/>
      <c r="BB95" s="2"/>
      <c r="BC95" s="2"/>
      <c r="BF95" s="208"/>
      <c r="BG95" s="215">
        <f t="shared" si="90"/>
        <v>4</v>
      </c>
      <c r="BH95" s="217">
        <f t="shared" si="91"/>
        <v>3.5147186257614305</v>
      </c>
      <c r="BI95" s="217">
        <f t="shared" si="92"/>
        <v>20.485281374238571</v>
      </c>
      <c r="BJ95" s="215" t="str">
        <f t="shared" si="93"/>
        <v/>
      </c>
      <c r="BK95" s="217" t="str">
        <f t="shared" si="94"/>
        <v/>
      </c>
      <c r="BL95" s="217" t="str">
        <f t="shared" si="95"/>
        <v/>
      </c>
      <c r="BM95" s="215" t="str">
        <f t="shared" si="96"/>
        <v/>
      </c>
      <c r="BN95" s="217" t="str">
        <f t="shared" si="97"/>
        <v/>
      </c>
      <c r="BO95" s="217" t="str">
        <f t="shared" si="98"/>
        <v/>
      </c>
      <c r="BP95" s="215" t="str">
        <f t="shared" si="99"/>
        <v/>
      </c>
      <c r="BQ95" s="217" t="str">
        <f t="shared" si="100"/>
        <v/>
      </c>
      <c r="BR95" s="217" t="str">
        <f t="shared" si="101"/>
        <v/>
      </c>
      <c r="BS95" s="215" t="str">
        <f t="shared" si="102"/>
        <v/>
      </c>
      <c r="BT95" s="217" t="str">
        <f t="shared" si="103"/>
        <v/>
      </c>
      <c r="BU95" s="217" t="str">
        <f t="shared" si="104"/>
        <v/>
      </c>
      <c r="BV95" s="215" t="str">
        <f t="shared" si="105"/>
        <v/>
      </c>
      <c r="BW95" s="217" t="str">
        <f t="shared" si="106"/>
        <v/>
      </c>
      <c r="BX95" s="217" t="str">
        <f t="shared" si="107"/>
        <v/>
      </c>
      <c r="BY95" s="215" t="str">
        <f t="shared" si="108"/>
        <v/>
      </c>
      <c r="BZ95" s="217" t="str">
        <f t="shared" si="109"/>
        <v/>
      </c>
      <c r="CA95" s="217" t="str">
        <f t="shared" si="110"/>
        <v/>
      </c>
      <c r="CB95" s="215" t="str">
        <f t="shared" si="111"/>
        <v/>
      </c>
      <c r="CC95" s="217" t="str">
        <f t="shared" si="112"/>
        <v/>
      </c>
      <c r="CD95" s="217" t="str">
        <f t="shared" si="113"/>
        <v/>
      </c>
    </row>
    <row r="96" spans="1:82" x14ac:dyDescent="0.25">
      <c r="A96" s="48"/>
      <c r="B96" s="54"/>
      <c r="C96" s="54"/>
      <c r="D96" s="54"/>
      <c r="E96" s="54"/>
      <c r="F96" s="54"/>
      <c r="G96" s="54"/>
      <c r="H96" s="54"/>
      <c r="I96" s="54"/>
      <c r="J96" s="2"/>
      <c r="K96" s="2"/>
      <c r="L96" s="2"/>
      <c r="M96" s="2"/>
      <c r="N96" s="54"/>
      <c r="O96" s="54"/>
      <c r="P96" s="54"/>
      <c r="Q96" s="54"/>
      <c r="R96" s="54"/>
      <c r="S96" s="2"/>
      <c r="T96" s="54"/>
      <c r="U96" s="2"/>
      <c r="V96" s="2"/>
      <c r="W96" s="2"/>
      <c r="X96" s="2"/>
      <c r="Y96" s="259"/>
      <c r="Z96" s="2"/>
      <c r="AA96" s="264">
        <v>92</v>
      </c>
      <c r="AB96" s="16" t="str">
        <f t="shared" si="86"/>
        <v/>
      </c>
      <c r="AC96" s="16" t="str">
        <f t="shared" si="87"/>
        <v/>
      </c>
      <c r="AD96" s="16" t="str">
        <f t="shared" si="81"/>
        <v/>
      </c>
      <c r="AE96" s="16" t="str">
        <f t="shared" si="82"/>
        <v/>
      </c>
      <c r="AF96" s="16" t="str">
        <f t="shared" si="83"/>
        <v/>
      </c>
      <c r="AG96" s="16" t="str">
        <f t="shared" si="88"/>
        <v/>
      </c>
      <c r="AH96" s="16" t="str">
        <f t="shared" si="89"/>
        <v/>
      </c>
      <c r="AI96" s="29" t="str">
        <f t="shared" si="84"/>
        <v/>
      </c>
      <c r="AJ96" s="29" t="str">
        <f t="shared" si="85"/>
        <v/>
      </c>
      <c r="AK96" s="2"/>
      <c r="AL96" s="2"/>
      <c r="AM96" s="2"/>
      <c r="AN96" s="2"/>
      <c r="AO96" s="2"/>
      <c r="AP96" s="2"/>
      <c r="AQ96" s="2"/>
      <c r="AR96" s="2"/>
      <c r="AS96" s="2"/>
      <c r="AT96" s="2"/>
      <c r="AU96" s="2"/>
      <c r="AV96" s="2"/>
      <c r="AW96" s="2"/>
      <c r="AX96" s="2"/>
      <c r="AY96" s="2"/>
      <c r="AZ96" s="2"/>
      <c r="BA96" s="2"/>
      <c r="BB96" s="2"/>
      <c r="BC96" s="2"/>
      <c r="BF96" s="208"/>
      <c r="BG96" s="215">
        <f t="shared" si="90"/>
        <v>5</v>
      </c>
      <c r="BH96" s="217">
        <f t="shared" si="91"/>
        <v>0</v>
      </c>
      <c r="BI96" s="217">
        <f t="shared" si="92"/>
        <v>12.000000000000002</v>
      </c>
      <c r="BJ96" s="215" t="str">
        <f t="shared" si="93"/>
        <v/>
      </c>
      <c r="BK96" s="217" t="str">
        <f t="shared" si="94"/>
        <v/>
      </c>
      <c r="BL96" s="217" t="str">
        <f t="shared" si="95"/>
        <v/>
      </c>
      <c r="BM96" s="215" t="str">
        <f t="shared" si="96"/>
        <v/>
      </c>
      <c r="BN96" s="217" t="str">
        <f t="shared" si="97"/>
        <v/>
      </c>
      <c r="BO96" s="217" t="str">
        <f t="shared" si="98"/>
        <v/>
      </c>
      <c r="BP96" s="215" t="str">
        <f t="shared" si="99"/>
        <v/>
      </c>
      <c r="BQ96" s="217" t="str">
        <f t="shared" si="100"/>
        <v/>
      </c>
      <c r="BR96" s="217" t="str">
        <f t="shared" si="101"/>
        <v/>
      </c>
      <c r="BS96" s="215" t="str">
        <f t="shared" si="102"/>
        <v/>
      </c>
      <c r="BT96" s="217" t="str">
        <f t="shared" si="103"/>
        <v/>
      </c>
      <c r="BU96" s="217" t="str">
        <f t="shared" si="104"/>
        <v/>
      </c>
      <c r="BV96" s="215" t="str">
        <f t="shared" si="105"/>
        <v/>
      </c>
      <c r="BW96" s="217" t="str">
        <f t="shared" si="106"/>
        <v/>
      </c>
      <c r="BX96" s="217" t="str">
        <f t="shared" si="107"/>
        <v/>
      </c>
      <c r="BY96" s="215" t="str">
        <f t="shared" si="108"/>
        <v/>
      </c>
      <c r="BZ96" s="217" t="str">
        <f t="shared" si="109"/>
        <v/>
      </c>
      <c r="CA96" s="217" t="str">
        <f t="shared" si="110"/>
        <v/>
      </c>
      <c r="CB96" s="215" t="str">
        <f t="shared" si="111"/>
        <v/>
      </c>
      <c r="CC96" s="217" t="str">
        <f t="shared" si="112"/>
        <v/>
      </c>
      <c r="CD96" s="217" t="str">
        <f t="shared" si="113"/>
        <v/>
      </c>
    </row>
    <row r="97" spans="1:82" x14ac:dyDescent="0.25">
      <c r="A97" s="48"/>
      <c r="B97" s="54"/>
      <c r="C97" s="54"/>
      <c r="D97" s="54"/>
      <c r="E97" s="54"/>
      <c r="F97" s="54"/>
      <c r="G97" s="54"/>
      <c r="H97" s="54"/>
      <c r="I97" s="54"/>
      <c r="J97" s="2"/>
      <c r="K97" s="2"/>
      <c r="L97" s="2"/>
      <c r="M97" s="2"/>
      <c r="N97" s="54"/>
      <c r="O97" s="54"/>
      <c r="P97" s="54"/>
      <c r="Q97" s="54"/>
      <c r="R97" s="54"/>
      <c r="S97" s="2"/>
      <c r="T97" s="54"/>
      <c r="U97" s="2"/>
      <c r="V97" s="2"/>
      <c r="W97" s="2"/>
      <c r="X97" s="2"/>
      <c r="Y97" s="259"/>
      <c r="Z97" s="2"/>
      <c r="AA97" s="264">
        <v>93</v>
      </c>
      <c r="AB97" s="16" t="str">
        <f t="shared" si="86"/>
        <v/>
      </c>
      <c r="AC97" s="16" t="str">
        <f t="shared" si="87"/>
        <v/>
      </c>
      <c r="AD97" s="16" t="str">
        <f t="shared" si="81"/>
        <v/>
      </c>
      <c r="AE97" s="16" t="str">
        <f t="shared" si="82"/>
        <v/>
      </c>
      <c r="AF97" s="16" t="str">
        <f t="shared" si="83"/>
        <v/>
      </c>
      <c r="AG97" s="16" t="str">
        <f t="shared" si="88"/>
        <v/>
      </c>
      <c r="AH97" s="16" t="str">
        <f t="shared" si="89"/>
        <v/>
      </c>
      <c r="AI97" s="29" t="str">
        <f t="shared" si="84"/>
        <v/>
      </c>
      <c r="AJ97" s="29" t="str">
        <f t="shared" si="85"/>
        <v/>
      </c>
      <c r="AK97" s="2"/>
      <c r="AL97" s="2"/>
      <c r="AM97" s="2"/>
      <c r="AN97" s="2"/>
      <c r="AO97" s="2"/>
      <c r="AP97" s="2"/>
      <c r="AQ97" s="2"/>
      <c r="AR97" s="2"/>
      <c r="AS97" s="2"/>
      <c r="AT97" s="2"/>
      <c r="AU97" s="2"/>
      <c r="AV97" s="2"/>
      <c r="AW97" s="2"/>
      <c r="AX97" s="2"/>
      <c r="AY97" s="2"/>
      <c r="AZ97" s="2"/>
      <c r="BA97" s="2"/>
      <c r="BB97" s="2"/>
      <c r="BC97" s="2"/>
      <c r="BF97" s="208"/>
      <c r="BG97" s="215">
        <f t="shared" si="90"/>
        <v>6</v>
      </c>
      <c r="BH97" s="217">
        <f t="shared" si="91"/>
        <v>3.5147186257614287</v>
      </c>
      <c r="BI97" s="217">
        <f t="shared" si="92"/>
        <v>3.5147186257614305</v>
      </c>
      <c r="BJ97" s="215" t="str">
        <f t="shared" si="93"/>
        <v/>
      </c>
      <c r="BK97" s="217" t="str">
        <f t="shared" si="94"/>
        <v/>
      </c>
      <c r="BL97" s="217" t="str">
        <f t="shared" si="95"/>
        <v/>
      </c>
      <c r="BM97" s="215" t="str">
        <f t="shared" si="96"/>
        <v/>
      </c>
      <c r="BN97" s="217" t="str">
        <f t="shared" si="97"/>
        <v/>
      </c>
      <c r="BO97" s="217" t="str">
        <f t="shared" si="98"/>
        <v/>
      </c>
      <c r="BP97" s="215" t="str">
        <f t="shared" si="99"/>
        <v/>
      </c>
      <c r="BQ97" s="217" t="str">
        <f t="shared" si="100"/>
        <v/>
      </c>
      <c r="BR97" s="217" t="str">
        <f t="shared" si="101"/>
        <v/>
      </c>
      <c r="BS97" s="215" t="str">
        <f t="shared" si="102"/>
        <v/>
      </c>
      <c r="BT97" s="217" t="str">
        <f t="shared" si="103"/>
        <v/>
      </c>
      <c r="BU97" s="217" t="str">
        <f t="shared" si="104"/>
        <v/>
      </c>
      <c r="BV97" s="215" t="str">
        <f t="shared" si="105"/>
        <v/>
      </c>
      <c r="BW97" s="217" t="str">
        <f t="shared" si="106"/>
        <v/>
      </c>
      <c r="BX97" s="217" t="str">
        <f t="shared" si="107"/>
        <v/>
      </c>
      <c r="BY97" s="215" t="str">
        <f t="shared" si="108"/>
        <v/>
      </c>
      <c r="BZ97" s="217" t="str">
        <f t="shared" si="109"/>
        <v/>
      </c>
      <c r="CA97" s="217" t="str">
        <f t="shared" si="110"/>
        <v/>
      </c>
      <c r="CB97" s="215" t="str">
        <f t="shared" si="111"/>
        <v/>
      </c>
      <c r="CC97" s="217" t="str">
        <f t="shared" si="112"/>
        <v/>
      </c>
      <c r="CD97" s="217" t="str">
        <f t="shared" si="113"/>
        <v/>
      </c>
    </row>
    <row r="98" spans="1:82" x14ac:dyDescent="0.25">
      <c r="A98" s="48"/>
      <c r="B98" s="54"/>
      <c r="C98" s="54"/>
      <c r="D98" s="54"/>
      <c r="E98" s="54"/>
      <c r="F98" s="54"/>
      <c r="G98" s="54"/>
      <c r="H98" s="54"/>
      <c r="I98" s="54"/>
      <c r="J98" s="2"/>
      <c r="K98" s="2"/>
      <c r="L98" s="2"/>
      <c r="M98" s="2"/>
      <c r="N98" s="54"/>
      <c r="O98" s="54"/>
      <c r="P98" s="54"/>
      <c r="Q98" s="54"/>
      <c r="R98" s="54"/>
      <c r="S98" s="2"/>
      <c r="T98" s="54"/>
      <c r="U98" s="2"/>
      <c r="V98" s="2"/>
      <c r="W98" s="2"/>
      <c r="X98" s="2"/>
      <c r="Y98" s="259"/>
      <c r="Z98" s="2"/>
      <c r="AA98" s="264">
        <v>94</v>
      </c>
      <c r="AB98" s="16" t="str">
        <f t="shared" si="86"/>
        <v/>
      </c>
      <c r="AC98" s="16" t="str">
        <f t="shared" si="87"/>
        <v/>
      </c>
      <c r="AD98" s="16" t="str">
        <f t="shared" si="81"/>
        <v/>
      </c>
      <c r="AE98" s="16" t="str">
        <f t="shared" si="82"/>
        <v/>
      </c>
      <c r="AF98" s="16" t="str">
        <f t="shared" si="83"/>
        <v/>
      </c>
      <c r="AG98" s="16" t="str">
        <f t="shared" si="88"/>
        <v/>
      </c>
      <c r="AH98" s="16" t="str">
        <f t="shared" si="89"/>
        <v/>
      </c>
      <c r="AI98" s="29" t="str">
        <f t="shared" si="84"/>
        <v/>
      </c>
      <c r="AJ98" s="29" t="str">
        <f t="shared" si="85"/>
        <v/>
      </c>
      <c r="AK98" s="2"/>
      <c r="AL98" s="2"/>
      <c r="AM98" s="2"/>
      <c r="AN98" s="2"/>
      <c r="AO98" s="2"/>
      <c r="AP98" s="2"/>
      <c r="AQ98" s="2"/>
      <c r="AR98" s="2"/>
      <c r="AS98" s="2"/>
      <c r="AT98" s="2"/>
      <c r="AU98" s="2"/>
      <c r="AV98" s="2"/>
      <c r="AW98" s="2"/>
      <c r="AX98" s="2"/>
      <c r="AY98" s="2"/>
      <c r="AZ98" s="2"/>
      <c r="BA98" s="2"/>
      <c r="BB98" s="2"/>
      <c r="BC98" s="2"/>
      <c r="BF98" s="208"/>
      <c r="BG98" s="215">
        <f t="shared" si="90"/>
        <v>7</v>
      </c>
      <c r="BH98" s="217">
        <f t="shared" si="91"/>
        <v>11.999999999999998</v>
      </c>
      <c r="BI98" s="217">
        <f t="shared" si="92"/>
        <v>0</v>
      </c>
      <c r="BJ98" s="215" t="str">
        <f t="shared" si="93"/>
        <v/>
      </c>
      <c r="BK98" s="217" t="str">
        <f t="shared" si="94"/>
        <v/>
      </c>
      <c r="BL98" s="217" t="str">
        <f t="shared" si="95"/>
        <v/>
      </c>
      <c r="BM98" s="215" t="str">
        <f t="shared" si="96"/>
        <v/>
      </c>
      <c r="BN98" s="217" t="str">
        <f t="shared" si="97"/>
        <v/>
      </c>
      <c r="BO98" s="217" t="str">
        <f t="shared" si="98"/>
        <v/>
      </c>
      <c r="BP98" s="215" t="str">
        <f t="shared" si="99"/>
        <v/>
      </c>
      <c r="BQ98" s="217" t="str">
        <f t="shared" si="100"/>
        <v/>
      </c>
      <c r="BR98" s="217" t="str">
        <f t="shared" si="101"/>
        <v/>
      </c>
      <c r="BS98" s="215" t="str">
        <f t="shared" si="102"/>
        <v/>
      </c>
      <c r="BT98" s="217" t="str">
        <f t="shared" si="103"/>
        <v/>
      </c>
      <c r="BU98" s="217" t="str">
        <f t="shared" si="104"/>
        <v/>
      </c>
      <c r="BV98" s="215" t="str">
        <f t="shared" si="105"/>
        <v/>
      </c>
      <c r="BW98" s="217" t="str">
        <f t="shared" si="106"/>
        <v/>
      </c>
      <c r="BX98" s="217" t="str">
        <f t="shared" si="107"/>
        <v/>
      </c>
      <c r="BY98" s="215" t="str">
        <f t="shared" si="108"/>
        <v/>
      </c>
      <c r="BZ98" s="217" t="str">
        <f t="shared" si="109"/>
        <v/>
      </c>
      <c r="CA98" s="217" t="str">
        <f t="shared" si="110"/>
        <v/>
      </c>
      <c r="CB98" s="215" t="str">
        <f t="shared" si="111"/>
        <v/>
      </c>
      <c r="CC98" s="217" t="str">
        <f t="shared" si="112"/>
        <v/>
      </c>
      <c r="CD98" s="217" t="str">
        <f t="shared" si="113"/>
        <v/>
      </c>
    </row>
    <row r="99" spans="1:82" x14ac:dyDescent="0.25">
      <c r="A99" s="48"/>
      <c r="B99" s="54"/>
      <c r="C99" s="54"/>
      <c r="D99" s="54"/>
      <c r="E99" s="54"/>
      <c r="F99" s="54"/>
      <c r="G99" s="54"/>
      <c r="H99" s="54"/>
      <c r="I99" s="54"/>
      <c r="J99" s="2"/>
      <c r="K99" s="2"/>
      <c r="L99" s="2"/>
      <c r="M99" s="2"/>
      <c r="N99" s="54"/>
      <c r="O99" s="54"/>
      <c r="P99" s="54"/>
      <c r="Q99" s="54"/>
      <c r="R99" s="54"/>
      <c r="S99" s="2"/>
      <c r="T99" s="54"/>
      <c r="U99" s="2"/>
      <c r="V99" s="2"/>
      <c r="W99" s="2"/>
      <c r="X99" s="2"/>
      <c r="Y99" s="259"/>
      <c r="Z99" s="2"/>
      <c r="AA99" s="264">
        <v>95</v>
      </c>
      <c r="AB99" s="16" t="str">
        <f t="shared" si="86"/>
        <v/>
      </c>
      <c r="AC99" s="16" t="str">
        <f t="shared" si="87"/>
        <v/>
      </c>
      <c r="AD99" s="16" t="str">
        <f t="shared" si="81"/>
        <v/>
      </c>
      <c r="AE99" s="16" t="str">
        <f t="shared" si="82"/>
        <v/>
      </c>
      <c r="AF99" s="16" t="str">
        <f t="shared" si="83"/>
        <v/>
      </c>
      <c r="AG99" s="16" t="str">
        <f t="shared" si="88"/>
        <v/>
      </c>
      <c r="AH99" s="16" t="str">
        <f t="shared" si="89"/>
        <v/>
      </c>
      <c r="AI99" s="29" t="str">
        <f t="shared" si="84"/>
        <v/>
      </c>
      <c r="AJ99" s="29" t="str">
        <f t="shared" si="85"/>
        <v/>
      </c>
      <c r="AK99" s="2"/>
      <c r="AL99" s="2"/>
      <c r="AM99" s="2"/>
      <c r="AN99" s="2"/>
      <c r="AO99" s="2"/>
      <c r="AP99" s="2"/>
      <c r="AQ99" s="2"/>
      <c r="AR99" s="2"/>
      <c r="AS99" s="2"/>
      <c r="AT99" s="2"/>
      <c r="AU99" s="2"/>
      <c r="AV99" s="2"/>
      <c r="AW99" s="2"/>
      <c r="AX99" s="2"/>
      <c r="AY99" s="2"/>
      <c r="AZ99" s="2"/>
      <c r="BA99" s="2"/>
      <c r="BB99" s="2"/>
      <c r="BC99" s="2"/>
      <c r="BF99" s="208"/>
      <c r="BG99" s="215">
        <f t="shared" si="90"/>
        <v>8</v>
      </c>
      <c r="BH99" s="217">
        <f t="shared" si="91"/>
        <v>20.485281374238568</v>
      </c>
      <c r="BI99" s="217">
        <f t="shared" si="92"/>
        <v>3.5147186257614287</v>
      </c>
      <c r="BJ99" s="215" t="str">
        <f t="shared" si="93"/>
        <v/>
      </c>
      <c r="BK99" s="217" t="str">
        <f t="shared" si="94"/>
        <v/>
      </c>
      <c r="BL99" s="217" t="str">
        <f t="shared" si="95"/>
        <v/>
      </c>
      <c r="BM99" s="215" t="str">
        <f t="shared" si="96"/>
        <v/>
      </c>
      <c r="BN99" s="217" t="str">
        <f t="shared" si="97"/>
        <v/>
      </c>
      <c r="BO99" s="217" t="str">
        <f t="shared" si="98"/>
        <v/>
      </c>
      <c r="BP99" s="215" t="str">
        <f t="shared" si="99"/>
        <v/>
      </c>
      <c r="BQ99" s="217" t="str">
        <f t="shared" si="100"/>
        <v/>
      </c>
      <c r="BR99" s="217" t="str">
        <f t="shared" si="101"/>
        <v/>
      </c>
      <c r="BS99" s="215" t="str">
        <f t="shared" si="102"/>
        <v/>
      </c>
      <c r="BT99" s="217" t="str">
        <f t="shared" si="103"/>
        <v/>
      </c>
      <c r="BU99" s="217" t="str">
        <f t="shared" si="104"/>
        <v/>
      </c>
      <c r="BV99" s="215" t="str">
        <f t="shared" si="105"/>
        <v/>
      </c>
      <c r="BW99" s="217" t="str">
        <f t="shared" si="106"/>
        <v/>
      </c>
      <c r="BX99" s="217" t="str">
        <f t="shared" si="107"/>
        <v/>
      </c>
      <c r="BY99" s="215" t="str">
        <f t="shared" si="108"/>
        <v/>
      </c>
      <c r="BZ99" s="217" t="str">
        <f t="shared" si="109"/>
        <v/>
      </c>
      <c r="CA99" s="217" t="str">
        <f t="shared" si="110"/>
        <v/>
      </c>
      <c r="CB99" s="215" t="str">
        <f t="shared" si="111"/>
        <v/>
      </c>
      <c r="CC99" s="217" t="str">
        <f t="shared" si="112"/>
        <v/>
      </c>
      <c r="CD99" s="217" t="str">
        <f t="shared" si="113"/>
        <v/>
      </c>
    </row>
    <row r="100" spans="1:82" x14ac:dyDescent="0.25">
      <c r="A100" s="48"/>
      <c r="B100" s="54"/>
      <c r="C100" s="54"/>
      <c r="D100" s="54"/>
      <c r="E100" s="54"/>
      <c r="F100" s="54"/>
      <c r="G100" s="54"/>
      <c r="H100" s="54"/>
      <c r="I100" s="54"/>
      <c r="J100" s="2"/>
      <c r="K100" s="2"/>
      <c r="L100" s="2"/>
      <c r="M100" s="2"/>
      <c r="N100" s="54"/>
      <c r="O100" s="54"/>
      <c r="P100" s="54"/>
      <c r="Q100" s="54"/>
      <c r="R100" s="54"/>
      <c r="S100" s="54"/>
      <c r="T100" s="54"/>
      <c r="U100" s="2"/>
      <c r="V100" s="2"/>
      <c r="W100" s="2"/>
      <c r="X100" s="2"/>
      <c r="Y100" s="259"/>
      <c r="Z100" s="2"/>
      <c r="AA100" s="264">
        <v>96</v>
      </c>
      <c r="AB100" s="16" t="str">
        <f t="shared" si="86"/>
        <v/>
      </c>
      <c r="AC100" s="16" t="str">
        <f t="shared" si="87"/>
        <v/>
      </c>
      <c r="AD100" s="16" t="str">
        <f t="shared" si="81"/>
        <v/>
      </c>
      <c r="AE100" s="16" t="str">
        <f t="shared" si="82"/>
        <v/>
      </c>
      <c r="AF100" s="16" t="str">
        <f t="shared" si="83"/>
        <v/>
      </c>
      <c r="AG100" s="16" t="str">
        <f t="shared" si="88"/>
        <v/>
      </c>
      <c r="AH100" s="16" t="str">
        <f t="shared" si="89"/>
        <v/>
      </c>
      <c r="AI100" s="29" t="str">
        <f t="shared" si="84"/>
        <v/>
      </c>
      <c r="AJ100" s="29" t="str">
        <f t="shared" si="85"/>
        <v/>
      </c>
      <c r="AK100" s="2"/>
      <c r="AL100" s="2"/>
      <c r="AM100" s="2"/>
      <c r="AN100" s="2"/>
      <c r="AO100" s="2"/>
      <c r="AP100" s="2"/>
      <c r="AQ100" s="2"/>
      <c r="AR100" s="2"/>
      <c r="AS100" s="2"/>
      <c r="AT100" s="2"/>
      <c r="AU100" s="2"/>
      <c r="AV100" s="2"/>
      <c r="AW100" s="2"/>
      <c r="AX100" s="2"/>
      <c r="AY100" s="2"/>
      <c r="AZ100" s="2"/>
      <c r="BA100" s="2"/>
      <c r="BB100" s="2"/>
      <c r="BC100" s="2"/>
      <c r="BF100" s="208"/>
      <c r="BG100" s="215" t="str">
        <f t="shared" si="90"/>
        <v/>
      </c>
      <c r="BH100" s="217" t="str">
        <f t="shared" si="91"/>
        <v/>
      </c>
      <c r="BI100" s="217" t="str">
        <f t="shared" si="92"/>
        <v/>
      </c>
      <c r="BJ100" s="215" t="str">
        <f t="shared" si="93"/>
        <v/>
      </c>
      <c r="BK100" s="217" t="str">
        <f t="shared" si="94"/>
        <v/>
      </c>
      <c r="BL100" s="217" t="str">
        <f t="shared" si="95"/>
        <v/>
      </c>
      <c r="BM100" s="215" t="str">
        <f t="shared" si="96"/>
        <v/>
      </c>
      <c r="BN100" s="217" t="str">
        <f t="shared" si="97"/>
        <v/>
      </c>
      <c r="BO100" s="217" t="str">
        <f t="shared" si="98"/>
        <v/>
      </c>
      <c r="BP100" s="215" t="str">
        <f t="shared" si="99"/>
        <v/>
      </c>
      <c r="BQ100" s="217" t="str">
        <f t="shared" si="100"/>
        <v/>
      </c>
      <c r="BR100" s="217" t="str">
        <f t="shared" si="101"/>
        <v/>
      </c>
      <c r="BS100" s="215" t="str">
        <f t="shared" si="102"/>
        <v/>
      </c>
      <c r="BT100" s="217" t="str">
        <f t="shared" si="103"/>
        <v/>
      </c>
      <c r="BU100" s="217" t="str">
        <f t="shared" si="104"/>
        <v/>
      </c>
      <c r="BV100" s="215" t="str">
        <f t="shared" si="105"/>
        <v/>
      </c>
      <c r="BW100" s="217" t="str">
        <f t="shared" si="106"/>
        <v/>
      </c>
      <c r="BX100" s="217" t="str">
        <f t="shared" si="107"/>
        <v/>
      </c>
      <c r="BY100" s="215" t="str">
        <f t="shared" si="108"/>
        <v/>
      </c>
      <c r="BZ100" s="217" t="str">
        <f t="shared" si="109"/>
        <v/>
      </c>
      <c r="CA100" s="217" t="str">
        <f t="shared" si="110"/>
        <v/>
      </c>
      <c r="CB100" s="215" t="str">
        <f t="shared" si="111"/>
        <v/>
      </c>
      <c r="CC100" s="217" t="str">
        <f t="shared" si="112"/>
        <v/>
      </c>
      <c r="CD100" s="217" t="str">
        <f t="shared" si="113"/>
        <v/>
      </c>
    </row>
    <row r="101" spans="1:82" x14ac:dyDescent="0.25">
      <c r="A101" s="48"/>
      <c r="B101" s="54"/>
      <c r="C101" s="54"/>
      <c r="D101" s="54"/>
      <c r="E101" s="54"/>
      <c r="F101" s="54"/>
      <c r="G101" s="54"/>
      <c r="H101" s="54"/>
      <c r="I101" s="54"/>
      <c r="J101" s="2"/>
      <c r="K101" s="2"/>
      <c r="L101" s="2"/>
      <c r="M101" s="2"/>
      <c r="N101" s="54"/>
      <c r="O101" s="54"/>
      <c r="P101" s="54"/>
      <c r="Q101" s="54"/>
      <c r="R101" s="54"/>
      <c r="S101" s="54"/>
      <c r="T101" s="54"/>
      <c r="U101" s="2"/>
      <c r="V101" s="2"/>
      <c r="W101" s="2"/>
      <c r="X101" s="2"/>
      <c r="Y101" s="259"/>
      <c r="Z101" s="2"/>
      <c r="AA101" s="264">
        <v>97</v>
      </c>
      <c r="AB101" s="16" t="str">
        <f t="shared" si="86"/>
        <v/>
      </c>
      <c r="AC101" s="16" t="str">
        <f t="shared" si="87"/>
        <v/>
      </c>
      <c r="AD101" s="16" t="str">
        <f t="shared" si="81"/>
        <v/>
      </c>
      <c r="AE101" s="16" t="str">
        <f t="shared" si="82"/>
        <v/>
      </c>
      <c r="AF101" s="16" t="str">
        <f t="shared" si="83"/>
        <v/>
      </c>
      <c r="AG101" s="16" t="str">
        <f t="shared" si="88"/>
        <v/>
      </c>
      <c r="AH101" s="16" t="str">
        <f t="shared" si="89"/>
        <v/>
      </c>
      <c r="AI101" s="29" t="str">
        <f t="shared" si="84"/>
        <v/>
      </c>
      <c r="AJ101" s="29" t="str">
        <f t="shared" si="85"/>
        <v/>
      </c>
      <c r="AK101" s="2"/>
      <c r="AL101" s="2"/>
      <c r="AM101" s="2"/>
      <c r="AN101" s="2"/>
      <c r="AO101" s="2"/>
      <c r="AP101" s="2"/>
      <c r="AQ101" s="2"/>
      <c r="AR101" s="2"/>
      <c r="AS101" s="2"/>
      <c r="AT101" s="2"/>
      <c r="AU101" s="2"/>
      <c r="AV101" s="2"/>
      <c r="AW101" s="2"/>
      <c r="AX101" s="2"/>
      <c r="AY101" s="2"/>
      <c r="AZ101" s="2"/>
      <c r="BA101" s="2"/>
      <c r="BB101" s="2"/>
      <c r="BC101" s="2"/>
      <c r="BF101" s="208"/>
      <c r="BG101" s="215" t="str">
        <f t="shared" si="90"/>
        <v/>
      </c>
      <c r="BH101" s="217" t="str">
        <f t="shared" si="91"/>
        <v/>
      </c>
      <c r="BI101" s="217" t="str">
        <f t="shared" si="92"/>
        <v/>
      </c>
      <c r="BJ101" s="215" t="str">
        <f t="shared" si="93"/>
        <v/>
      </c>
      <c r="BK101" s="217" t="str">
        <f t="shared" si="94"/>
        <v/>
      </c>
      <c r="BL101" s="217" t="str">
        <f t="shared" si="95"/>
        <v/>
      </c>
      <c r="BM101" s="215" t="str">
        <f t="shared" si="96"/>
        <v/>
      </c>
      <c r="BN101" s="217" t="str">
        <f t="shared" si="97"/>
        <v/>
      </c>
      <c r="BO101" s="217" t="str">
        <f t="shared" si="98"/>
        <v/>
      </c>
      <c r="BP101" s="215" t="str">
        <f t="shared" si="99"/>
        <v/>
      </c>
      <c r="BQ101" s="217" t="str">
        <f t="shared" si="100"/>
        <v/>
      </c>
      <c r="BR101" s="217" t="str">
        <f t="shared" si="101"/>
        <v/>
      </c>
      <c r="BS101" s="215" t="str">
        <f t="shared" si="102"/>
        <v/>
      </c>
      <c r="BT101" s="217" t="str">
        <f t="shared" si="103"/>
        <v/>
      </c>
      <c r="BU101" s="217" t="str">
        <f t="shared" si="104"/>
        <v/>
      </c>
      <c r="BV101" s="215" t="str">
        <f t="shared" si="105"/>
        <v/>
      </c>
      <c r="BW101" s="217" t="str">
        <f t="shared" si="106"/>
        <v/>
      </c>
      <c r="BX101" s="217" t="str">
        <f t="shared" si="107"/>
        <v/>
      </c>
      <c r="BY101" s="215" t="str">
        <f t="shared" si="108"/>
        <v/>
      </c>
      <c r="BZ101" s="217" t="str">
        <f t="shared" si="109"/>
        <v/>
      </c>
      <c r="CA101" s="217" t="str">
        <f t="shared" si="110"/>
        <v/>
      </c>
      <c r="CB101" s="215" t="str">
        <f t="shared" si="111"/>
        <v/>
      </c>
      <c r="CC101" s="217" t="str">
        <f t="shared" si="112"/>
        <v/>
      </c>
      <c r="CD101" s="217" t="str">
        <f t="shared" si="113"/>
        <v/>
      </c>
    </row>
    <row r="102" spans="1:82" x14ac:dyDescent="0.25">
      <c r="A102" s="48"/>
      <c r="B102" s="54"/>
      <c r="C102" s="54"/>
      <c r="D102" s="54"/>
      <c r="E102" s="54"/>
      <c r="F102" s="54"/>
      <c r="G102" s="54"/>
      <c r="H102" s="54"/>
      <c r="I102" s="54"/>
      <c r="J102" s="2"/>
      <c r="K102" s="2"/>
      <c r="L102" s="2"/>
      <c r="M102" s="2"/>
      <c r="N102" s="54"/>
      <c r="O102" s="54"/>
      <c r="P102" s="54"/>
      <c r="Q102" s="54"/>
      <c r="R102" s="54"/>
      <c r="S102" s="54"/>
      <c r="T102" s="54"/>
      <c r="U102" s="2"/>
      <c r="V102" s="2"/>
      <c r="W102" s="2"/>
      <c r="X102" s="2"/>
      <c r="Y102" s="259"/>
      <c r="Z102" s="2"/>
      <c r="AA102" s="264">
        <v>98</v>
      </c>
      <c r="AB102" s="16" t="str">
        <f t="shared" si="86"/>
        <v/>
      </c>
      <c r="AC102" s="16" t="str">
        <f t="shared" si="87"/>
        <v/>
      </c>
      <c r="AD102" s="16" t="str">
        <f t="shared" si="81"/>
        <v/>
      </c>
      <c r="AE102" s="16" t="str">
        <f t="shared" si="82"/>
        <v/>
      </c>
      <c r="AF102" s="16" t="str">
        <f t="shared" si="83"/>
        <v/>
      </c>
      <c r="AG102" s="16" t="str">
        <f t="shared" si="88"/>
        <v/>
      </c>
      <c r="AH102" s="16" t="str">
        <f t="shared" si="89"/>
        <v/>
      </c>
      <c r="AI102" s="29" t="str">
        <f t="shared" si="84"/>
        <v/>
      </c>
      <c r="AJ102" s="29" t="str">
        <f t="shared" si="85"/>
        <v/>
      </c>
      <c r="AK102" s="2"/>
      <c r="AL102" s="2"/>
      <c r="AM102" s="2"/>
      <c r="AN102" s="2"/>
      <c r="AO102" s="2"/>
      <c r="AP102" s="2"/>
      <c r="AQ102" s="2"/>
      <c r="AR102" s="2"/>
      <c r="AS102" s="2"/>
      <c r="AT102" s="2"/>
      <c r="AU102" s="2"/>
      <c r="AV102" s="2"/>
      <c r="AW102" s="2"/>
      <c r="AX102" s="2"/>
      <c r="AY102" s="2"/>
      <c r="AZ102" s="2"/>
      <c r="BA102" s="2"/>
      <c r="BB102" s="2"/>
      <c r="BC102" s="2"/>
      <c r="BF102" s="208"/>
      <c r="BG102" s="215" t="str">
        <f t="shared" si="90"/>
        <v/>
      </c>
      <c r="BH102" s="217" t="str">
        <f t="shared" si="91"/>
        <v/>
      </c>
      <c r="BI102" s="217" t="str">
        <f t="shared" si="92"/>
        <v/>
      </c>
      <c r="BJ102" s="215" t="str">
        <f t="shared" si="93"/>
        <v/>
      </c>
      <c r="BK102" s="217" t="str">
        <f t="shared" si="94"/>
        <v/>
      </c>
      <c r="BL102" s="217" t="str">
        <f t="shared" si="95"/>
        <v/>
      </c>
      <c r="BM102" s="215" t="str">
        <f t="shared" si="96"/>
        <v/>
      </c>
      <c r="BN102" s="217" t="str">
        <f t="shared" si="97"/>
        <v/>
      </c>
      <c r="BO102" s="217" t="str">
        <f t="shared" si="98"/>
        <v/>
      </c>
      <c r="BP102" s="215" t="str">
        <f t="shared" si="99"/>
        <v/>
      </c>
      <c r="BQ102" s="217" t="str">
        <f t="shared" si="100"/>
        <v/>
      </c>
      <c r="BR102" s="217" t="str">
        <f t="shared" si="101"/>
        <v/>
      </c>
      <c r="BS102" s="215" t="str">
        <f t="shared" si="102"/>
        <v/>
      </c>
      <c r="BT102" s="217" t="str">
        <f t="shared" si="103"/>
        <v/>
      </c>
      <c r="BU102" s="217" t="str">
        <f t="shared" si="104"/>
        <v/>
      </c>
      <c r="BV102" s="215" t="str">
        <f t="shared" si="105"/>
        <v/>
      </c>
      <c r="BW102" s="217" t="str">
        <f t="shared" si="106"/>
        <v/>
      </c>
      <c r="BX102" s="217" t="str">
        <f t="shared" si="107"/>
        <v/>
      </c>
      <c r="BY102" s="215" t="str">
        <f t="shared" si="108"/>
        <v/>
      </c>
      <c r="BZ102" s="217" t="str">
        <f t="shared" si="109"/>
        <v/>
      </c>
      <c r="CA102" s="217" t="str">
        <f t="shared" si="110"/>
        <v/>
      </c>
      <c r="CB102" s="215" t="str">
        <f t="shared" si="111"/>
        <v/>
      </c>
      <c r="CC102" s="217" t="str">
        <f t="shared" si="112"/>
        <v/>
      </c>
      <c r="CD102" s="217" t="str">
        <f t="shared" si="113"/>
        <v/>
      </c>
    </row>
    <row r="103" spans="1:82" x14ac:dyDescent="0.25">
      <c r="A103" s="48"/>
      <c r="B103" s="54"/>
      <c r="C103" s="54"/>
      <c r="D103" s="54"/>
      <c r="E103" s="54"/>
      <c r="F103" s="54"/>
      <c r="G103" s="54"/>
      <c r="H103" s="54"/>
      <c r="I103" s="54"/>
      <c r="J103" s="2"/>
      <c r="K103" s="2"/>
      <c r="L103" s="2"/>
      <c r="M103" s="2"/>
      <c r="N103" s="54"/>
      <c r="O103" s="54"/>
      <c r="P103" s="54"/>
      <c r="Q103" s="54"/>
      <c r="R103" s="54"/>
      <c r="S103" s="54"/>
      <c r="T103" s="54"/>
      <c r="U103" s="2"/>
      <c r="V103" s="2"/>
      <c r="W103" s="2"/>
      <c r="X103" s="2"/>
      <c r="Y103" s="259"/>
      <c r="Z103" s="2"/>
      <c r="AA103" s="264">
        <v>99</v>
      </c>
      <c r="AB103" s="16" t="str">
        <f t="shared" si="86"/>
        <v/>
      </c>
      <c r="AC103" s="16" t="str">
        <f t="shared" si="87"/>
        <v/>
      </c>
      <c r="AD103" s="16" t="str">
        <f t="shared" si="81"/>
        <v/>
      </c>
      <c r="AE103" s="16" t="str">
        <f t="shared" si="82"/>
        <v/>
      </c>
      <c r="AF103" s="16" t="str">
        <f t="shared" si="83"/>
        <v/>
      </c>
      <c r="AG103" s="16" t="str">
        <f t="shared" si="88"/>
        <v/>
      </c>
      <c r="AH103" s="16" t="str">
        <f t="shared" si="89"/>
        <v/>
      </c>
      <c r="AI103" s="29" t="str">
        <f t="shared" si="84"/>
        <v/>
      </c>
      <c r="AJ103" s="29" t="str">
        <f t="shared" si="85"/>
        <v/>
      </c>
      <c r="AK103" s="2"/>
      <c r="AL103" s="2"/>
      <c r="AM103" s="2"/>
      <c r="AN103" s="2"/>
      <c r="AO103" s="2"/>
      <c r="AP103" s="2"/>
      <c r="AQ103" s="2"/>
      <c r="AR103" s="2"/>
      <c r="AS103" s="2"/>
      <c r="AT103" s="2"/>
      <c r="AU103" s="2"/>
      <c r="AV103" s="2"/>
      <c r="AW103" s="2"/>
      <c r="AX103" s="2"/>
      <c r="AY103" s="2"/>
      <c r="AZ103" s="2"/>
      <c r="BA103" s="2"/>
      <c r="BB103" s="2"/>
      <c r="BC103" s="2"/>
      <c r="BF103" s="208"/>
      <c r="BG103" s="215" t="str">
        <f t="shared" si="90"/>
        <v/>
      </c>
      <c r="BH103" s="217" t="str">
        <f t="shared" si="91"/>
        <v/>
      </c>
      <c r="BI103" s="217" t="str">
        <f t="shared" si="92"/>
        <v/>
      </c>
      <c r="BJ103" s="215" t="str">
        <f t="shared" si="93"/>
        <v/>
      </c>
      <c r="BK103" s="217" t="str">
        <f t="shared" si="94"/>
        <v/>
      </c>
      <c r="BL103" s="217" t="str">
        <f t="shared" si="95"/>
        <v/>
      </c>
      <c r="BM103" s="215" t="str">
        <f t="shared" si="96"/>
        <v/>
      </c>
      <c r="BN103" s="217" t="str">
        <f t="shared" si="97"/>
        <v/>
      </c>
      <c r="BO103" s="217" t="str">
        <f t="shared" si="98"/>
        <v/>
      </c>
      <c r="BP103" s="215" t="str">
        <f t="shared" si="99"/>
        <v/>
      </c>
      <c r="BQ103" s="217" t="str">
        <f t="shared" si="100"/>
        <v/>
      </c>
      <c r="BR103" s="217" t="str">
        <f t="shared" si="101"/>
        <v/>
      </c>
      <c r="BS103" s="215" t="str">
        <f t="shared" si="102"/>
        <v/>
      </c>
      <c r="BT103" s="217" t="str">
        <f t="shared" si="103"/>
        <v/>
      </c>
      <c r="BU103" s="217" t="str">
        <f t="shared" si="104"/>
        <v/>
      </c>
      <c r="BV103" s="215" t="str">
        <f t="shared" si="105"/>
        <v/>
      </c>
      <c r="BW103" s="217" t="str">
        <f t="shared" si="106"/>
        <v/>
      </c>
      <c r="BX103" s="217" t="str">
        <f t="shared" si="107"/>
        <v/>
      </c>
      <c r="BY103" s="215" t="str">
        <f t="shared" si="108"/>
        <v/>
      </c>
      <c r="BZ103" s="217" t="str">
        <f t="shared" si="109"/>
        <v/>
      </c>
      <c r="CA103" s="217" t="str">
        <f t="shared" si="110"/>
        <v/>
      </c>
      <c r="CB103" s="215" t="str">
        <f t="shared" si="111"/>
        <v/>
      </c>
      <c r="CC103" s="217" t="str">
        <f t="shared" si="112"/>
        <v/>
      </c>
      <c r="CD103" s="217" t="str">
        <f t="shared" si="113"/>
        <v/>
      </c>
    </row>
    <row r="104" spans="1:82" x14ac:dyDescent="0.25">
      <c r="A104" s="48"/>
      <c r="B104" s="54"/>
      <c r="C104" s="54"/>
      <c r="D104" s="54"/>
      <c r="E104" s="54"/>
      <c r="F104" s="54"/>
      <c r="G104" s="54"/>
      <c r="H104" s="54"/>
      <c r="I104" s="54"/>
      <c r="J104" s="2"/>
      <c r="K104" s="2"/>
      <c r="L104" s="2"/>
      <c r="M104" s="2"/>
      <c r="N104" s="54"/>
      <c r="O104" s="54"/>
      <c r="P104" s="54"/>
      <c r="Q104" s="54"/>
      <c r="R104" s="54"/>
      <c r="S104" s="54"/>
      <c r="T104" s="54"/>
      <c r="U104" s="2"/>
      <c r="V104" s="2"/>
      <c r="W104" s="2"/>
      <c r="X104" s="2"/>
      <c r="Y104" s="259"/>
      <c r="Z104" s="2"/>
      <c r="AA104" s="264">
        <v>100</v>
      </c>
      <c r="AB104" s="16" t="str">
        <f t="shared" si="86"/>
        <v/>
      </c>
      <c r="AC104" s="16" t="str">
        <f t="shared" si="87"/>
        <v/>
      </c>
      <c r="AD104" s="16" t="str">
        <f t="shared" si="81"/>
        <v/>
      </c>
      <c r="AE104" s="16" t="str">
        <f t="shared" si="82"/>
        <v/>
      </c>
      <c r="AF104" s="16" t="str">
        <f t="shared" si="83"/>
        <v/>
      </c>
      <c r="AG104" s="16" t="str">
        <f t="shared" si="88"/>
        <v/>
      </c>
      <c r="AH104" s="16" t="str">
        <f t="shared" si="89"/>
        <v/>
      </c>
      <c r="AI104" s="29" t="str">
        <f t="shared" si="84"/>
        <v/>
      </c>
      <c r="AJ104" s="29" t="str">
        <f t="shared" si="85"/>
        <v/>
      </c>
      <c r="AK104" s="2"/>
      <c r="AL104" s="2"/>
      <c r="AM104" s="2"/>
      <c r="AN104" s="2"/>
      <c r="AO104" s="2"/>
      <c r="AP104" s="2"/>
      <c r="AQ104" s="2"/>
      <c r="AR104" s="2"/>
      <c r="AS104" s="2"/>
      <c r="AT104" s="2"/>
      <c r="AU104" s="2"/>
      <c r="AV104" s="2"/>
      <c r="AW104" s="2"/>
      <c r="AX104" s="2"/>
      <c r="AY104" s="2"/>
      <c r="AZ104" s="2"/>
      <c r="BA104" s="2"/>
      <c r="BB104" s="2"/>
      <c r="BC104" s="2"/>
      <c r="BF104" s="208"/>
      <c r="BG104" s="215" t="str">
        <f t="shared" si="90"/>
        <v/>
      </c>
      <c r="BH104" s="217" t="str">
        <f t="shared" si="91"/>
        <v/>
      </c>
      <c r="BI104" s="217" t="str">
        <f t="shared" si="92"/>
        <v/>
      </c>
      <c r="BJ104" s="215" t="str">
        <f t="shared" si="93"/>
        <v/>
      </c>
      <c r="BK104" s="217" t="str">
        <f t="shared" si="94"/>
        <v/>
      </c>
      <c r="BL104" s="217" t="str">
        <f t="shared" si="95"/>
        <v/>
      </c>
      <c r="BM104" s="215" t="str">
        <f t="shared" si="96"/>
        <v/>
      </c>
      <c r="BN104" s="217" t="str">
        <f t="shared" si="97"/>
        <v/>
      </c>
      <c r="BO104" s="217" t="str">
        <f t="shared" si="98"/>
        <v/>
      </c>
      <c r="BP104" s="215" t="str">
        <f t="shared" si="99"/>
        <v/>
      </c>
      <c r="BQ104" s="217" t="str">
        <f t="shared" si="100"/>
        <v/>
      </c>
      <c r="BR104" s="217" t="str">
        <f t="shared" si="101"/>
        <v/>
      </c>
      <c r="BS104" s="215" t="str">
        <f t="shared" si="102"/>
        <v/>
      </c>
      <c r="BT104" s="217" t="str">
        <f t="shared" si="103"/>
        <v/>
      </c>
      <c r="BU104" s="217" t="str">
        <f t="shared" si="104"/>
        <v/>
      </c>
      <c r="BV104" s="215" t="str">
        <f t="shared" si="105"/>
        <v/>
      </c>
      <c r="BW104" s="217" t="str">
        <f t="shared" si="106"/>
        <v/>
      </c>
      <c r="BX104" s="217" t="str">
        <f t="shared" si="107"/>
        <v/>
      </c>
      <c r="BY104" s="215" t="str">
        <f t="shared" si="108"/>
        <v/>
      </c>
      <c r="BZ104" s="217" t="str">
        <f t="shared" si="109"/>
        <v/>
      </c>
      <c r="CA104" s="217" t="str">
        <f t="shared" si="110"/>
        <v/>
      </c>
      <c r="CB104" s="215" t="str">
        <f t="shared" si="111"/>
        <v/>
      </c>
      <c r="CC104" s="217" t="str">
        <f t="shared" si="112"/>
        <v/>
      </c>
      <c r="CD104" s="217" t="str">
        <f t="shared" si="113"/>
        <v/>
      </c>
    </row>
    <row r="105" spans="1:82" x14ac:dyDescent="0.25">
      <c r="A105" s="48"/>
      <c r="B105" s="54"/>
      <c r="C105" s="54"/>
      <c r="D105" s="54"/>
      <c r="E105" s="54"/>
      <c r="F105" s="54"/>
      <c r="G105" s="54"/>
      <c r="H105" s="54"/>
      <c r="I105" s="54"/>
      <c r="J105" s="2"/>
      <c r="K105" s="2"/>
      <c r="L105" s="2"/>
      <c r="M105" s="2"/>
      <c r="N105" s="54"/>
      <c r="O105" s="54"/>
      <c r="P105" s="54"/>
      <c r="Q105" s="54"/>
      <c r="R105" s="54"/>
      <c r="S105" s="54"/>
      <c r="T105" s="54"/>
      <c r="U105" s="2"/>
      <c r="V105" s="2"/>
      <c r="W105" s="2"/>
      <c r="X105" s="2"/>
      <c r="Y105" s="259"/>
      <c r="Z105" s="2"/>
      <c r="AA105" s="264">
        <v>101</v>
      </c>
      <c r="AB105" s="16" t="str">
        <f t="shared" ref="AB105:AB136" si="114">IF($C$9&gt;=$AA105,$I13+0.000001-$AB$410,"")</f>
        <v/>
      </c>
      <c r="AC105" s="16" t="str">
        <f t="shared" ref="AC105:AC136" si="115">IF($C$9&gt;=$AA105,$H13+0.000001-$AB$409,"")</f>
        <v/>
      </c>
      <c r="AD105" s="16" t="str">
        <f t="shared" si="81"/>
        <v/>
      </c>
      <c r="AE105" s="16" t="str">
        <f t="shared" si="82"/>
        <v/>
      </c>
      <c r="AF105" s="16" t="str">
        <f t="shared" si="83"/>
        <v/>
      </c>
      <c r="AG105" s="16" t="str">
        <f t="shared" ref="AG105:AG136" si="116">IF($C$9&gt;=$AA105,$H13-$AB$409,"")</f>
        <v/>
      </c>
      <c r="AH105" s="16" t="str">
        <f t="shared" ref="AH105:AH136" si="117">IF($C$9&gt;=$AA105,$I13-$AB$410,"")</f>
        <v/>
      </c>
      <c r="AI105" s="29" t="str">
        <f t="shared" si="84"/>
        <v/>
      </c>
      <c r="AJ105" s="29" t="str">
        <f t="shared" si="85"/>
        <v/>
      </c>
      <c r="AK105" s="2"/>
      <c r="AL105" s="2"/>
      <c r="AM105" s="2"/>
      <c r="AN105" s="2"/>
      <c r="AO105" s="2"/>
      <c r="AP105" s="2"/>
      <c r="AQ105" s="2"/>
      <c r="AR105" s="2"/>
      <c r="AS105" s="2"/>
      <c r="AT105" s="2"/>
      <c r="AU105" s="2"/>
      <c r="AV105" s="2"/>
      <c r="AW105" s="2"/>
      <c r="AX105" s="2"/>
      <c r="AY105" s="2"/>
      <c r="AZ105" s="2"/>
      <c r="BA105" s="2"/>
      <c r="BB105" s="2"/>
      <c r="BC105" s="2"/>
      <c r="BF105" s="208"/>
      <c r="BG105" s="215" t="str">
        <f t="shared" si="90"/>
        <v/>
      </c>
      <c r="BH105" s="217" t="str">
        <f t="shared" si="91"/>
        <v/>
      </c>
      <c r="BI105" s="217" t="str">
        <f t="shared" si="92"/>
        <v/>
      </c>
      <c r="BJ105" s="215" t="str">
        <f t="shared" si="93"/>
        <v/>
      </c>
      <c r="BK105" s="217" t="str">
        <f t="shared" si="94"/>
        <v/>
      </c>
      <c r="BL105" s="217" t="str">
        <f t="shared" si="95"/>
        <v/>
      </c>
      <c r="BM105" s="215" t="str">
        <f t="shared" si="96"/>
        <v/>
      </c>
      <c r="BN105" s="217" t="str">
        <f t="shared" si="97"/>
        <v/>
      </c>
      <c r="BO105" s="217" t="str">
        <f t="shared" si="98"/>
        <v/>
      </c>
      <c r="BP105" s="215" t="str">
        <f t="shared" si="99"/>
        <v/>
      </c>
      <c r="BQ105" s="217" t="str">
        <f t="shared" si="100"/>
        <v/>
      </c>
      <c r="BR105" s="217" t="str">
        <f t="shared" si="101"/>
        <v/>
      </c>
      <c r="BS105" s="215" t="str">
        <f t="shared" si="102"/>
        <v/>
      </c>
      <c r="BT105" s="217" t="str">
        <f t="shared" si="103"/>
        <v/>
      </c>
      <c r="BU105" s="217" t="str">
        <f t="shared" si="104"/>
        <v/>
      </c>
      <c r="BV105" s="215" t="str">
        <f t="shared" si="105"/>
        <v/>
      </c>
      <c r="BW105" s="217" t="str">
        <f t="shared" si="106"/>
        <v/>
      </c>
      <c r="BX105" s="217" t="str">
        <f t="shared" si="107"/>
        <v/>
      </c>
      <c r="BY105" s="215" t="str">
        <f t="shared" si="108"/>
        <v/>
      </c>
      <c r="BZ105" s="217" t="str">
        <f t="shared" si="109"/>
        <v/>
      </c>
      <c r="CA105" s="217" t="str">
        <f t="shared" si="110"/>
        <v/>
      </c>
      <c r="CB105" s="215" t="str">
        <f t="shared" si="111"/>
        <v/>
      </c>
      <c r="CC105" s="217" t="str">
        <f t="shared" si="112"/>
        <v/>
      </c>
      <c r="CD105" s="217" t="str">
        <f t="shared" si="113"/>
        <v/>
      </c>
    </row>
    <row r="106" spans="1:82" x14ac:dyDescent="0.25">
      <c r="A106" s="48"/>
      <c r="B106" s="54"/>
      <c r="C106" s="54"/>
      <c r="D106" s="54"/>
      <c r="E106" s="54"/>
      <c r="F106" s="54"/>
      <c r="G106" s="54"/>
      <c r="H106" s="54"/>
      <c r="I106" s="54"/>
      <c r="J106" s="2"/>
      <c r="K106" s="2"/>
      <c r="L106" s="2"/>
      <c r="M106" s="2"/>
      <c r="N106" s="54"/>
      <c r="O106" s="54"/>
      <c r="P106" s="54"/>
      <c r="Q106" s="54"/>
      <c r="R106" s="54"/>
      <c r="S106" s="54"/>
      <c r="T106" s="54"/>
      <c r="U106" s="2"/>
      <c r="V106" s="2"/>
      <c r="W106" s="2"/>
      <c r="X106" s="2"/>
      <c r="Y106" s="259"/>
      <c r="Z106" s="2"/>
      <c r="AA106" s="264">
        <v>102</v>
      </c>
      <c r="AB106" s="16" t="str">
        <f t="shared" si="114"/>
        <v/>
      </c>
      <c r="AC106" s="16" t="str">
        <f t="shared" si="115"/>
        <v/>
      </c>
      <c r="AD106" s="16" t="str">
        <f t="shared" si="81"/>
        <v/>
      </c>
      <c r="AE106" s="16" t="str">
        <f t="shared" si="82"/>
        <v/>
      </c>
      <c r="AF106" s="16" t="str">
        <f t="shared" si="83"/>
        <v/>
      </c>
      <c r="AG106" s="16" t="str">
        <f t="shared" si="116"/>
        <v/>
      </c>
      <c r="AH106" s="16" t="str">
        <f t="shared" si="117"/>
        <v/>
      </c>
      <c r="AI106" s="29" t="str">
        <f t="shared" si="84"/>
        <v/>
      </c>
      <c r="AJ106" s="29" t="str">
        <f t="shared" si="85"/>
        <v/>
      </c>
      <c r="AK106" s="2"/>
      <c r="AL106" s="2"/>
      <c r="AM106" s="2"/>
      <c r="AN106" s="2"/>
      <c r="AO106" s="2"/>
      <c r="AP106" s="2"/>
      <c r="AQ106" s="2"/>
      <c r="AR106" s="2"/>
      <c r="AS106" s="2"/>
      <c r="AT106" s="2"/>
      <c r="AU106" s="2"/>
      <c r="AV106" s="2"/>
      <c r="AW106" s="2"/>
      <c r="AX106" s="2"/>
      <c r="AY106" s="2"/>
      <c r="AZ106" s="2"/>
      <c r="BA106" s="2"/>
      <c r="BB106" s="2"/>
      <c r="BC106" s="2"/>
      <c r="BF106" s="208"/>
      <c r="BG106" s="215" t="str">
        <f t="shared" si="90"/>
        <v/>
      </c>
      <c r="BH106" s="217" t="str">
        <f t="shared" si="91"/>
        <v/>
      </c>
      <c r="BI106" s="217" t="str">
        <f t="shared" si="92"/>
        <v/>
      </c>
      <c r="BJ106" s="215" t="str">
        <f t="shared" si="93"/>
        <v/>
      </c>
      <c r="BK106" s="217" t="str">
        <f t="shared" si="94"/>
        <v/>
      </c>
      <c r="BL106" s="217" t="str">
        <f t="shared" si="95"/>
        <v/>
      </c>
      <c r="BM106" s="215" t="str">
        <f t="shared" si="96"/>
        <v/>
      </c>
      <c r="BN106" s="217" t="str">
        <f t="shared" si="97"/>
        <v/>
      </c>
      <c r="BO106" s="217" t="str">
        <f t="shared" si="98"/>
        <v/>
      </c>
      <c r="BP106" s="215" t="str">
        <f t="shared" si="99"/>
        <v/>
      </c>
      <c r="BQ106" s="217" t="str">
        <f t="shared" si="100"/>
        <v/>
      </c>
      <c r="BR106" s="217" t="str">
        <f t="shared" si="101"/>
        <v/>
      </c>
      <c r="BS106" s="215" t="str">
        <f t="shared" si="102"/>
        <v/>
      </c>
      <c r="BT106" s="217" t="str">
        <f t="shared" si="103"/>
        <v/>
      </c>
      <c r="BU106" s="217" t="str">
        <f t="shared" si="104"/>
        <v/>
      </c>
      <c r="BV106" s="215" t="str">
        <f t="shared" si="105"/>
        <v/>
      </c>
      <c r="BW106" s="217" t="str">
        <f t="shared" si="106"/>
        <v/>
      </c>
      <c r="BX106" s="217" t="str">
        <f t="shared" si="107"/>
        <v/>
      </c>
      <c r="BY106" s="215" t="str">
        <f t="shared" si="108"/>
        <v/>
      </c>
      <c r="BZ106" s="217" t="str">
        <f t="shared" si="109"/>
        <v/>
      </c>
      <c r="CA106" s="217" t="str">
        <f t="shared" si="110"/>
        <v/>
      </c>
      <c r="CB106" s="215" t="str">
        <f t="shared" si="111"/>
        <v/>
      </c>
      <c r="CC106" s="217" t="str">
        <f t="shared" si="112"/>
        <v/>
      </c>
      <c r="CD106" s="217" t="str">
        <f t="shared" si="113"/>
        <v/>
      </c>
    </row>
    <row r="107" spans="1:82" x14ac:dyDescent="0.25">
      <c r="A107" s="48"/>
      <c r="B107" s="54"/>
      <c r="C107" s="54"/>
      <c r="D107" s="54"/>
      <c r="E107" s="54"/>
      <c r="F107" s="54"/>
      <c r="G107" s="54"/>
      <c r="H107" s="54"/>
      <c r="I107" s="54"/>
      <c r="J107" s="2"/>
      <c r="K107" s="2"/>
      <c r="L107" s="2"/>
      <c r="M107" s="2"/>
      <c r="N107" s="54"/>
      <c r="O107" s="54"/>
      <c r="P107" s="54"/>
      <c r="Q107" s="54"/>
      <c r="R107" s="54"/>
      <c r="S107" s="54"/>
      <c r="T107" s="54"/>
      <c r="U107" s="2"/>
      <c r="V107" s="2"/>
      <c r="W107" s="2"/>
      <c r="X107" s="2"/>
      <c r="Y107" s="259"/>
      <c r="Z107" s="2"/>
      <c r="AA107" s="264">
        <v>103</v>
      </c>
      <c r="AB107" s="16" t="str">
        <f t="shared" si="114"/>
        <v/>
      </c>
      <c r="AC107" s="16" t="str">
        <f t="shared" si="115"/>
        <v/>
      </c>
      <c r="AD107" s="16" t="str">
        <f t="shared" si="81"/>
        <v/>
      </c>
      <c r="AE107" s="16" t="str">
        <f t="shared" si="82"/>
        <v/>
      </c>
      <c r="AF107" s="16" t="str">
        <f t="shared" si="83"/>
        <v/>
      </c>
      <c r="AG107" s="16" t="str">
        <f t="shared" si="116"/>
        <v/>
      </c>
      <c r="AH107" s="16" t="str">
        <f t="shared" si="117"/>
        <v/>
      </c>
      <c r="AI107" s="29" t="str">
        <f t="shared" si="84"/>
        <v/>
      </c>
      <c r="AJ107" s="29" t="str">
        <f t="shared" si="85"/>
        <v/>
      </c>
      <c r="AK107" s="2"/>
      <c r="AL107" s="2"/>
      <c r="AM107" s="2"/>
      <c r="AN107" s="2"/>
      <c r="AO107" s="2"/>
      <c r="AP107" s="2"/>
      <c r="AQ107" s="2"/>
      <c r="AR107" s="2"/>
      <c r="AS107" s="2"/>
      <c r="AT107" s="2"/>
      <c r="AU107" s="2"/>
      <c r="AV107" s="2"/>
      <c r="AW107" s="2"/>
      <c r="AX107" s="2"/>
      <c r="AY107" s="2"/>
      <c r="AZ107" s="2"/>
      <c r="BA107" s="2"/>
      <c r="BB107" s="2"/>
      <c r="BC107" s="2"/>
      <c r="BF107" s="208"/>
      <c r="BG107" s="215" t="str">
        <f t="shared" si="90"/>
        <v/>
      </c>
      <c r="BH107" s="217" t="str">
        <f t="shared" si="91"/>
        <v/>
      </c>
      <c r="BI107" s="217" t="str">
        <f t="shared" si="92"/>
        <v/>
      </c>
      <c r="BJ107" s="215" t="str">
        <f t="shared" si="93"/>
        <v/>
      </c>
      <c r="BK107" s="217" t="str">
        <f t="shared" si="94"/>
        <v/>
      </c>
      <c r="BL107" s="217" t="str">
        <f t="shared" si="95"/>
        <v/>
      </c>
      <c r="BM107" s="215" t="str">
        <f t="shared" si="96"/>
        <v/>
      </c>
      <c r="BN107" s="217" t="str">
        <f t="shared" si="97"/>
        <v/>
      </c>
      <c r="BO107" s="217" t="str">
        <f t="shared" si="98"/>
        <v/>
      </c>
      <c r="BP107" s="215" t="str">
        <f t="shared" si="99"/>
        <v/>
      </c>
      <c r="BQ107" s="217" t="str">
        <f t="shared" si="100"/>
        <v/>
      </c>
      <c r="BR107" s="217" t="str">
        <f t="shared" si="101"/>
        <v/>
      </c>
      <c r="BS107" s="215" t="str">
        <f t="shared" si="102"/>
        <v/>
      </c>
      <c r="BT107" s="217" t="str">
        <f t="shared" si="103"/>
        <v/>
      </c>
      <c r="BU107" s="217" t="str">
        <f t="shared" si="104"/>
        <v/>
      </c>
      <c r="BV107" s="215" t="str">
        <f t="shared" si="105"/>
        <v/>
      </c>
      <c r="BW107" s="217" t="str">
        <f t="shared" si="106"/>
        <v/>
      </c>
      <c r="BX107" s="217" t="str">
        <f t="shared" si="107"/>
        <v/>
      </c>
      <c r="BY107" s="215" t="str">
        <f t="shared" si="108"/>
        <v/>
      </c>
      <c r="BZ107" s="217" t="str">
        <f t="shared" si="109"/>
        <v/>
      </c>
      <c r="CA107" s="217" t="str">
        <f t="shared" si="110"/>
        <v/>
      </c>
      <c r="CB107" s="215" t="str">
        <f t="shared" si="111"/>
        <v/>
      </c>
      <c r="CC107" s="217" t="str">
        <f t="shared" si="112"/>
        <v/>
      </c>
      <c r="CD107" s="217" t="str">
        <f t="shared" si="113"/>
        <v/>
      </c>
    </row>
    <row r="108" spans="1:82" x14ac:dyDescent="0.25">
      <c r="A108" s="48"/>
      <c r="B108" s="54"/>
      <c r="C108" s="54"/>
      <c r="D108" s="54"/>
      <c r="E108" s="54"/>
      <c r="F108" s="54"/>
      <c r="G108" s="54"/>
      <c r="H108" s="54"/>
      <c r="I108" s="54"/>
      <c r="J108" s="2"/>
      <c r="K108" s="2"/>
      <c r="L108" s="2"/>
      <c r="M108" s="2"/>
      <c r="N108" s="54"/>
      <c r="O108" s="54"/>
      <c r="P108" s="54"/>
      <c r="Q108" s="54"/>
      <c r="R108" s="54"/>
      <c r="S108" s="54"/>
      <c r="T108" s="54"/>
      <c r="U108" s="2"/>
      <c r="V108" s="2"/>
      <c r="W108" s="2"/>
      <c r="X108" s="2"/>
      <c r="Y108" s="259"/>
      <c r="Z108" s="2"/>
      <c r="AA108" s="264">
        <v>104</v>
      </c>
      <c r="AB108" s="16" t="str">
        <f t="shared" si="114"/>
        <v/>
      </c>
      <c r="AC108" s="16" t="str">
        <f t="shared" si="115"/>
        <v/>
      </c>
      <c r="AD108" s="16" t="str">
        <f t="shared" si="81"/>
        <v/>
      </c>
      <c r="AE108" s="16" t="str">
        <f t="shared" si="82"/>
        <v/>
      </c>
      <c r="AF108" s="16" t="str">
        <f t="shared" si="83"/>
        <v/>
      </c>
      <c r="AG108" s="16" t="str">
        <f t="shared" si="116"/>
        <v/>
      </c>
      <c r="AH108" s="16" t="str">
        <f t="shared" si="117"/>
        <v/>
      </c>
      <c r="AI108" s="29" t="str">
        <f t="shared" si="84"/>
        <v/>
      </c>
      <c r="AJ108" s="29" t="str">
        <f t="shared" si="85"/>
        <v/>
      </c>
      <c r="AK108" s="2"/>
      <c r="AL108" s="2"/>
      <c r="AM108" s="2"/>
      <c r="AN108" s="2"/>
      <c r="AO108" s="2"/>
      <c r="AP108" s="2"/>
      <c r="AQ108" s="2"/>
      <c r="AR108" s="2"/>
      <c r="AS108" s="2"/>
      <c r="AT108" s="2"/>
      <c r="AU108" s="2"/>
      <c r="AV108" s="2"/>
      <c r="AW108" s="2"/>
      <c r="AX108" s="2"/>
      <c r="AY108" s="2"/>
      <c r="AZ108" s="2"/>
      <c r="BA108" s="2"/>
      <c r="BB108" s="2"/>
      <c r="BC108" s="2"/>
      <c r="BF108" s="208"/>
      <c r="BG108" s="215" t="str">
        <f t="shared" si="90"/>
        <v/>
      </c>
      <c r="BH108" s="217" t="str">
        <f t="shared" si="91"/>
        <v/>
      </c>
      <c r="BI108" s="217" t="str">
        <f t="shared" si="92"/>
        <v/>
      </c>
      <c r="BJ108" s="215" t="str">
        <f t="shared" si="93"/>
        <v/>
      </c>
      <c r="BK108" s="217" t="str">
        <f t="shared" si="94"/>
        <v/>
      </c>
      <c r="BL108" s="217" t="str">
        <f t="shared" si="95"/>
        <v/>
      </c>
      <c r="BM108" s="215" t="str">
        <f t="shared" si="96"/>
        <v/>
      </c>
      <c r="BN108" s="217" t="str">
        <f t="shared" si="97"/>
        <v/>
      </c>
      <c r="BO108" s="217" t="str">
        <f t="shared" si="98"/>
        <v/>
      </c>
      <c r="BP108" s="215" t="str">
        <f t="shared" si="99"/>
        <v/>
      </c>
      <c r="BQ108" s="217" t="str">
        <f t="shared" si="100"/>
        <v/>
      </c>
      <c r="BR108" s="217" t="str">
        <f t="shared" si="101"/>
        <v/>
      </c>
      <c r="BS108" s="215" t="str">
        <f t="shared" si="102"/>
        <v/>
      </c>
      <c r="BT108" s="217" t="str">
        <f t="shared" si="103"/>
        <v/>
      </c>
      <c r="BU108" s="217" t="str">
        <f t="shared" si="104"/>
        <v/>
      </c>
      <c r="BV108" s="215" t="str">
        <f t="shared" si="105"/>
        <v/>
      </c>
      <c r="BW108" s="217" t="str">
        <f t="shared" si="106"/>
        <v/>
      </c>
      <c r="BX108" s="217" t="str">
        <f t="shared" si="107"/>
        <v/>
      </c>
      <c r="BY108" s="215" t="str">
        <f t="shared" si="108"/>
        <v/>
      </c>
      <c r="BZ108" s="217" t="str">
        <f t="shared" si="109"/>
        <v/>
      </c>
      <c r="CA108" s="217" t="str">
        <f t="shared" si="110"/>
        <v/>
      </c>
      <c r="CB108" s="215" t="str">
        <f t="shared" si="111"/>
        <v/>
      </c>
      <c r="CC108" s="217" t="str">
        <f t="shared" si="112"/>
        <v/>
      </c>
      <c r="CD108" s="217" t="str">
        <f t="shared" si="113"/>
        <v/>
      </c>
    </row>
    <row r="109" spans="1:82" x14ac:dyDescent="0.25">
      <c r="A109" s="48"/>
      <c r="B109" s="54"/>
      <c r="C109" s="54"/>
      <c r="D109" s="54"/>
      <c r="E109" s="54"/>
      <c r="F109" s="54"/>
      <c r="G109" s="54"/>
      <c r="H109" s="54"/>
      <c r="I109" s="54"/>
      <c r="J109" s="2"/>
      <c r="K109" s="2"/>
      <c r="L109" s="2"/>
      <c r="M109" s="2"/>
      <c r="N109" s="54"/>
      <c r="O109" s="54"/>
      <c r="P109" s="54"/>
      <c r="Q109" s="54"/>
      <c r="R109" s="54"/>
      <c r="S109" s="54"/>
      <c r="T109" s="54"/>
      <c r="U109" s="2"/>
      <c r="V109" s="2"/>
      <c r="W109" s="2"/>
      <c r="X109" s="2"/>
      <c r="Y109" s="259"/>
      <c r="Z109" s="2"/>
      <c r="AA109" s="264">
        <v>105</v>
      </c>
      <c r="AB109" s="16" t="str">
        <f t="shared" si="114"/>
        <v/>
      </c>
      <c r="AC109" s="16" t="str">
        <f t="shared" si="115"/>
        <v/>
      </c>
      <c r="AD109" s="16" t="str">
        <f t="shared" si="81"/>
        <v/>
      </c>
      <c r="AE109" s="16" t="str">
        <f t="shared" si="82"/>
        <v/>
      </c>
      <c r="AF109" s="16" t="str">
        <f t="shared" si="83"/>
        <v/>
      </c>
      <c r="AG109" s="16" t="str">
        <f t="shared" si="116"/>
        <v/>
      </c>
      <c r="AH109" s="16" t="str">
        <f t="shared" si="117"/>
        <v/>
      </c>
      <c r="AI109" s="29" t="str">
        <f t="shared" si="84"/>
        <v/>
      </c>
      <c r="AJ109" s="29" t="str">
        <f t="shared" si="85"/>
        <v/>
      </c>
      <c r="AK109" s="2"/>
      <c r="AL109" s="2"/>
      <c r="AM109" s="2"/>
      <c r="AN109" s="2"/>
      <c r="AO109" s="2"/>
      <c r="AP109" s="2"/>
      <c r="AQ109" s="2"/>
      <c r="AR109" s="2"/>
      <c r="AS109" s="2"/>
      <c r="AT109" s="2"/>
      <c r="AU109" s="2"/>
      <c r="AV109" s="2"/>
      <c r="AW109" s="2"/>
      <c r="AX109" s="2"/>
      <c r="AY109" s="2"/>
      <c r="AZ109" s="2"/>
      <c r="BA109" s="2"/>
      <c r="BB109" s="2"/>
      <c r="BC109" s="2"/>
      <c r="BF109" s="208"/>
      <c r="BG109" s="215" t="str">
        <f t="shared" si="90"/>
        <v/>
      </c>
      <c r="BH109" s="217" t="str">
        <f t="shared" si="91"/>
        <v/>
      </c>
      <c r="BI109" s="217" t="str">
        <f t="shared" si="92"/>
        <v/>
      </c>
      <c r="BJ109" s="215" t="str">
        <f t="shared" si="93"/>
        <v/>
      </c>
      <c r="BK109" s="217" t="str">
        <f t="shared" si="94"/>
        <v/>
      </c>
      <c r="BL109" s="217" t="str">
        <f t="shared" si="95"/>
        <v/>
      </c>
      <c r="BM109" s="215" t="str">
        <f t="shared" si="96"/>
        <v/>
      </c>
      <c r="BN109" s="217" t="str">
        <f t="shared" si="97"/>
        <v/>
      </c>
      <c r="BO109" s="217" t="str">
        <f t="shared" si="98"/>
        <v/>
      </c>
      <c r="BP109" s="215" t="str">
        <f t="shared" si="99"/>
        <v/>
      </c>
      <c r="BQ109" s="217" t="str">
        <f t="shared" si="100"/>
        <v/>
      </c>
      <c r="BR109" s="217" t="str">
        <f t="shared" si="101"/>
        <v/>
      </c>
      <c r="BS109" s="215" t="str">
        <f t="shared" si="102"/>
        <v/>
      </c>
      <c r="BT109" s="217" t="str">
        <f t="shared" si="103"/>
        <v/>
      </c>
      <c r="BU109" s="217" t="str">
        <f t="shared" si="104"/>
        <v/>
      </c>
      <c r="BV109" s="215" t="str">
        <f t="shared" si="105"/>
        <v/>
      </c>
      <c r="BW109" s="217" t="str">
        <f t="shared" si="106"/>
        <v/>
      </c>
      <c r="BX109" s="217" t="str">
        <f t="shared" si="107"/>
        <v/>
      </c>
      <c r="BY109" s="215" t="str">
        <f t="shared" si="108"/>
        <v/>
      </c>
      <c r="BZ109" s="217" t="str">
        <f t="shared" si="109"/>
        <v/>
      </c>
      <c r="CA109" s="217" t="str">
        <f t="shared" si="110"/>
        <v/>
      </c>
      <c r="CB109" s="215" t="str">
        <f t="shared" si="111"/>
        <v/>
      </c>
      <c r="CC109" s="217" t="str">
        <f t="shared" si="112"/>
        <v/>
      </c>
      <c r="CD109" s="217" t="str">
        <f t="shared" si="113"/>
        <v/>
      </c>
    </row>
    <row r="110" spans="1:82" x14ac:dyDescent="0.25">
      <c r="A110" s="48"/>
      <c r="B110" s="54"/>
      <c r="C110" s="54"/>
      <c r="D110" s="54"/>
      <c r="E110" s="54"/>
      <c r="F110" s="54"/>
      <c r="G110" s="54"/>
      <c r="H110" s="54"/>
      <c r="I110" s="54"/>
      <c r="J110" s="2"/>
      <c r="K110" s="2"/>
      <c r="L110" s="2"/>
      <c r="M110" s="2"/>
      <c r="N110" s="54"/>
      <c r="O110" s="54"/>
      <c r="P110" s="54"/>
      <c r="Q110" s="54"/>
      <c r="R110" s="54"/>
      <c r="S110" s="54"/>
      <c r="T110" s="54"/>
      <c r="U110" s="2"/>
      <c r="V110" s="2"/>
      <c r="W110" s="2"/>
      <c r="X110" s="2"/>
      <c r="Y110" s="259"/>
      <c r="Z110" s="2"/>
      <c r="AA110" s="264">
        <v>106</v>
      </c>
      <c r="AB110" s="16" t="str">
        <f t="shared" si="114"/>
        <v/>
      </c>
      <c r="AC110" s="16" t="str">
        <f t="shared" si="115"/>
        <v/>
      </c>
      <c r="AD110" s="16" t="str">
        <f t="shared" si="81"/>
        <v/>
      </c>
      <c r="AE110" s="16" t="str">
        <f t="shared" si="82"/>
        <v/>
      </c>
      <c r="AF110" s="16" t="str">
        <f t="shared" si="83"/>
        <v/>
      </c>
      <c r="AG110" s="16" t="str">
        <f t="shared" si="116"/>
        <v/>
      </c>
      <c r="AH110" s="16" t="str">
        <f t="shared" si="117"/>
        <v/>
      </c>
      <c r="AI110" s="29" t="str">
        <f t="shared" si="84"/>
        <v/>
      </c>
      <c r="AJ110" s="29" t="str">
        <f t="shared" si="85"/>
        <v/>
      </c>
      <c r="AK110" s="2"/>
      <c r="AL110" s="2"/>
      <c r="AM110" s="2"/>
      <c r="AN110" s="2"/>
      <c r="AO110" s="2"/>
      <c r="AP110" s="2"/>
      <c r="AQ110" s="2"/>
      <c r="AR110" s="2"/>
      <c r="AS110" s="2"/>
      <c r="AT110" s="2"/>
      <c r="AU110" s="2"/>
      <c r="AV110" s="2"/>
      <c r="AW110" s="2"/>
      <c r="AX110" s="2"/>
      <c r="AY110" s="2"/>
      <c r="AZ110" s="2"/>
      <c r="BA110" s="2"/>
      <c r="BB110" s="2"/>
      <c r="BC110" s="2"/>
      <c r="BF110" s="208"/>
      <c r="BG110" s="215" t="str">
        <f t="shared" si="90"/>
        <v/>
      </c>
      <c r="BH110" s="217" t="str">
        <f t="shared" si="91"/>
        <v/>
      </c>
      <c r="BI110" s="217" t="str">
        <f t="shared" si="92"/>
        <v/>
      </c>
      <c r="BJ110" s="215" t="str">
        <f t="shared" si="93"/>
        <v/>
      </c>
      <c r="BK110" s="217" t="str">
        <f t="shared" si="94"/>
        <v/>
      </c>
      <c r="BL110" s="217" t="str">
        <f t="shared" si="95"/>
        <v/>
      </c>
      <c r="BM110" s="215" t="str">
        <f t="shared" si="96"/>
        <v/>
      </c>
      <c r="BN110" s="217" t="str">
        <f t="shared" si="97"/>
        <v/>
      </c>
      <c r="BO110" s="217" t="str">
        <f t="shared" si="98"/>
        <v/>
      </c>
      <c r="BP110" s="215" t="str">
        <f t="shared" si="99"/>
        <v/>
      </c>
      <c r="BQ110" s="217" t="str">
        <f t="shared" si="100"/>
        <v/>
      </c>
      <c r="BR110" s="217" t="str">
        <f t="shared" si="101"/>
        <v/>
      </c>
      <c r="BS110" s="215" t="str">
        <f t="shared" si="102"/>
        <v/>
      </c>
      <c r="BT110" s="217" t="str">
        <f t="shared" si="103"/>
        <v/>
      </c>
      <c r="BU110" s="217" t="str">
        <f t="shared" si="104"/>
        <v/>
      </c>
      <c r="BV110" s="215" t="str">
        <f t="shared" si="105"/>
        <v/>
      </c>
      <c r="BW110" s="217" t="str">
        <f t="shared" si="106"/>
        <v/>
      </c>
      <c r="BX110" s="217" t="str">
        <f t="shared" si="107"/>
        <v/>
      </c>
      <c r="BY110" s="215" t="str">
        <f t="shared" si="108"/>
        <v/>
      </c>
      <c r="BZ110" s="217" t="str">
        <f t="shared" si="109"/>
        <v/>
      </c>
      <c r="CA110" s="217" t="str">
        <f t="shared" si="110"/>
        <v/>
      </c>
      <c r="CB110" s="215" t="str">
        <f t="shared" si="111"/>
        <v/>
      </c>
      <c r="CC110" s="217" t="str">
        <f t="shared" si="112"/>
        <v/>
      </c>
      <c r="CD110" s="217" t="str">
        <f t="shared" si="113"/>
        <v/>
      </c>
    </row>
    <row r="111" spans="1:82" x14ac:dyDescent="0.25">
      <c r="A111" s="48"/>
      <c r="B111" s="54"/>
      <c r="C111" s="54"/>
      <c r="D111" s="54"/>
      <c r="E111" s="54"/>
      <c r="F111" s="54"/>
      <c r="G111" s="54"/>
      <c r="H111" s="54"/>
      <c r="I111" s="54"/>
      <c r="J111" s="2"/>
      <c r="K111" s="2"/>
      <c r="L111" s="2"/>
      <c r="M111" s="2"/>
      <c r="N111" s="54"/>
      <c r="O111" s="54"/>
      <c r="P111" s="54"/>
      <c r="Q111" s="54"/>
      <c r="R111" s="54"/>
      <c r="S111" s="54"/>
      <c r="T111" s="54"/>
      <c r="U111" s="2"/>
      <c r="V111" s="2"/>
      <c r="W111" s="2"/>
      <c r="X111" s="2"/>
      <c r="Y111" s="259"/>
      <c r="Z111" s="2"/>
      <c r="AA111" s="264">
        <v>107</v>
      </c>
      <c r="AB111" s="16" t="str">
        <f t="shared" si="114"/>
        <v/>
      </c>
      <c r="AC111" s="16" t="str">
        <f t="shared" si="115"/>
        <v/>
      </c>
      <c r="AD111" s="16" t="str">
        <f t="shared" si="81"/>
        <v/>
      </c>
      <c r="AE111" s="16" t="str">
        <f t="shared" si="82"/>
        <v/>
      </c>
      <c r="AF111" s="16" t="str">
        <f t="shared" si="83"/>
        <v/>
      </c>
      <c r="AG111" s="16" t="str">
        <f t="shared" si="116"/>
        <v/>
      </c>
      <c r="AH111" s="16" t="str">
        <f t="shared" si="117"/>
        <v/>
      </c>
      <c r="AI111" s="29" t="str">
        <f t="shared" si="84"/>
        <v/>
      </c>
      <c r="AJ111" s="29" t="str">
        <f t="shared" si="85"/>
        <v/>
      </c>
      <c r="AK111" s="2"/>
      <c r="AL111" s="2"/>
      <c r="AM111" s="2"/>
      <c r="AN111" s="2"/>
      <c r="AO111" s="2"/>
      <c r="AP111" s="2"/>
      <c r="AQ111" s="2"/>
      <c r="AR111" s="2"/>
      <c r="AS111" s="2"/>
      <c r="AT111" s="2"/>
      <c r="AU111" s="2"/>
      <c r="AV111" s="2"/>
      <c r="AW111" s="2"/>
      <c r="AX111" s="2"/>
      <c r="AY111" s="2"/>
      <c r="AZ111" s="2"/>
      <c r="BA111" s="2"/>
      <c r="BB111" s="2"/>
      <c r="BC111" s="2"/>
      <c r="BF111" s="208"/>
      <c r="BG111" s="215" t="str">
        <f t="shared" si="90"/>
        <v/>
      </c>
      <c r="BH111" s="217" t="str">
        <f t="shared" si="91"/>
        <v/>
      </c>
      <c r="BI111" s="217" t="str">
        <f t="shared" si="92"/>
        <v/>
      </c>
      <c r="BJ111" s="215" t="str">
        <f t="shared" si="93"/>
        <v/>
      </c>
      <c r="BK111" s="217" t="str">
        <f t="shared" si="94"/>
        <v/>
      </c>
      <c r="BL111" s="217" t="str">
        <f t="shared" si="95"/>
        <v/>
      </c>
      <c r="BM111" s="215" t="str">
        <f t="shared" si="96"/>
        <v/>
      </c>
      <c r="BN111" s="217" t="str">
        <f t="shared" si="97"/>
        <v/>
      </c>
      <c r="BO111" s="217" t="str">
        <f t="shared" si="98"/>
        <v/>
      </c>
      <c r="BP111" s="215" t="str">
        <f t="shared" si="99"/>
        <v/>
      </c>
      <c r="BQ111" s="217" t="str">
        <f t="shared" si="100"/>
        <v/>
      </c>
      <c r="BR111" s="217" t="str">
        <f t="shared" si="101"/>
        <v/>
      </c>
      <c r="BS111" s="215" t="str">
        <f t="shared" si="102"/>
        <v/>
      </c>
      <c r="BT111" s="217" t="str">
        <f t="shared" si="103"/>
        <v/>
      </c>
      <c r="BU111" s="217" t="str">
        <f t="shared" si="104"/>
        <v/>
      </c>
      <c r="BV111" s="215" t="str">
        <f t="shared" si="105"/>
        <v/>
      </c>
      <c r="BW111" s="217" t="str">
        <f t="shared" si="106"/>
        <v/>
      </c>
      <c r="BX111" s="217" t="str">
        <f t="shared" si="107"/>
        <v/>
      </c>
      <c r="BY111" s="215" t="str">
        <f t="shared" si="108"/>
        <v/>
      </c>
      <c r="BZ111" s="217" t="str">
        <f t="shared" si="109"/>
        <v/>
      </c>
      <c r="CA111" s="217" t="str">
        <f t="shared" si="110"/>
        <v/>
      </c>
      <c r="CB111" s="215" t="str">
        <f t="shared" si="111"/>
        <v/>
      </c>
      <c r="CC111" s="217" t="str">
        <f t="shared" si="112"/>
        <v/>
      </c>
      <c r="CD111" s="217" t="str">
        <f t="shared" si="113"/>
        <v/>
      </c>
    </row>
    <row r="112" spans="1:82" x14ac:dyDescent="0.25">
      <c r="A112" s="48"/>
      <c r="B112" s="54"/>
      <c r="C112" s="54"/>
      <c r="D112" s="53"/>
      <c r="E112" s="54"/>
      <c r="F112" s="54"/>
      <c r="G112" s="54"/>
      <c r="H112" s="54"/>
      <c r="I112" s="54"/>
      <c r="J112" s="2"/>
      <c r="K112" s="2"/>
      <c r="L112" s="2"/>
      <c r="M112" s="2"/>
      <c r="N112" s="54"/>
      <c r="O112" s="54"/>
      <c r="P112" s="54"/>
      <c r="Q112" s="54"/>
      <c r="R112" s="54"/>
      <c r="S112" s="54"/>
      <c r="T112" s="54"/>
      <c r="U112" s="2"/>
      <c r="V112" s="2"/>
      <c r="W112" s="2"/>
      <c r="X112" s="2"/>
      <c r="Y112" s="259"/>
      <c r="Z112" s="2"/>
      <c r="AA112" s="264">
        <v>108</v>
      </c>
      <c r="AB112" s="16" t="str">
        <f t="shared" si="114"/>
        <v/>
      </c>
      <c r="AC112" s="16" t="str">
        <f t="shared" si="115"/>
        <v/>
      </c>
      <c r="AD112" s="16" t="str">
        <f t="shared" si="81"/>
        <v/>
      </c>
      <c r="AE112" s="16" t="str">
        <f t="shared" si="82"/>
        <v/>
      </c>
      <c r="AF112" s="16" t="str">
        <f t="shared" si="83"/>
        <v/>
      </c>
      <c r="AG112" s="16" t="str">
        <f t="shared" si="116"/>
        <v/>
      </c>
      <c r="AH112" s="16" t="str">
        <f t="shared" si="117"/>
        <v/>
      </c>
      <c r="AI112" s="29" t="str">
        <f t="shared" si="84"/>
        <v/>
      </c>
      <c r="AJ112" s="29" t="str">
        <f t="shared" si="85"/>
        <v/>
      </c>
      <c r="AK112" s="2"/>
      <c r="AL112" s="2"/>
      <c r="AM112" s="2"/>
      <c r="AN112" s="2"/>
      <c r="AO112" s="2"/>
      <c r="AP112" s="2"/>
      <c r="AQ112" s="2"/>
      <c r="AR112" s="2"/>
      <c r="AS112" s="2"/>
      <c r="AT112" s="2"/>
      <c r="AU112" s="2"/>
      <c r="AV112" s="2"/>
      <c r="AW112" s="2"/>
      <c r="AX112" s="2"/>
      <c r="AY112" s="2"/>
      <c r="AZ112" s="2"/>
      <c r="BA112" s="2"/>
      <c r="BB112" s="2"/>
      <c r="BC112" s="2"/>
      <c r="BF112" s="208"/>
      <c r="BG112" s="215" t="str">
        <f t="shared" si="90"/>
        <v/>
      </c>
      <c r="BH112" s="217" t="str">
        <f t="shared" si="91"/>
        <v/>
      </c>
      <c r="BI112" s="217" t="str">
        <f t="shared" si="92"/>
        <v/>
      </c>
      <c r="BJ112" s="215" t="str">
        <f t="shared" si="93"/>
        <v/>
      </c>
      <c r="BK112" s="217" t="str">
        <f t="shared" si="94"/>
        <v/>
      </c>
      <c r="BL112" s="217" t="str">
        <f t="shared" si="95"/>
        <v/>
      </c>
      <c r="BM112" s="215" t="str">
        <f t="shared" si="96"/>
        <v/>
      </c>
      <c r="BN112" s="217" t="str">
        <f t="shared" si="97"/>
        <v/>
      </c>
      <c r="BO112" s="217" t="str">
        <f t="shared" si="98"/>
        <v/>
      </c>
      <c r="BP112" s="215" t="str">
        <f t="shared" si="99"/>
        <v/>
      </c>
      <c r="BQ112" s="217" t="str">
        <f t="shared" si="100"/>
        <v/>
      </c>
      <c r="BR112" s="217" t="str">
        <f t="shared" si="101"/>
        <v/>
      </c>
      <c r="BS112" s="215" t="str">
        <f t="shared" si="102"/>
        <v/>
      </c>
      <c r="BT112" s="217" t="str">
        <f t="shared" si="103"/>
        <v/>
      </c>
      <c r="BU112" s="217" t="str">
        <f t="shared" si="104"/>
        <v/>
      </c>
      <c r="BV112" s="215" t="str">
        <f t="shared" si="105"/>
        <v/>
      </c>
      <c r="BW112" s="217" t="str">
        <f t="shared" si="106"/>
        <v/>
      </c>
      <c r="BX112" s="217" t="str">
        <f t="shared" si="107"/>
        <v/>
      </c>
      <c r="BY112" s="215" t="str">
        <f t="shared" si="108"/>
        <v/>
      </c>
      <c r="BZ112" s="217" t="str">
        <f t="shared" si="109"/>
        <v/>
      </c>
      <c r="CA112" s="217" t="str">
        <f t="shared" si="110"/>
        <v/>
      </c>
      <c r="CB112" s="215" t="str">
        <f t="shared" si="111"/>
        <v/>
      </c>
      <c r="CC112" s="217" t="str">
        <f t="shared" si="112"/>
        <v/>
      </c>
      <c r="CD112" s="217" t="str">
        <f t="shared" si="113"/>
        <v/>
      </c>
    </row>
    <row r="113" spans="1:82" x14ac:dyDescent="0.25">
      <c r="A113" s="48"/>
      <c r="B113" s="54"/>
      <c r="C113" s="54"/>
      <c r="D113" s="54"/>
      <c r="E113" s="54"/>
      <c r="F113" s="54"/>
      <c r="G113" s="54"/>
      <c r="H113" s="54"/>
      <c r="I113" s="54"/>
      <c r="J113" s="2"/>
      <c r="K113" s="2"/>
      <c r="L113" s="2"/>
      <c r="M113" s="2"/>
      <c r="N113" s="54"/>
      <c r="O113" s="54"/>
      <c r="P113" s="54"/>
      <c r="Q113" s="54"/>
      <c r="R113" s="54"/>
      <c r="S113" s="54"/>
      <c r="T113" s="54"/>
      <c r="U113" s="2"/>
      <c r="V113" s="2"/>
      <c r="W113" s="2"/>
      <c r="X113" s="2"/>
      <c r="Y113" s="259"/>
      <c r="Z113" s="2"/>
      <c r="AA113" s="264">
        <v>109</v>
      </c>
      <c r="AB113" s="16" t="str">
        <f t="shared" si="114"/>
        <v/>
      </c>
      <c r="AC113" s="16" t="str">
        <f t="shared" si="115"/>
        <v/>
      </c>
      <c r="AD113" s="16" t="str">
        <f t="shared" si="81"/>
        <v/>
      </c>
      <c r="AE113" s="16" t="str">
        <f t="shared" si="82"/>
        <v/>
      </c>
      <c r="AF113" s="16" t="str">
        <f t="shared" si="83"/>
        <v/>
      </c>
      <c r="AG113" s="16" t="str">
        <f t="shared" si="116"/>
        <v/>
      </c>
      <c r="AH113" s="16" t="str">
        <f t="shared" si="117"/>
        <v/>
      </c>
      <c r="AI113" s="29" t="str">
        <f t="shared" si="84"/>
        <v/>
      </c>
      <c r="AJ113" s="29" t="str">
        <f t="shared" si="85"/>
        <v/>
      </c>
      <c r="AK113" s="2"/>
      <c r="AL113" s="2"/>
      <c r="AM113" s="2"/>
      <c r="AN113" s="2"/>
      <c r="AO113" s="2"/>
      <c r="AP113" s="2"/>
      <c r="AQ113" s="2"/>
      <c r="AR113" s="2"/>
      <c r="AS113" s="2"/>
      <c r="AT113" s="2"/>
      <c r="AU113" s="2"/>
      <c r="AV113" s="2"/>
      <c r="AW113" s="2"/>
      <c r="AX113" s="2"/>
      <c r="AY113" s="2"/>
      <c r="AZ113" s="2"/>
      <c r="BA113" s="2"/>
      <c r="BB113" s="2"/>
      <c r="BC113" s="2"/>
      <c r="BF113" s="208"/>
      <c r="BG113" s="215" t="str">
        <f t="shared" si="90"/>
        <v/>
      </c>
      <c r="BH113" s="217" t="str">
        <f t="shared" si="91"/>
        <v/>
      </c>
      <c r="BI113" s="217" t="str">
        <f t="shared" si="92"/>
        <v/>
      </c>
      <c r="BJ113" s="215" t="str">
        <f t="shared" si="93"/>
        <v/>
      </c>
      <c r="BK113" s="217" t="str">
        <f t="shared" si="94"/>
        <v/>
      </c>
      <c r="BL113" s="217" t="str">
        <f t="shared" si="95"/>
        <v/>
      </c>
      <c r="BM113" s="215" t="str">
        <f t="shared" si="96"/>
        <v/>
      </c>
      <c r="BN113" s="217" t="str">
        <f t="shared" si="97"/>
        <v/>
      </c>
      <c r="BO113" s="217" t="str">
        <f t="shared" si="98"/>
        <v/>
      </c>
      <c r="BP113" s="215" t="str">
        <f t="shared" si="99"/>
        <v/>
      </c>
      <c r="BQ113" s="217" t="str">
        <f t="shared" si="100"/>
        <v/>
      </c>
      <c r="BR113" s="217" t="str">
        <f t="shared" si="101"/>
        <v/>
      </c>
      <c r="BS113" s="215" t="str">
        <f t="shared" si="102"/>
        <v/>
      </c>
      <c r="BT113" s="217" t="str">
        <f t="shared" si="103"/>
        <v/>
      </c>
      <c r="BU113" s="217" t="str">
        <f t="shared" si="104"/>
        <v/>
      </c>
      <c r="BV113" s="215" t="str">
        <f t="shared" si="105"/>
        <v/>
      </c>
      <c r="BW113" s="217" t="str">
        <f t="shared" si="106"/>
        <v/>
      </c>
      <c r="BX113" s="217" t="str">
        <f t="shared" si="107"/>
        <v/>
      </c>
      <c r="BY113" s="215" t="str">
        <f t="shared" si="108"/>
        <v/>
      </c>
      <c r="BZ113" s="217" t="str">
        <f t="shared" si="109"/>
        <v/>
      </c>
      <c r="CA113" s="217" t="str">
        <f t="shared" si="110"/>
        <v/>
      </c>
      <c r="CB113" s="215" t="str">
        <f t="shared" si="111"/>
        <v/>
      </c>
      <c r="CC113" s="217" t="str">
        <f t="shared" si="112"/>
        <v/>
      </c>
      <c r="CD113" s="217" t="str">
        <f t="shared" si="113"/>
        <v/>
      </c>
    </row>
    <row r="114" spans="1:82" x14ac:dyDescent="0.25">
      <c r="A114" s="48"/>
      <c r="B114" s="54"/>
      <c r="C114" s="54"/>
      <c r="D114" s="54"/>
      <c r="E114" s="54"/>
      <c r="F114" s="54"/>
      <c r="G114" s="54"/>
      <c r="H114" s="54"/>
      <c r="I114" s="54"/>
      <c r="J114" s="2"/>
      <c r="K114" s="2"/>
      <c r="L114" s="2"/>
      <c r="M114" s="2"/>
      <c r="N114" s="54"/>
      <c r="O114" s="54"/>
      <c r="P114" s="54"/>
      <c r="Q114" s="54"/>
      <c r="R114" s="54"/>
      <c r="S114" s="54"/>
      <c r="T114" s="54"/>
      <c r="U114" s="2"/>
      <c r="V114" s="2"/>
      <c r="W114" s="2"/>
      <c r="X114" s="2"/>
      <c r="Y114" s="259"/>
      <c r="Z114" s="2"/>
      <c r="AA114" s="264">
        <v>110</v>
      </c>
      <c r="AB114" s="16" t="str">
        <f t="shared" si="114"/>
        <v/>
      </c>
      <c r="AC114" s="16" t="str">
        <f t="shared" si="115"/>
        <v/>
      </c>
      <c r="AD114" s="16" t="str">
        <f t="shared" si="81"/>
        <v/>
      </c>
      <c r="AE114" s="16" t="str">
        <f t="shared" si="82"/>
        <v/>
      </c>
      <c r="AF114" s="16" t="str">
        <f t="shared" si="83"/>
        <v/>
      </c>
      <c r="AG114" s="16" t="str">
        <f t="shared" si="116"/>
        <v/>
      </c>
      <c r="AH114" s="16" t="str">
        <f t="shared" si="117"/>
        <v/>
      </c>
      <c r="AI114" s="29" t="str">
        <f t="shared" si="84"/>
        <v/>
      </c>
      <c r="AJ114" s="29" t="str">
        <f t="shared" si="85"/>
        <v/>
      </c>
      <c r="AK114" s="2"/>
      <c r="AL114" s="2"/>
      <c r="AM114" s="2"/>
      <c r="AN114" s="2"/>
      <c r="AO114" s="2"/>
      <c r="AP114" s="2"/>
      <c r="AQ114" s="2"/>
      <c r="AR114" s="2"/>
      <c r="AS114" s="2"/>
      <c r="AT114" s="2"/>
      <c r="AU114" s="2"/>
      <c r="AV114" s="2"/>
      <c r="AW114" s="2"/>
      <c r="AX114" s="2"/>
      <c r="AY114" s="2"/>
      <c r="AZ114" s="2"/>
      <c r="BA114" s="2"/>
      <c r="BB114" s="2"/>
      <c r="BC114" s="2"/>
      <c r="BF114" s="208"/>
      <c r="BG114" s="215" t="str">
        <f t="shared" si="90"/>
        <v/>
      </c>
      <c r="BH114" s="217" t="str">
        <f t="shared" si="91"/>
        <v/>
      </c>
      <c r="BI114" s="217" t="str">
        <f t="shared" si="92"/>
        <v/>
      </c>
      <c r="BJ114" s="215" t="str">
        <f t="shared" si="93"/>
        <v/>
      </c>
      <c r="BK114" s="217" t="str">
        <f t="shared" si="94"/>
        <v/>
      </c>
      <c r="BL114" s="217" t="str">
        <f t="shared" si="95"/>
        <v/>
      </c>
      <c r="BM114" s="215" t="str">
        <f t="shared" si="96"/>
        <v/>
      </c>
      <c r="BN114" s="217" t="str">
        <f t="shared" si="97"/>
        <v/>
      </c>
      <c r="BO114" s="217" t="str">
        <f t="shared" si="98"/>
        <v/>
      </c>
      <c r="BP114" s="215" t="str">
        <f t="shared" si="99"/>
        <v/>
      </c>
      <c r="BQ114" s="217" t="str">
        <f t="shared" si="100"/>
        <v/>
      </c>
      <c r="BR114" s="217" t="str">
        <f t="shared" si="101"/>
        <v/>
      </c>
      <c r="BS114" s="215" t="str">
        <f t="shared" si="102"/>
        <v/>
      </c>
      <c r="BT114" s="217" t="str">
        <f t="shared" si="103"/>
        <v/>
      </c>
      <c r="BU114" s="217" t="str">
        <f t="shared" si="104"/>
        <v/>
      </c>
      <c r="BV114" s="215" t="str">
        <f t="shared" si="105"/>
        <v/>
      </c>
      <c r="BW114" s="217" t="str">
        <f t="shared" si="106"/>
        <v/>
      </c>
      <c r="BX114" s="217" t="str">
        <f t="shared" si="107"/>
        <v/>
      </c>
      <c r="BY114" s="215" t="str">
        <f t="shared" si="108"/>
        <v/>
      </c>
      <c r="BZ114" s="217" t="str">
        <f t="shared" si="109"/>
        <v/>
      </c>
      <c r="CA114" s="217" t="str">
        <f t="shared" si="110"/>
        <v/>
      </c>
      <c r="CB114" s="215" t="str">
        <f t="shared" si="111"/>
        <v/>
      </c>
      <c r="CC114" s="217" t="str">
        <f t="shared" si="112"/>
        <v/>
      </c>
      <c r="CD114" s="217" t="str">
        <f t="shared" si="113"/>
        <v/>
      </c>
    </row>
    <row r="115" spans="1:82" x14ac:dyDescent="0.25">
      <c r="A115" s="48"/>
      <c r="B115" s="54"/>
      <c r="C115" s="54"/>
      <c r="D115" s="54"/>
      <c r="E115" s="54"/>
      <c r="F115" s="54"/>
      <c r="G115" s="54"/>
      <c r="H115" s="54"/>
      <c r="I115" s="54"/>
      <c r="J115" s="2"/>
      <c r="K115" s="2"/>
      <c r="L115" s="2"/>
      <c r="M115" s="2"/>
      <c r="N115" s="54"/>
      <c r="O115" s="54"/>
      <c r="P115" s="54"/>
      <c r="Q115" s="54"/>
      <c r="R115" s="54"/>
      <c r="S115" s="54"/>
      <c r="T115" s="54"/>
      <c r="U115" s="2"/>
      <c r="V115" s="2"/>
      <c r="W115" s="2"/>
      <c r="X115" s="2"/>
      <c r="Y115" s="259"/>
      <c r="Z115" s="2"/>
      <c r="AA115" s="264">
        <v>111</v>
      </c>
      <c r="AB115" s="16" t="str">
        <f t="shared" si="114"/>
        <v/>
      </c>
      <c r="AC115" s="16" t="str">
        <f t="shared" si="115"/>
        <v/>
      </c>
      <c r="AD115" s="16" t="str">
        <f t="shared" si="81"/>
        <v/>
      </c>
      <c r="AE115" s="16" t="str">
        <f t="shared" si="82"/>
        <v/>
      </c>
      <c r="AF115" s="16" t="str">
        <f t="shared" si="83"/>
        <v/>
      </c>
      <c r="AG115" s="16" t="str">
        <f t="shared" si="116"/>
        <v/>
      </c>
      <c r="AH115" s="16" t="str">
        <f t="shared" si="117"/>
        <v/>
      </c>
      <c r="AI115" s="29" t="str">
        <f t="shared" si="84"/>
        <v/>
      </c>
      <c r="AJ115" s="29" t="str">
        <f t="shared" si="85"/>
        <v/>
      </c>
      <c r="AK115" s="2"/>
      <c r="AL115" s="2"/>
      <c r="AM115" s="2"/>
      <c r="AN115" s="2"/>
      <c r="AO115" s="2"/>
      <c r="AP115" s="2"/>
      <c r="AQ115" s="2"/>
      <c r="AR115" s="2"/>
      <c r="AS115" s="2"/>
      <c r="AT115" s="2"/>
      <c r="AU115" s="2"/>
      <c r="AV115" s="2"/>
      <c r="AW115" s="2"/>
      <c r="AX115" s="2"/>
      <c r="AY115" s="2"/>
      <c r="AZ115" s="2"/>
      <c r="BA115" s="2"/>
      <c r="BB115" s="2"/>
      <c r="BC115" s="2"/>
      <c r="BF115" s="208"/>
      <c r="BG115" s="215" t="str">
        <f t="shared" si="90"/>
        <v/>
      </c>
      <c r="BH115" s="221" t="str">
        <f t="shared" si="91"/>
        <v/>
      </c>
      <c r="BI115" s="221" t="str">
        <f t="shared" si="92"/>
        <v/>
      </c>
      <c r="BJ115" s="215" t="str">
        <f t="shared" si="93"/>
        <v/>
      </c>
      <c r="BK115" s="221" t="str">
        <f t="shared" si="94"/>
        <v/>
      </c>
      <c r="BL115" s="221" t="str">
        <f t="shared" si="95"/>
        <v/>
      </c>
      <c r="BM115" s="215" t="str">
        <f t="shared" si="96"/>
        <v/>
      </c>
      <c r="BN115" s="221" t="str">
        <f t="shared" si="97"/>
        <v/>
      </c>
      <c r="BO115" s="221" t="str">
        <f t="shared" si="98"/>
        <v/>
      </c>
      <c r="BP115" s="215" t="str">
        <f t="shared" si="99"/>
        <v/>
      </c>
      <c r="BQ115" s="221" t="str">
        <f t="shared" si="100"/>
        <v/>
      </c>
      <c r="BR115" s="221" t="str">
        <f t="shared" si="101"/>
        <v/>
      </c>
      <c r="BS115" s="215" t="str">
        <f t="shared" si="102"/>
        <v/>
      </c>
      <c r="BT115" s="221" t="str">
        <f t="shared" si="103"/>
        <v/>
      </c>
      <c r="BU115" s="221" t="str">
        <f t="shared" si="104"/>
        <v/>
      </c>
      <c r="BV115" s="215" t="str">
        <f t="shared" si="105"/>
        <v/>
      </c>
      <c r="BW115" s="221" t="str">
        <f t="shared" si="106"/>
        <v/>
      </c>
      <c r="BX115" s="221" t="str">
        <f t="shared" si="107"/>
        <v/>
      </c>
      <c r="BY115" s="215" t="str">
        <f t="shared" si="108"/>
        <v/>
      </c>
      <c r="BZ115" s="221" t="str">
        <f t="shared" si="109"/>
        <v/>
      </c>
      <c r="CA115" s="221" t="str">
        <f t="shared" si="110"/>
        <v/>
      </c>
      <c r="CB115" s="215" t="str">
        <f t="shared" si="111"/>
        <v/>
      </c>
      <c r="CC115" s="221" t="str">
        <f t="shared" si="112"/>
        <v/>
      </c>
      <c r="CD115" s="221" t="str">
        <f t="shared" si="113"/>
        <v/>
      </c>
    </row>
    <row r="116" spans="1:82" x14ac:dyDescent="0.25">
      <c r="A116" s="48"/>
      <c r="B116" s="54"/>
      <c r="C116" s="54"/>
      <c r="D116" s="54"/>
      <c r="E116" s="54"/>
      <c r="F116" s="54"/>
      <c r="G116" s="54"/>
      <c r="H116" s="54"/>
      <c r="I116" s="54"/>
      <c r="J116" s="2"/>
      <c r="K116" s="2"/>
      <c r="L116" s="2"/>
      <c r="M116" s="2"/>
      <c r="N116" s="54"/>
      <c r="O116" s="54"/>
      <c r="P116" s="54"/>
      <c r="Q116" s="54"/>
      <c r="R116" s="54"/>
      <c r="S116" s="54"/>
      <c r="T116" s="54"/>
      <c r="U116" s="2"/>
      <c r="V116" s="2"/>
      <c r="W116" s="2"/>
      <c r="X116" s="2"/>
      <c r="Y116" s="259"/>
      <c r="Z116" s="2"/>
      <c r="AA116" s="264">
        <v>112</v>
      </c>
      <c r="AB116" s="16" t="str">
        <f t="shared" si="114"/>
        <v/>
      </c>
      <c r="AC116" s="16" t="str">
        <f t="shared" si="115"/>
        <v/>
      </c>
      <c r="AD116" s="16" t="str">
        <f t="shared" si="81"/>
        <v/>
      </c>
      <c r="AE116" s="16" t="str">
        <f t="shared" si="82"/>
        <v/>
      </c>
      <c r="AF116" s="16" t="str">
        <f t="shared" si="83"/>
        <v/>
      </c>
      <c r="AG116" s="16" t="str">
        <f t="shared" si="116"/>
        <v/>
      </c>
      <c r="AH116" s="16" t="str">
        <f t="shared" si="117"/>
        <v/>
      </c>
      <c r="AI116" s="29" t="str">
        <f t="shared" si="84"/>
        <v/>
      </c>
      <c r="AJ116" s="29" t="str">
        <f t="shared" si="85"/>
        <v/>
      </c>
      <c r="AK116" s="2"/>
      <c r="AL116" s="2"/>
      <c r="AM116" s="2"/>
      <c r="AN116" s="2"/>
      <c r="AO116" s="2"/>
      <c r="AP116" s="2"/>
      <c r="AQ116" s="2"/>
      <c r="AR116" s="2"/>
      <c r="AS116" s="2"/>
      <c r="AT116" s="2"/>
      <c r="AU116" s="2"/>
      <c r="AV116" s="2"/>
      <c r="AW116" s="2"/>
      <c r="AX116" s="2"/>
      <c r="AY116" s="2"/>
      <c r="AZ116" s="2"/>
      <c r="BA116" s="2"/>
      <c r="BB116" s="2"/>
      <c r="BC116" s="2"/>
      <c r="BF116" s="208"/>
      <c r="BG116" s="215" t="str">
        <f t="shared" si="90"/>
        <v/>
      </c>
      <c r="BH116" s="217" t="str">
        <f t="shared" si="91"/>
        <v/>
      </c>
      <c r="BI116" s="229" t="str">
        <f t="shared" si="92"/>
        <v/>
      </c>
      <c r="BJ116" s="215" t="str">
        <f t="shared" si="93"/>
        <v/>
      </c>
      <c r="BK116" s="217" t="str">
        <f t="shared" si="94"/>
        <v/>
      </c>
      <c r="BL116" s="229" t="str">
        <f t="shared" si="95"/>
        <v/>
      </c>
      <c r="BM116" s="215" t="str">
        <f t="shared" si="96"/>
        <v/>
      </c>
      <c r="BN116" s="217" t="str">
        <f t="shared" si="97"/>
        <v/>
      </c>
      <c r="BO116" s="229" t="str">
        <f t="shared" si="98"/>
        <v/>
      </c>
      <c r="BP116" s="215" t="str">
        <f t="shared" si="99"/>
        <v/>
      </c>
      <c r="BQ116" s="217" t="str">
        <f t="shared" si="100"/>
        <v/>
      </c>
      <c r="BR116" s="229" t="str">
        <f t="shared" si="101"/>
        <v/>
      </c>
      <c r="BS116" s="215" t="str">
        <f t="shared" si="102"/>
        <v/>
      </c>
      <c r="BT116" s="217" t="str">
        <f t="shared" si="103"/>
        <v/>
      </c>
      <c r="BU116" s="229" t="str">
        <f t="shared" si="104"/>
        <v/>
      </c>
      <c r="BV116" s="215" t="str">
        <f t="shared" si="105"/>
        <v/>
      </c>
      <c r="BW116" s="217" t="str">
        <f t="shared" si="106"/>
        <v/>
      </c>
      <c r="BX116" s="229" t="str">
        <f t="shared" si="107"/>
        <v/>
      </c>
      <c r="BY116" s="215" t="str">
        <f t="shared" si="108"/>
        <v/>
      </c>
      <c r="BZ116" s="217" t="str">
        <f t="shared" si="109"/>
        <v/>
      </c>
      <c r="CA116" s="229" t="str">
        <f t="shared" si="110"/>
        <v/>
      </c>
      <c r="CB116" s="215" t="str">
        <f t="shared" si="111"/>
        <v/>
      </c>
      <c r="CC116" s="217" t="str">
        <f t="shared" si="112"/>
        <v/>
      </c>
      <c r="CD116" s="229" t="str">
        <f t="shared" si="113"/>
        <v/>
      </c>
    </row>
    <row r="117" spans="1:82" x14ac:dyDescent="0.25">
      <c r="A117" s="48"/>
      <c r="B117" s="54"/>
      <c r="C117" s="54"/>
      <c r="D117" s="54"/>
      <c r="E117" s="54"/>
      <c r="F117" s="54"/>
      <c r="G117" s="54"/>
      <c r="H117" s="54"/>
      <c r="I117" s="54"/>
      <c r="J117" s="2"/>
      <c r="K117" s="2"/>
      <c r="L117" s="2"/>
      <c r="M117" s="2"/>
      <c r="N117" s="54"/>
      <c r="O117" s="54"/>
      <c r="P117" s="54"/>
      <c r="Q117" s="54"/>
      <c r="R117" s="54"/>
      <c r="S117" s="54"/>
      <c r="T117" s="54"/>
      <c r="U117" s="2"/>
      <c r="V117" s="2"/>
      <c r="W117" s="2"/>
      <c r="X117" s="2"/>
      <c r="Y117" s="259"/>
      <c r="Z117" s="2"/>
      <c r="AA117" s="264">
        <v>113</v>
      </c>
      <c r="AB117" s="16" t="str">
        <f t="shared" si="114"/>
        <v/>
      </c>
      <c r="AC117" s="16" t="str">
        <f t="shared" si="115"/>
        <v/>
      </c>
      <c r="AD117" s="16" t="str">
        <f t="shared" si="81"/>
        <v/>
      </c>
      <c r="AE117" s="16" t="str">
        <f t="shared" si="82"/>
        <v/>
      </c>
      <c r="AF117" s="16" t="str">
        <f t="shared" si="83"/>
        <v/>
      </c>
      <c r="AG117" s="16" t="str">
        <f t="shared" si="116"/>
        <v/>
      </c>
      <c r="AH117" s="16" t="str">
        <f t="shared" si="117"/>
        <v/>
      </c>
      <c r="AI117" s="29" t="str">
        <f t="shared" si="84"/>
        <v/>
      </c>
      <c r="AJ117" s="29" t="str">
        <f t="shared" si="85"/>
        <v/>
      </c>
      <c r="AK117" s="2"/>
      <c r="AL117" s="2"/>
      <c r="AM117" s="2"/>
      <c r="AN117" s="2"/>
      <c r="AO117" s="2"/>
      <c r="AP117" s="2"/>
      <c r="AQ117" s="2"/>
      <c r="AR117" s="2"/>
      <c r="AS117" s="2"/>
      <c r="AT117" s="2"/>
      <c r="AU117" s="2"/>
      <c r="AV117" s="2"/>
      <c r="AW117" s="2"/>
      <c r="AX117" s="2"/>
      <c r="AY117" s="2"/>
      <c r="AZ117" s="2"/>
      <c r="BA117" s="2"/>
      <c r="BB117" s="2"/>
      <c r="BC117" s="2"/>
      <c r="BF117" s="193"/>
      <c r="BG117" s="215" t="str">
        <f t="shared" si="90"/>
        <v/>
      </c>
      <c r="BH117" s="217" t="str">
        <f t="shared" si="91"/>
        <v/>
      </c>
      <c r="BI117" s="229" t="str">
        <f t="shared" si="92"/>
        <v/>
      </c>
      <c r="BJ117" s="215" t="str">
        <f t="shared" si="93"/>
        <v/>
      </c>
      <c r="BK117" s="217" t="str">
        <f t="shared" si="94"/>
        <v/>
      </c>
      <c r="BL117" s="229" t="str">
        <f t="shared" si="95"/>
        <v/>
      </c>
      <c r="BM117" s="215" t="str">
        <f t="shared" si="96"/>
        <v/>
      </c>
      <c r="BN117" s="217" t="str">
        <f t="shared" si="97"/>
        <v/>
      </c>
      <c r="BO117" s="229" t="str">
        <f t="shared" si="98"/>
        <v/>
      </c>
      <c r="BP117" s="215" t="str">
        <f t="shared" si="99"/>
        <v/>
      </c>
      <c r="BQ117" s="217" t="str">
        <f t="shared" si="100"/>
        <v/>
      </c>
      <c r="BR117" s="229" t="str">
        <f t="shared" si="101"/>
        <v/>
      </c>
      <c r="BS117" s="215" t="str">
        <f t="shared" si="102"/>
        <v/>
      </c>
      <c r="BT117" s="217" t="str">
        <f t="shared" si="103"/>
        <v/>
      </c>
      <c r="BU117" s="229" t="str">
        <f t="shared" si="104"/>
        <v/>
      </c>
      <c r="BV117" s="215" t="str">
        <f t="shared" si="105"/>
        <v/>
      </c>
      <c r="BW117" s="217" t="str">
        <f t="shared" si="106"/>
        <v/>
      </c>
      <c r="BX117" s="229" t="str">
        <f t="shared" si="107"/>
        <v/>
      </c>
      <c r="BY117" s="215" t="str">
        <f t="shared" si="108"/>
        <v/>
      </c>
      <c r="BZ117" s="217" t="str">
        <f t="shared" si="109"/>
        <v/>
      </c>
      <c r="CA117" s="229" t="str">
        <f t="shared" si="110"/>
        <v/>
      </c>
      <c r="CB117" s="215" t="str">
        <f t="shared" si="111"/>
        <v/>
      </c>
      <c r="CC117" s="217" t="str">
        <f t="shared" si="112"/>
        <v/>
      </c>
      <c r="CD117" s="229" t="str">
        <f t="shared" si="113"/>
        <v/>
      </c>
    </row>
    <row r="118" spans="1:82" x14ac:dyDescent="0.25">
      <c r="A118" s="48"/>
      <c r="B118" s="54"/>
      <c r="C118" s="54"/>
      <c r="D118" s="54"/>
      <c r="E118" s="54"/>
      <c r="F118" s="54"/>
      <c r="G118" s="54"/>
      <c r="H118" s="54"/>
      <c r="I118" s="54"/>
      <c r="J118" s="2"/>
      <c r="K118" s="2"/>
      <c r="L118" s="2"/>
      <c r="M118" s="2"/>
      <c r="N118" s="54"/>
      <c r="O118" s="54"/>
      <c r="P118" s="54"/>
      <c r="Q118" s="54"/>
      <c r="R118" s="54"/>
      <c r="S118" s="54"/>
      <c r="T118" s="54"/>
      <c r="U118" s="2"/>
      <c r="V118" s="2"/>
      <c r="W118" s="2"/>
      <c r="X118" s="2"/>
      <c r="Y118" s="259"/>
      <c r="Z118" s="2"/>
      <c r="AA118" s="264">
        <v>114</v>
      </c>
      <c r="AB118" s="16" t="str">
        <f t="shared" si="114"/>
        <v/>
      </c>
      <c r="AC118" s="16" t="str">
        <f t="shared" si="115"/>
        <v/>
      </c>
      <c r="AD118" s="16" t="str">
        <f t="shared" si="81"/>
        <v/>
      </c>
      <c r="AE118" s="16" t="str">
        <f t="shared" si="82"/>
        <v/>
      </c>
      <c r="AF118" s="16" t="str">
        <f t="shared" si="83"/>
        <v/>
      </c>
      <c r="AG118" s="16" t="str">
        <f t="shared" si="116"/>
        <v/>
      </c>
      <c r="AH118" s="16" t="str">
        <f t="shared" si="117"/>
        <v/>
      </c>
      <c r="AI118" s="29" t="str">
        <f t="shared" si="84"/>
        <v/>
      </c>
      <c r="AJ118" s="29" t="str">
        <f t="shared" si="85"/>
        <v/>
      </c>
      <c r="AK118" s="2"/>
      <c r="AL118" s="2"/>
      <c r="AM118" s="2"/>
      <c r="AN118" s="2"/>
      <c r="AO118" s="2"/>
      <c r="AP118" s="2"/>
      <c r="AQ118" s="2"/>
      <c r="AR118" s="2"/>
      <c r="AS118" s="2"/>
      <c r="AT118" s="2"/>
      <c r="AU118" s="2"/>
      <c r="AV118" s="2"/>
      <c r="AW118" s="2"/>
      <c r="AX118" s="2"/>
      <c r="AY118" s="2"/>
      <c r="AZ118" s="2"/>
      <c r="BA118" s="2"/>
      <c r="BB118" s="2"/>
      <c r="BC118" s="2"/>
      <c r="BG118" s="215" t="str">
        <f t="shared" si="90"/>
        <v/>
      </c>
      <c r="BH118" s="217" t="str">
        <f t="shared" si="91"/>
        <v/>
      </c>
      <c r="BI118" s="217" t="str">
        <f t="shared" si="92"/>
        <v/>
      </c>
      <c r="BJ118" s="215" t="str">
        <f t="shared" si="93"/>
        <v/>
      </c>
      <c r="BK118" s="217" t="str">
        <f t="shared" si="94"/>
        <v/>
      </c>
      <c r="BL118" s="217" t="str">
        <f t="shared" si="95"/>
        <v/>
      </c>
      <c r="BM118" s="215" t="str">
        <f t="shared" si="96"/>
        <v/>
      </c>
      <c r="BN118" s="217" t="str">
        <f t="shared" si="97"/>
        <v/>
      </c>
      <c r="BO118" s="217" t="str">
        <f t="shared" si="98"/>
        <v/>
      </c>
      <c r="BP118" s="215" t="str">
        <f t="shared" si="99"/>
        <v/>
      </c>
      <c r="BQ118" s="217" t="str">
        <f t="shared" si="100"/>
        <v/>
      </c>
      <c r="BR118" s="217" t="str">
        <f t="shared" si="101"/>
        <v/>
      </c>
      <c r="BS118" s="215" t="str">
        <f t="shared" si="102"/>
        <v/>
      </c>
      <c r="BT118" s="217" t="str">
        <f t="shared" si="103"/>
        <v/>
      </c>
      <c r="BU118" s="217" t="str">
        <f t="shared" si="104"/>
        <v/>
      </c>
      <c r="BV118" s="215" t="str">
        <f t="shared" si="105"/>
        <v/>
      </c>
      <c r="BW118" s="217" t="str">
        <f t="shared" si="106"/>
        <v/>
      </c>
      <c r="BX118" s="217" t="str">
        <f t="shared" si="107"/>
        <v/>
      </c>
      <c r="BY118" s="215" t="str">
        <f t="shared" si="108"/>
        <v/>
      </c>
      <c r="BZ118" s="217" t="str">
        <f t="shared" si="109"/>
        <v/>
      </c>
      <c r="CA118" s="217" t="str">
        <f t="shared" si="110"/>
        <v/>
      </c>
      <c r="CB118" s="215" t="str">
        <f t="shared" si="111"/>
        <v/>
      </c>
      <c r="CC118" s="217" t="str">
        <f t="shared" si="112"/>
        <v/>
      </c>
      <c r="CD118" s="217" t="str">
        <f t="shared" si="113"/>
        <v/>
      </c>
    </row>
    <row r="119" spans="1:82" x14ac:dyDescent="0.25">
      <c r="A119" s="48"/>
      <c r="B119" s="54"/>
      <c r="C119" s="54"/>
      <c r="D119" s="54"/>
      <c r="E119" s="54"/>
      <c r="F119" s="54"/>
      <c r="G119" s="54"/>
      <c r="H119" s="54"/>
      <c r="I119" s="54"/>
      <c r="J119" s="2"/>
      <c r="K119" s="2"/>
      <c r="L119" s="2"/>
      <c r="M119" s="2"/>
      <c r="N119" s="54"/>
      <c r="O119" s="54"/>
      <c r="P119" s="54"/>
      <c r="Q119" s="54"/>
      <c r="R119" s="54"/>
      <c r="S119" s="54"/>
      <c r="T119" s="54"/>
      <c r="U119" s="2"/>
      <c r="V119" s="2"/>
      <c r="W119" s="2"/>
      <c r="X119" s="2"/>
      <c r="Y119" s="259"/>
      <c r="Z119" s="2"/>
      <c r="AA119" s="264">
        <v>115</v>
      </c>
      <c r="AB119" s="16" t="str">
        <f t="shared" si="114"/>
        <v/>
      </c>
      <c r="AC119" s="16" t="str">
        <f t="shared" si="115"/>
        <v/>
      </c>
      <c r="AD119" s="16" t="str">
        <f t="shared" si="81"/>
        <v/>
      </c>
      <c r="AE119" s="16" t="str">
        <f t="shared" si="82"/>
        <v/>
      </c>
      <c r="AF119" s="16" t="str">
        <f t="shared" si="83"/>
        <v/>
      </c>
      <c r="AG119" s="16" t="str">
        <f t="shared" si="116"/>
        <v/>
      </c>
      <c r="AH119" s="16" t="str">
        <f t="shared" si="117"/>
        <v/>
      </c>
      <c r="AI119" s="29" t="str">
        <f t="shared" si="84"/>
        <v/>
      </c>
      <c r="AJ119" s="29" t="str">
        <f t="shared" si="85"/>
        <v/>
      </c>
      <c r="AK119" s="2"/>
      <c r="AL119" s="2"/>
      <c r="AM119" s="2"/>
      <c r="AN119" s="2"/>
      <c r="AO119" s="2"/>
      <c r="AP119" s="2"/>
      <c r="AQ119" s="2"/>
      <c r="AR119" s="2"/>
      <c r="AS119" s="2"/>
      <c r="AT119" s="2"/>
      <c r="AU119" s="2"/>
      <c r="AV119" s="2"/>
      <c r="AW119" s="2"/>
      <c r="AX119" s="2"/>
      <c r="AY119" s="2"/>
      <c r="AZ119" s="2"/>
      <c r="BA119" s="2"/>
      <c r="BB119" s="2"/>
      <c r="BC119" s="2"/>
      <c r="BG119" s="215" t="str">
        <f t="shared" si="90"/>
        <v/>
      </c>
      <c r="BH119" s="217" t="str">
        <f t="shared" si="91"/>
        <v/>
      </c>
      <c r="BI119" s="217" t="str">
        <f t="shared" si="92"/>
        <v/>
      </c>
      <c r="BJ119" s="215" t="str">
        <f t="shared" si="93"/>
        <v/>
      </c>
      <c r="BK119" s="217" t="str">
        <f t="shared" si="94"/>
        <v/>
      </c>
      <c r="BL119" s="217" t="str">
        <f t="shared" si="95"/>
        <v/>
      </c>
      <c r="BM119" s="215" t="str">
        <f t="shared" si="96"/>
        <v/>
      </c>
      <c r="BN119" s="217" t="str">
        <f t="shared" si="97"/>
        <v/>
      </c>
      <c r="BO119" s="217" t="str">
        <f t="shared" si="98"/>
        <v/>
      </c>
      <c r="BP119" s="215" t="str">
        <f t="shared" si="99"/>
        <v/>
      </c>
      <c r="BQ119" s="217" t="str">
        <f t="shared" si="100"/>
        <v/>
      </c>
      <c r="BR119" s="217" t="str">
        <f t="shared" si="101"/>
        <v/>
      </c>
      <c r="BS119" s="215" t="str">
        <f t="shared" si="102"/>
        <v/>
      </c>
      <c r="BT119" s="217" t="str">
        <f t="shared" si="103"/>
        <v/>
      </c>
      <c r="BU119" s="217" t="str">
        <f t="shared" si="104"/>
        <v/>
      </c>
      <c r="BV119" s="215" t="str">
        <f t="shared" si="105"/>
        <v/>
      </c>
      <c r="BW119" s="217" t="str">
        <f t="shared" si="106"/>
        <v/>
      </c>
      <c r="BX119" s="217" t="str">
        <f t="shared" si="107"/>
        <v/>
      </c>
      <c r="BY119" s="215" t="str">
        <f t="shared" si="108"/>
        <v/>
      </c>
      <c r="BZ119" s="217" t="str">
        <f t="shared" si="109"/>
        <v/>
      </c>
      <c r="CA119" s="217" t="str">
        <f t="shared" si="110"/>
        <v/>
      </c>
      <c r="CB119" s="215" t="str">
        <f t="shared" si="111"/>
        <v/>
      </c>
      <c r="CC119" s="217" t="str">
        <f t="shared" si="112"/>
        <v/>
      </c>
      <c r="CD119" s="217" t="str">
        <f t="shared" si="113"/>
        <v/>
      </c>
    </row>
    <row r="120" spans="1:82" x14ac:dyDescent="0.25">
      <c r="A120" s="48"/>
      <c r="B120" s="54"/>
      <c r="C120" s="54"/>
      <c r="D120" s="54"/>
      <c r="E120" s="54"/>
      <c r="F120" s="54"/>
      <c r="G120" s="54"/>
      <c r="H120" s="54"/>
      <c r="I120" s="54"/>
      <c r="J120" s="2"/>
      <c r="K120" s="2"/>
      <c r="L120" s="2"/>
      <c r="M120" s="2"/>
      <c r="N120" s="2"/>
      <c r="O120" s="2"/>
      <c r="P120" s="2"/>
      <c r="Q120" s="2"/>
      <c r="R120" s="2"/>
      <c r="S120" s="2"/>
      <c r="T120" s="2"/>
      <c r="U120" s="2"/>
      <c r="V120" s="2"/>
      <c r="W120" s="2"/>
      <c r="X120" s="2"/>
      <c r="Y120" s="259"/>
      <c r="Z120" s="2"/>
      <c r="AA120" s="264">
        <v>116</v>
      </c>
      <c r="AB120" s="16" t="str">
        <f t="shared" si="114"/>
        <v/>
      </c>
      <c r="AC120" s="16" t="str">
        <f t="shared" si="115"/>
        <v/>
      </c>
      <c r="AD120" s="16" t="str">
        <f t="shared" si="81"/>
        <v/>
      </c>
      <c r="AE120" s="16" t="str">
        <f t="shared" si="82"/>
        <v/>
      </c>
      <c r="AF120" s="16" t="str">
        <f t="shared" si="83"/>
        <v/>
      </c>
      <c r="AG120" s="16" t="str">
        <f t="shared" si="116"/>
        <v/>
      </c>
      <c r="AH120" s="16" t="str">
        <f t="shared" si="117"/>
        <v/>
      </c>
      <c r="AI120" s="29" t="str">
        <f t="shared" si="84"/>
        <v/>
      </c>
      <c r="AJ120" s="29" t="str">
        <f t="shared" si="85"/>
        <v/>
      </c>
      <c r="AK120" s="2"/>
      <c r="AL120" s="2"/>
      <c r="AM120" s="2"/>
      <c r="AN120" s="2"/>
      <c r="AO120" s="2"/>
      <c r="AP120" s="2"/>
      <c r="AQ120" s="2"/>
      <c r="AR120" s="2"/>
      <c r="AS120" s="2"/>
      <c r="AT120" s="2"/>
      <c r="AU120" s="2"/>
      <c r="AV120" s="2"/>
      <c r="AW120" s="2"/>
      <c r="AX120" s="2"/>
      <c r="AY120" s="2"/>
      <c r="AZ120" s="2"/>
      <c r="BA120" s="2"/>
      <c r="BB120" s="2"/>
      <c r="BC120" s="2"/>
      <c r="BG120" s="215" t="str">
        <f t="shared" si="90"/>
        <v/>
      </c>
      <c r="BH120" s="217" t="str">
        <f t="shared" si="91"/>
        <v/>
      </c>
      <c r="BI120" s="217" t="str">
        <f t="shared" si="92"/>
        <v/>
      </c>
      <c r="BJ120" s="215" t="str">
        <f t="shared" si="93"/>
        <v/>
      </c>
      <c r="BK120" s="217" t="str">
        <f t="shared" si="94"/>
        <v/>
      </c>
      <c r="BL120" s="217" t="str">
        <f t="shared" si="95"/>
        <v/>
      </c>
      <c r="BM120" s="215" t="str">
        <f t="shared" si="96"/>
        <v/>
      </c>
      <c r="BN120" s="217" t="str">
        <f t="shared" si="97"/>
        <v/>
      </c>
      <c r="BO120" s="217" t="str">
        <f t="shared" si="98"/>
        <v/>
      </c>
      <c r="BP120" s="215" t="str">
        <f t="shared" si="99"/>
        <v/>
      </c>
      <c r="BQ120" s="217" t="str">
        <f t="shared" si="100"/>
        <v/>
      </c>
      <c r="BR120" s="217" t="str">
        <f t="shared" si="101"/>
        <v/>
      </c>
      <c r="BS120" s="215" t="str">
        <f t="shared" si="102"/>
        <v/>
      </c>
      <c r="BT120" s="217" t="str">
        <f t="shared" si="103"/>
        <v/>
      </c>
      <c r="BU120" s="217" t="str">
        <f t="shared" si="104"/>
        <v/>
      </c>
      <c r="BV120" s="215" t="str">
        <f t="shared" si="105"/>
        <v/>
      </c>
      <c r="BW120" s="217" t="str">
        <f t="shared" si="106"/>
        <v/>
      </c>
      <c r="BX120" s="217" t="str">
        <f t="shared" si="107"/>
        <v/>
      </c>
      <c r="BY120" s="215" t="str">
        <f t="shared" si="108"/>
        <v/>
      </c>
      <c r="BZ120" s="217" t="str">
        <f t="shared" si="109"/>
        <v/>
      </c>
      <c r="CA120" s="217" t="str">
        <f t="shared" si="110"/>
        <v/>
      </c>
      <c r="CB120" s="215" t="str">
        <f t="shared" si="111"/>
        <v/>
      </c>
      <c r="CC120" s="217" t="str">
        <f t="shared" si="112"/>
        <v/>
      </c>
      <c r="CD120" s="217" t="str">
        <f t="shared" si="113"/>
        <v/>
      </c>
    </row>
    <row r="121" spans="1:82" x14ac:dyDescent="0.25">
      <c r="A121" s="48"/>
      <c r="B121" s="54"/>
      <c r="C121" s="54"/>
      <c r="D121" s="54"/>
      <c r="E121" s="54"/>
      <c r="F121" s="54"/>
      <c r="G121" s="54"/>
      <c r="H121" s="54"/>
      <c r="I121" s="54"/>
      <c r="J121" s="2"/>
      <c r="K121" s="2"/>
      <c r="L121" s="2"/>
      <c r="M121" s="2"/>
      <c r="N121" s="2"/>
      <c r="O121" s="2"/>
      <c r="P121" s="2"/>
      <c r="Q121" s="2"/>
      <c r="R121" s="2"/>
      <c r="S121" s="2"/>
      <c r="T121" s="2"/>
      <c r="U121" s="2"/>
      <c r="V121" s="2"/>
      <c r="W121" s="2"/>
      <c r="X121" s="2"/>
      <c r="Y121" s="259"/>
      <c r="Z121" s="2"/>
      <c r="AA121" s="264">
        <v>117</v>
      </c>
      <c r="AB121" s="16" t="str">
        <f t="shared" si="114"/>
        <v/>
      </c>
      <c r="AC121" s="16" t="str">
        <f t="shared" si="115"/>
        <v/>
      </c>
      <c r="AD121" s="16" t="str">
        <f t="shared" si="81"/>
        <v/>
      </c>
      <c r="AE121" s="16" t="str">
        <f t="shared" si="82"/>
        <v/>
      </c>
      <c r="AF121" s="16" t="str">
        <f t="shared" si="83"/>
        <v/>
      </c>
      <c r="AG121" s="16" t="str">
        <f t="shared" si="116"/>
        <v/>
      </c>
      <c r="AH121" s="16" t="str">
        <f t="shared" si="117"/>
        <v/>
      </c>
      <c r="AI121" s="29" t="str">
        <f t="shared" si="84"/>
        <v/>
      </c>
      <c r="AJ121" s="29" t="str">
        <f t="shared" si="85"/>
        <v/>
      </c>
      <c r="AK121" s="2"/>
      <c r="AL121" s="2"/>
      <c r="AM121" s="2"/>
      <c r="AN121" s="2"/>
      <c r="AO121" s="2"/>
      <c r="AP121" s="2"/>
      <c r="AQ121" s="2"/>
      <c r="AR121" s="2"/>
      <c r="AS121" s="2"/>
      <c r="AT121" s="2"/>
      <c r="AU121" s="2"/>
      <c r="AV121" s="2"/>
      <c r="AW121" s="2"/>
      <c r="AX121" s="2"/>
      <c r="AY121" s="2"/>
      <c r="AZ121" s="2"/>
      <c r="BA121" s="2"/>
      <c r="BB121" s="2"/>
      <c r="BC121" s="2"/>
      <c r="BG121" s="215" t="str">
        <f t="shared" si="90"/>
        <v/>
      </c>
      <c r="BH121" s="217" t="str">
        <f t="shared" si="91"/>
        <v/>
      </c>
      <c r="BI121" s="217" t="str">
        <f t="shared" si="92"/>
        <v/>
      </c>
      <c r="BJ121" s="215" t="str">
        <f t="shared" si="93"/>
        <v/>
      </c>
      <c r="BK121" s="217" t="str">
        <f t="shared" si="94"/>
        <v/>
      </c>
      <c r="BL121" s="217" t="str">
        <f t="shared" si="95"/>
        <v/>
      </c>
      <c r="BM121" s="215" t="str">
        <f t="shared" si="96"/>
        <v/>
      </c>
      <c r="BN121" s="217" t="str">
        <f t="shared" si="97"/>
        <v/>
      </c>
      <c r="BO121" s="217" t="str">
        <f t="shared" si="98"/>
        <v/>
      </c>
      <c r="BP121" s="215" t="str">
        <f t="shared" si="99"/>
        <v/>
      </c>
      <c r="BQ121" s="217" t="str">
        <f t="shared" si="100"/>
        <v/>
      </c>
      <c r="BR121" s="217" t="str">
        <f t="shared" si="101"/>
        <v/>
      </c>
      <c r="BS121" s="215" t="str">
        <f t="shared" si="102"/>
        <v/>
      </c>
      <c r="BT121" s="217" t="str">
        <f t="shared" si="103"/>
        <v/>
      </c>
      <c r="BU121" s="217" t="str">
        <f t="shared" si="104"/>
        <v/>
      </c>
      <c r="BV121" s="215" t="str">
        <f t="shared" si="105"/>
        <v/>
      </c>
      <c r="BW121" s="217" t="str">
        <f t="shared" si="106"/>
        <v/>
      </c>
      <c r="BX121" s="217" t="str">
        <f t="shared" si="107"/>
        <v/>
      </c>
      <c r="BY121" s="215" t="str">
        <f t="shared" si="108"/>
        <v/>
      </c>
      <c r="BZ121" s="217" t="str">
        <f t="shared" si="109"/>
        <v/>
      </c>
      <c r="CA121" s="217" t="str">
        <f t="shared" si="110"/>
        <v/>
      </c>
      <c r="CB121" s="215" t="str">
        <f t="shared" si="111"/>
        <v/>
      </c>
      <c r="CC121" s="217" t="str">
        <f t="shared" si="112"/>
        <v/>
      </c>
      <c r="CD121" s="217" t="str">
        <f t="shared" si="113"/>
        <v/>
      </c>
    </row>
    <row r="122" spans="1:82" x14ac:dyDescent="0.25">
      <c r="A122" s="48"/>
      <c r="B122" s="54"/>
      <c r="C122" s="54"/>
      <c r="D122" s="54"/>
      <c r="E122" s="54"/>
      <c r="F122" s="54"/>
      <c r="G122" s="54"/>
      <c r="H122" s="54"/>
      <c r="I122" s="54"/>
      <c r="J122" s="2"/>
      <c r="K122" s="2"/>
      <c r="L122" s="2"/>
      <c r="M122" s="2"/>
      <c r="N122" s="2"/>
      <c r="O122" s="2"/>
      <c r="P122" s="2"/>
      <c r="Q122" s="2"/>
      <c r="R122" s="2"/>
      <c r="S122" s="2"/>
      <c r="T122" s="2"/>
      <c r="U122" s="2"/>
      <c r="V122" s="2"/>
      <c r="W122" s="2"/>
      <c r="X122" s="2"/>
      <c r="Y122" s="259"/>
      <c r="Z122" s="2"/>
      <c r="AA122" s="264">
        <v>118</v>
      </c>
      <c r="AB122" s="16" t="str">
        <f t="shared" si="114"/>
        <v/>
      </c>
      <c r="AC122" s="16" t="str">
        <f t="shared" si="115"/>
        <v/>
      </c>
      <c r="AD122" s="16" t="str">
        <f t="shared" si="81"/>
        <v/>
      </c>
      <c r="AE122" s="16" t="str">
        <f t="shared" si="82"/>
        <v/>
      </c>
      <c r="AF122" s="16" t="str">
        <f t="shared" si="83"/>
        <v/>
      </c>
      <c r="AG122" s="16" t="str">
        <f t="shared" si="116"/>
        <v/>
      </c>
      <c r="AH122" s="16" t="str">
        <f t="shared" si="117"/>
        <v/>
      </c>
      <c r="AI122" s="29" t="str">
        <f t="shared" si="84"/>
        <v/>
      </c>
      <c r="AJ122" s="29" t="str">
        <f t="shared" si="85"/>
        <v/>
      </c>
      <c r="AK122" s="2"/>
      <c r="AL122" s="2"/>
      <c r="AM122" s="2"/>
      <c r="AN122" s="2"/>
      <c r="AO122" s="2"/>
      <c r="AP122" s="2"/>
      <c r="AQ122" s="2"/>
      <c r="AR122" s="2"/>
      <c r="AS122" s="2"/>
      <c r="AT122" s="2"/>
      <c r="AU122" s="2"/>
      <c r="AV122" s="2"/>
      <c r="AW122" s="2"/>
      <c r="AX122" s="2"/>
      <c r="AY122" s="2"/>
      <c r="AZ122" s="2"/>
      <c r="BA122" s="2"/>
      <c r="BB122" s="2"/>
      <c r="BC122" s="2"/>
      <c r="BG122" s="215" t="str">
        <f t="shared" si="90"/>
        <v/>
      </c>
      <c r="BH122" s="217" t="str">
        <f t="shared" si="91"/>
        <v/>
      </c>
      <c r="BI122" s="217" t="str">
        <f t="shared" si="92"/>
        <v/>
      </c>
      <c r="BJ122" s="215" t="str">
        <f t="shared" si="93"/>
        <v/>
      </c>
      <c r="BK122" s="217" t="str">
        <f t="shared" si="94"/>
        <v/>
      </c>
      <c r="BL122" s="217" t="str">
        <f t="shared" si="95"/>
        <v/>
      </c>
      <c r="BM122" s="215" t="str">
        <f t="shared" si="96"/>
        <v/>
      </c>
      <c r="BN122" s="217" t="str">
        <f t="shared" si="97"/>
        <v/>
      </c>
      <c r="BO122" s="217" t="str">
        <f t="shared" si="98"/>
        <v/>
      </c>
      <c r="BP122" s="215" t="str">
        <f t="shared" si="99"/>
        <v/>
      </c>
      <c r="BQ122" s="217" t="str">
        <f t="shared" si="100"/>
        <v/>
      </c>
      <c r="BR122" s="217" t="str">
        <f t="shared" si="101"/>
        <v/>
      </c>
      <c r="BS122" s="215" t="str">
        <f t="shared" si="102"/>
        <v/>
      </c>
      <c r="BT122" s="217" t="str">
        <f t="shared" si="103"/>
        <v/>
      </c>
      <c r="BU122" s="217" t="str">
        <f t="shared" si="104"/>
        <v/>
      </c>
      <c r="BV122" s="215" t="str">
        <f t="shared" si="105"/>
        <v/>
      </c>
      <c r="BW122" s="217" t="str">
        <f t="shared" si="106"/>
        <v/>
      </c>
      <c r="BX122" s="217" t="str">
        <f t="shared" si="107"/>
        <v/>
      </c>
      <c r="BY122" s="215" t="str">
        <f t="shared" si="108"/>
        <v/>
      </c>
      <c r="BZ122" s="217" t="str">
        <f t="shared" si="109"/>
        <v/>
      </c>
      <c r="CA122" s="217" t="str">
        <f t="shared" si="110"/>
        <v/>
      </c>
      <c r="CB122" s="215" t="str">
        <f t="shared" si="111"/>
        <v/>
      </c>
      <c r="CC122" s="217" t="str">
        <f t="shared" si="112"/>
        <v/>
      </c>
      <c r="CD122" s="217" t="str">
        <f t="shared" si="113"/>
        <v/>
      </c>
    </row>
    <row r="123" spans="1:82" x14ac:dyDescent="0.25">
      <c r="A123" s="48"/>
      <c r="B123" s="54"/>
      <c r="C123" s="54"/>
      <c r="D123" s="54"/>
      <c r="E123" s="54"/>
      <c r="F123" s="54"/>
      <c r="G123" s="54"/>
      <c r="H123" s="54"/>
      <c r="I123" s="54"/>
      <c r="J123" s="2"/>
      <c r="K123" s="2"/>
      <c r="L123" s="2"/>
      <c r="M123" s="2"/>
      <c r="N123" s="2"/>
      <c r="O123" s="2"/>
      <c r="P123" s="2"/>
      <c r="Q123" s="2"/>
      <c r="R123" s="2"/>
      <c r="S123" s="2"/>
      <c r="T123" s="2"/>
      <c r="U123" s="2"/>
      <c r="V123" s="2"/>
      <c r="W123" s="2"/>
      <c r="X123" s="2"/>
      <c r="Y123" s="259"/>
      <c r="Z123" s="2"/>
      <c r="AA123" s="264">
        <v>119</v>
      </c>
      <c r="AB123" s="16" t="str">
        <f t="shared" si="114"/>
        <v/>
      </c>
      <c r="AC123" s="16" t="str">
        <f t="shared" si="115"/>
        <v/>
      </c>
      <c r="AD123" s="16" t="str">
        <f t="shared" si="81"/>
        <v/>
      </c>
      <c r="AE123" s="16" t="str">
        <f t="shared" si="82"/>
        <v/>
      </c>
      <c r="AF123" s="16" t="str">
        <f t="shared" si="83"/>
        <v/>
      </c>
      <c r="AG123" s="16" t="str">
        <f t="shared" si="116"/>
        <v/>
      </c>
      <c r="AH123" s="16" t="str">
        <f t="shared" si="117"/>
        <v/>
      </c>
      <c r="AI123" s="29" t="str">
        <f t="shared" si="84"/>
        <v/>
      </c>
      <c r="AJ123" s="29" t="str">
        <f t="shared" si="85"/>
        <v/>
      </c>
      <c r="AK123" s="2"/>
      <c r="AL123" s="2"/>
      <c r="AM123" s="2"/>
      <c r="AN123" s="2"/>
      <c r="AO123" s="2"/>
      <c r="AP123" s="2"/>
      <c r="AQ123" s="2"/>
      <c r="AR123" s="2"/>
      <c r="AS123" s="2"/>
      <c r="AT123" s="2"/>
      <c r="AU123" s="2"/>
      <c r="AV123" s="2"/>
      <c r="AW123" s="2"/>
      <c r="AX123" s="2"/>
      <c r="AY123" s="2"/>
      <c r="AZ123" s="2"/>
      <c r="BA123" s="2"/>
      <c r="BB123" s="2"/>
      <c r="BC123" s="2"/>
      <c r="BG123" s="215" t="str">
        <f t="shared" si="90"/>
        <v/>
      </c>
      <c r="BH123" s="217" t="str">
        <f t="shared" si="91"/>
        <v/>
      </c>
      <c r="BI123" s="217" t="str">
        <f t="shared" si="92"/>
        <v/>
      </c>
      <c r="BJ123" s="215" t="str">
        <f t="shared" si="93"/>
        <v/>
      </c>
      <c r="BK123" s="217" t="str">
        <f t="shared" si="94"/>
        <v/>
      </c>
      <c r="BL123" s="217" t="str">
        <f t="shared" si="95"/>
        <v/>
      </c>
      <c r="BM123" s="215" t="str">
        <f t="shared" si="96"/>
        <v/>
      </c>
      <c r="BN123" s="217" t="str">
        <f t="shared" si="97"/>
        <v/>
      </c>
      <c r="BO123" s="217" t="str">
        <f t="shared" si="98"/>
        <v/>
      </c>
      <c r="BP123" s="215" t="str">
        <f t="shared" si="99"/>
        <v/>
      </c>
      <c r="BQ123" s="217" t="str">
        <f t="shared" si="100"/>
        <v/>
      </c>
      <c r="BR123" s="217" t="str">
        <f t="shared" si="101"/>
        <v/>
      </c>
      <c r="BS123" s="215" t="str">
        <f t="shared" si="102"/>
        <v/>
      </c>
      <c r="BT123" s="217" t="str">
        <f t="shared" si="103"/>
        <v/>
      </c>
      <c r="BU123" s="217" t="str">
        <f t="shared" si="104"/>
        <v/>
      </c>
      <c r="BV123" s="215" t="str">
        <f t="shared" si="105"/>
        <v/>
      </c>
      <c r="BW123" s="217" t="str">
        <f t="shared" si="106"/>
        <v/>
      </c>
      <c r="BX123" s="217" t="str">
        <f t="shared" si="107"/>
        <v/>
      </c>
      <c r="BY123" s="215" t="str">
        <f t="shared" si="108"/>
        <v/>
      </c>
      <c r="BZ123" s="217" t="str">
        <f t="shared" si="109"/>
        <v/>
      </c>
      <c r="CA123" s="217" t="str">
        <f t="shared" si="110"/>
        <v/>
      </c>
      <c r="CB123" s="215" t="str">
        <f t="shared" si="111"/>
        <v/>
      </c>
      <c r="CC123" s="217" t="str">
        <f t="shared" si="112"/>
        <v/>
      </c>
      <c r="CD123" s="217" t="str">
        <f t="shared" si="113"/>
        <v/>
      </c>
    </row>
    <row r="124" spans="1:82" x14ac:dyDescent="0.25">
      <c r="A124" s="48"/>
      <c r="B124" s="54"/>
      <c r="C124" s="54"/>
      <c r="D124" s="54"/>
      <c r="E124" s="54"/>
      <c r="F124" s="54"/>
      <c r="G124" s="54"/>
      <c r="H124" s="54"/>
      <c r="I124" s="54"/>
      <c r="J124" s="2"/>
      <c r="K124" s="2"/>
      <c r="L124" s="2"/>
      <c r="M124" s="2"/>
      <c r="N124" s="2"/>
      <c r="O124" s="2"/>
      <c r="P124" s="2"/>
      <c r="Q124" s="2"/>
      <c r="R124" s="2"/>
      <c r="S124" s="2"/>
      <c r="T124" s="2"/>
      <c r="U124" s="2"/>
      <c r="V124" s="2"/>
      <c r="W124" s="2"/>
      <c r="X124" s="2"/>
      <c r="Y124" s="259"/>
      <c r="Z124" s="2"/>
      <c r="AA124" s="264">
        <v>120</v>
      </c>
      <c r="AB124" s="16" t="str">
        <f t="shared" si="114"/>
        <v/>
      </c>
      <c r="AC124" s="16" t="str">
        <f t="shared" si="115"/>
        <v/>
      </c>
      <c r="AD124" s="16" t="str">
        <f t="shared" si="81"/>
        <v/>
      </c>
      <c r="AE124" s="16" t="str">
        <f t="shared" si="82"/>
        <v/>
      </c>
      <c r="AF124" s="16" t="str">
        <f t="shared" si="83"/>
        <v/>
      </c>
      <c r="AG124" s="16" t="str">
        <f t="shared" si="116"/>
        <v/>
      </c>
      <c r="AH124" s="16" t="str">
        <f t="shared" si="117"/>
        <v/>
      </c>
      <c r="AI124" s="29" t="str">
        <f t="shared" si="84"/>
        <v/>
      </c>
      <c r="AJ124" s="29" t="str">
        <f t="shared" si="85"/>
        <v/>
      </c>
      <c r="AK124" s="2"/>
      <c r="AL124" s="2"/>
      <c r="AM124" s="2"/>
      <c r="AN124" s="2"/>
      <c r="AO124" s="2"/>
      <c r="AP124" s="2"/>
      <c r="AQ124" s="2"/>
      <c r="AR124" s="2"/>
      <c r="AS124" s="2"/>
      <c r="AT124" s="2"/>
      <c r="AU124" s="2"/>
      <c r="AV124" s="2"/>
      <c r="AW124" s="2"/>
      <c r="AX124" s="2"/>
      <c r="AY124" s="2"/>
      <c r="AZ124" s="2"/>
      <c r="BA124" s="2"/>
      <c r="BB124" s="2"/>
      <c r="BC124" s="2"/>
      <c r="BG124" s="215" t="str">
        <f t="shared" ref="BG124:BG141" si="118">IF($BI$84&gt;=$AA37,$AA37,"")</f>
        <v/>
      </c>
      <c r="BH124" s="217" t="str">
        <f t="shared" ref="BH124:BH141" si="119">IF($BG124&lt;&gt;"",$BI$86+($BI$85)*COS( PI()/180*($BI$88+($BG124-1)*360/$BI$84))/2,"")</f>
        <v/>
      </c>
      <c r="BI124" s="217" t="str">
        <f t="shared" ref="BI124:BI141" si="120">IF($BG124&lt;&gt;"",$BI$87+($BI$85)*SIN( PI()/180*($BI$88+($BG124-1)*360/$BI$84))/2,"")</f>
        <v/>
      </c>
      <c r="BJ124" s="215" t="str">
        <f t="shared" ref="BJ124:BJ141" si="121">IF($BI$84&gt;=$AA87,$AA87,"")</f>
        <v/>
      </c>
      <c r="BK124" s="217" t="str">
        <f t="shared" ref="BK124:BK141" si="122">IF($BJ124&lt;&gt;"",$BI$86+($BI$85)*COS( PI()/180*($BI$88+($BJ124-1)*360/$BI$84))/2,"")</f>
        <v/>
      </c>
      <c r="BL124" s="217" t="str">
        <f t="shared" ref="BL124:BL141" si="123">IF($BJ124&lt;&gt;"",$BI$87+($BI$85)*SIN( PI()/180*($BI$88+($BJ124-1)*360/$BI$84))/2,"")</f>
        <v/>
      </c>
      <c r="BM124" s="215" t="str">
        <f t="shared" ref="BM124:BM141" si="124">IF($BI$84&gt;=$AA137,$AA137,"")</f>
        <v/>
      </c>
      <c r="BN124" s="217" t="str">
        <f t="shared" ref="BN124:BN141" si="125">IF($BM124&lt;&gt;"",$BI$86+($BI$85)*COS( PI()/180*($BI$88+($BM124-1)*360/$BI$84))/2,"")</f>
        <v/>
      </c>
      <c r="BO124" s="217" t="str">
        <f t="shared" ref="BO124:BO141" si="126">IF($BM124&lt;&gt;"",$BI$87+($BI$85)*SIN( PI()/180*($BI$88+($BM124-1)*360/$BI$84))/2,"")</f>
        <v/>
      </c>
      <c r="BP124" s="215" t="str">
        <f t="shared" ref="BP124:BP141" si="127">IF($BI$84&gt;=$AA187,$AA187,"")</f>
        <v/>
      </c>
      <c r="BQ124" s="217" t="str">
        <f t="shared" ref="BQ124:BQ141" si="128">IF($BP124&lt;&gt;"",$BI$86+($BI$85)*COS( PI()/180*($BI$88+($BP124-1)*360/$BI$84))/2,"")</f>
        <v/>
      </c>
      <c r="BR124" s="217" t="str">
        <f t="shared" ref="BR124:BR141" si="129">IF($BP124&lt;&gt;"",$BI$87+($BI$85)*SIN( PI()/180*($BI$88+($BP124-1)*360/$BI$84))/2,"")</f>
        <v/>
      </c>
      <c r="BS124" s="215" t="str">
        <f t="shared" ref="BS124:BS141" si="130">IF($BI$84&gt;=$AA237,$AA237,"")</f>
        <v/>
      </c>
      <c r="BT124" s="217" t="str">
        <f t="shared" ref="BT124:BT141" si="131">IF($BS124&lt;&gt;"",$BI$86+($BI$85)*COS( PI()/180*($BI$88+($BS124-1)*360/$BI$84))/2,"")</f>
        <v/>
      </c>
      <c r="BU124" s="217" t="str">
        <f t="shared" ref="BU124:BU141" si="132">IF($BS124&lt;&gt;"",$BI$87+($BI$85)*SIN( PI()/180*($BI$88+($BS124-1)*360/$BI$84))/2,"")</f>
        <v/>
      </c>
      <c r="BV124" s="215" t="str">
        <f t="shared" ref="BV124:BV141" si="133">IF($BI$84&gt;=$AA287,$AA287,"")</f>
        <v/>
      </c>
      <c r="BW124" s="217" t="str">
        <f t="shared" ref="BW124:BW141" si="134">IF($BV124&lt;&gt;"",$BI$86+($BI$85)*COS( PI()/180*($BI$88+($BV124-1)*360/$BI$84))/2,"")</f>
        <v/>
      </c>
      <c r="BX124" s="217" t="str">
        <f t="shared" ref="BX124:BX141" si="135">IF($BV124&lt;&gt;"",$BI$87+($BI$85)*SIN( PI()/180*($BI$88+($BV124-1)*360/$BI$84))/2,"")</f>
        <v/>
      </c>
      <c r="BY124" s="215" t="str">
        <f t="shared" ref="BY124:BY141" si="136">IF($BI$84&gt;=$AA337,$AA337,"")</f>
        <v/>
      </c>
      <c r="BZ124" s="217" t="str">
        <f t="shared" ref="BZ124:BZ141" si="137">IF($BY124&lt;&gt;"",$BI$86+($BI$85)*COS( PI()/180*($BI$88+($BY124-1)*360/$BI$84))/2,"")</f>
        <v/>
      </c>
      <c r="CA124" s="217" t="str">
        <f t="shared" ref="CA124:CA141" si="138">IF($BY124&lt;&gt;"",$BI$87+($BI$85)*SIN( PI()/180*($BI$88+($BY124-1)*360/$BI$84))/2,"")</f>
        <v/>
      </c>
      <c r="CB124" s="215" t="str">
        <f t="shared" ref="CB124:CB141" si="139">IF($BI$84&gt;=$AA387,$AA387,"")</f>
        <v/>
      </c>
      <c r="CC124" s="217" t="str">
        <f t="shared" ref="CC124:CC141" si="140">IF($CB124&lt;&gt;"",$BI$86+($BI$85)*COS( PI()/180*($BI$88+($CB124-1)*360/$BI$84))/2,"")</f>
        <v/>
      </c>
      <c r="CD124" s="217" t="str">
        <f t="shared" ref="CD124:CD141" si="141">IF($CB124&lt;&gt;"",$BI$87+($BI$85)*SIN( PI()/180*($BI$88+($CB124-1)*360/$BI$84))/2,"")</f>
        <v/>
      </c>
    </row>
    <row r="125" spans="1:82" x14ac:dyDescent="0.25">
      <c r="A125" s="48"/>
      <c r="B125" s="54"/>
      <c r="C125" s="54"/>
      <c r="D125" s="54"/>
      <c r="E125" s="54"/>
      <c r="F125" s="54"/>
      <c r="G125" s="54"/>
      <c r="H125" s="54"/>
      <c r="I125" s="54"/>
      <c r="J125" s="2"/>
      <c r="K125" s="2"/>
      <c r="L125" s="2"/>
      <c r="M125" s="2"/>
      <c r="N125" s="2"/>
      <c r="O125" s="2"/>
      <c r="P125" s="2"/>
      <c r="Q125" s="2"/>
      <c r="R125" s="2"/>
      <c r="S125" s="2"/>
      <c r="T125" s="2"/>
      <c r="U125" s="2"/>
      <c r="V125" s="2"/>
      <c r="W125" s="2"/>
      <c r="X125" s="2"/>
      <c r="Y125" s="259"/>
      <c r="Z125" s="2"/>
      <c r="AA125" s="264">
        <v>121</v>
      </c>
      <c r="AB125" s="16" t="str">
        <f t="shared" si="114"/>
        <v/>
      </c>
      <c r="AC125" s="16" t="str">
        <f t="shared" si="115"/>
        <v/>
      </c>
      <c r="AD125" s="16" t="str">
        <f t="shared" si="81"/>
        <v/>
      </c>
      <c r="AE125" s="16" t="str">
        <f t="shared" si="82"/>
        <v/>
      </c>
      <c r="AF125" s="16" t="str">
        <f t="shared" si="83"/>
        <v/>
      </c>
      <c r="AG125" s="16" t="str">
        <f t="shared" si="116"/>
        <v/>
      </c>
      <c r="AH125" s="16" t="str">
        <f t="shared" si="117"/>
        <v/>
      </c>
      <c r="AI125" s="29" t="str">
        <f t="shared" si="84"/>
        <v/>
      </c>
      <c r="AJ125" s="29" t="str">
        <f t="shared" si="85"/>
        <v/>
      </c>
      <c r="AK125" s="2"/>
      <c r="AL125" s="2"/>
      <c r="AM125" s="2"/>
      <c r="AN125" s="2"/>
      <c r="AO125" s="2"/>
      <c r="AP125" s="2"/>
      <c r="AQ125" s="2"/>
      <c r="AR125" s="2"/>
      <c r="AS125" s="2"/>
      <c r="AT125" s="2"/>
      <c r="AU125" s="2"/>
      <c r="AV125" s="2"/>
      <c r="AW125" s="2"/>
      <c r="AX125" s="2"/>
      <c r="AY125" s="2"/>
      <c r="AZ125" s="2"/>
      <c r="BA125" s="2"/>
      <c r="BB125" s="2"/>
      <c r="BC125" s="2"/>
      <c r="BG125" s="215" t="str">
        <f t="shared" si="118"/>
        <v/>
      </c>
      <c r="BH125" s="217" t="str">
        <f t="shared" si="119"/>
        <v/>
      </c>
      <c r="BI125" s="217" t="str">
        <f t="shared" si="120"/>
        <v/>
      </c>
      <c r="BJ125" s="215" t="str">
        <f t="shared" si="121"/>
        <v/>
      </c>
      <c r="BK125" s="217" t="str">
        <f t="shared" si="122"/>
        <v/>
      </c>
      <c r="BL125" s="217" t="str">
        <f t="shared" si="123"/>
        <v/>
      </c>
      <c r="BM125" s="215" t="str">
        <f t="shared" si="124"/>
        <v/>
      </c>
      <c r="BN125" s="217" t="str">
        <f t="shared" si="125"/>
        <v/>
      </c>
      <c r="BO125" s="217" t="str">
        <f t="shared" si="126"/>
        <v/>
      </c>
      <c r="BP125" s="215" t="str">
        <f t="shared" si="127"/>
        <v/>
      </c>
      <c r="BQ125" s="217" t="str">
        <f t="shared" si="128"/>
        <v/>
      </c>
      <c r="BR125" s="217" t="str">
        <f t="shared" si="129"/>
        <v/>
      </c>
      <c r="BS125" s="215" t="str">
        <f t="shared" si="130"/>
        <v/>
      </c>
      <c r="BT125" s="217" t="str">
        <f t="shared" si="131"/>
        <v/>
      </c>
      <c r="BU125" s="217" t="str">
        <f t="shared" si="132"/>
        <v/>
      </c>
      <c r="BV125" s="215" t="str">
        <f t="shared" si="133"/>
        <v/>
      </c>
      <c r="BW125" s="217" t="str">
        <f t="shared" si="134"/>
        <v/>
      </c>
      <c r="BX125" s="217" t="str">
        <f t="shared" si="135"/>
        <v/>
      </c>
      <c r="BY125" s="215" t="str">
        <f t="shared" si="136"/>
        <v/>
      </c>
      <c r="BZ125" s="217" t="str">
        <f t="shared" si="137"/>
        <v/>
      </c>
      <c r="CA125" s="217" t="str">
        <f t="shared" si="138"/>
        <v/>
      </c>
      <c r="CB125" s="215" t="str">
        <f t="shared" si="139"/>
        <v/>
      </c>
      <c r="CC125" s="217" t="str">
        <f t="shared" si="140"/>
        <v/>
      </c>
      <c r="CD125" s="217" t="str">
        <f t="shared" si="141"/>
        <v/>
      </c>
    </row>
    <row r="126" spans="1:82" x14ac:dyDescent="0.25">
      <c r="A126" s="48"/>
      <c r="B126" s="54"/>
      <c r="C126" s="54"/>
      <c r="D126" s="54"/>
      <c r="E126" s="54"/>
      <c r="F126" s="54"/>
      <c r="G126" s="54"/>
      <c r="H126" s="54"/>
      <c r="I126" s="54"/>
      <c r="J126" s="2"/>
      <c r="K126" s="2"/>
      <c r="L126" s="2"/>
      <c r="M126" s="2"/>
      <c r="N126" s="2"/>
      <c r="O126" s="2"/>
      <c r="P126" s="2"/>
      <c r="Q126" s="2"/>
      <c r="R126" s="2"/>
      <c r="S126" s="2"/>
      <c r="T126" s="2"/>
      <c r="U126" s="2"/>
      <c r="V126" s="2"/>
      <c r="W126" s="2"/>
      <c r="X126" s="2"/>
      <c r="Y126" s="259"/>
      <c r="Z126" s="2"/>
      <c r="AA126" s="264">
        <v>122</v>
      </c>
      <c r="AB126" s="16" t="str">
        <f t="shared" si="114"/>
        <v/>
      </c>
      <c r="AC126" s="16" t="str">
        <f t="shared" si="115"/>
        <v/>
      </c>
      <c r="AD126" s="16" t="str">
        <f t="shared" si="81"/>
        <v/>
      </c>
      <c r="AE126" s="16" t="str">
        <f t="shared" si="82"/>
        <v/>
      </c>
      <c r="AF126" s="16" t="str">
        <f t="shared" si="83"/>
        <v/>
      </c>
      <c r="AG126" s="16" t="str">
        <f t="shared" si="116"/>
        <v/>
      </c>
      <c r="AH126" s="16" t="str">
        <f t="shared" si="117"/>
        <v/>
      </c>
      <c r="AI126" s="29" t="str">
        <f t="shared" si="84"/>
        <v/>
      </c>
      <c r="AJ126" s="29" t="str">
        <f t="shared" si="85"/>
        <v/>
      </c>
      <c r="AK126" s="2"/>
      <c r="AL126" s="2"/>
      <c r="AM126" s="2"/>
      <c r="AN126" s="2"/>
      <c r="AO126" s="2"/>
      <c r="AP126" s="2"/>
      <c r="AQ126" s="2"/>
      <c r="AR126" s="2"/>
      <c r="AS126" s="2"/>
      <c r="AT126" s="2"/>
      <c r="AU126" s="2"/>
      <c r="AV126" s="2"/>
      <c r="AW126" s="2"/>
      <c r="AX126" s="2"/>
      <c r="AY126" s="2"/>
      <c r="AZ126" s="2"/>
      <c r="BA126" s="2"/>
      <c r="BB126" s="2"/>
      <c r="BC126" s="2"/>
      <c r="BG126" s="215" t="str">
        <f t="shared" si="118"/>
        <v/>
      </c>
      <c r="BH126" s="217" t="str">
        <f t="shared" si="119"/>
        <v/>
      </c>
      <c r="BI126" s="217" t="str">
        <f t="shared" si="120"/>
        <v/>
      </c>
      <c r="BJ126" s="215" t="str">
        <f t="shared" si="121"/>
        <v/>
      </c>
      <c r="BK126" s="217" t="str">
        <f t="shared" si="122"/>
        <v/>
      </c>
      <c r="BL126" s="217" t="str">
        <f t="shared" si="123"/>
        <v/>
      </c>
      <c r="BM126" s="215" t="str">
        <f t="shared" si="124"/>
        <v/>
      </c>
      <c r="BN126" s="217" t="str">
        <f t="shared" si="125"/>
        <v/>
      </c>
      <c r="BO126" s="217" t="str">
        <f t="shared" si="126"/>
        <v/>
      </c>
      <c r="BP126" s="215" t="str">
        <f t="shared" si="127"/>
        <v/>
      </c>
      <c r="BQ126" s="217" t="str">
        <f t="shared" si="128"/>
        <v/>
      </c>
      <c r="BR126" s="217" t="str">
        <f t="shared" si="129"/>
        <v/>
      </c>
      <c r="BS126" s="215" t="str">
        <f t="shared" si="130"/>
        <v/>
      </c>
      <c r="BT126" s="217" t="str">
        <f t="shared" si="131"/>
        <v/>
      </c>
      <c r="BU126" s="217" t="str">
        <f t="shared" si="132"/>
        <v/>
      </c>
      <c r="BV126" s="215" t="str">
        <f t="shared" si="133"/>
        <v/>
      </c>
      <c r="BW126" s="217" t="str">
        <f t="shared" si="134"/>
        <v/>
      </c>
      <c r="BX126" s="217" t="str">
        <f t="shared" si="135"/>
        <v/>
      </c>
      <c r="BY126" s="215" t="str">
        <f t="shared" si="136"/>
        <v/>
      </c>
      <c r="BZ126" s="217" t="str">
        <f t="shared" si="137"/>
        <v/>
      </c>
      <c r="CA126" s="217" t="str">
        <f t="shared" si="138"/>
        <v/>
      </c>
      <c r="CB126" s="215" t="str">
        <f t="shared" si="139"/>
        <v/>
      </c>
      <c r="CC126" s="217" t="str">
        <f t="shared" si="140"/>
        <v/>
      </c>
      <c r="CD126" s="217" t="str">
        <f t="shared" si="141"/>
        <v/>
      </c>
    </row>
    <row r="127" spans="1:82" x14ac:dyDescent="0.25">
      <c r="A127" s="48"/>
      <c r="B127" s="54"/>
      <c r="C127" s="54"/>
      <c r="D127" s="54"/>
      <c r="E127" s="54"/>
      <c r="F127" s="54"/>
      <c r="G127" s="54"/>
      <c r="H127" s="54"/>
      <c r="I127" s="54"/>
      <c r="J127" s="2"/>
      <c r="K127" s="2"/>
      <c r="L127" s="2"/>
      <c r="M127" s="2"/>
      <c r="N127" s="2"/>
      <c r="O127" s="2"/>
      <c r="P127" s="2"/>
      <c r="Q127" s="2"/>
      <c r="R127" s="2"/>
      <c r="S127" s="2"/>
      <c r="T127" s="2"/>
      <c r="U127" s="2"/>
      <c r="V127" s="2"/>
      <c r="W127" s="2"/>
      <c r="X127" s="2"/>
      <c r="Y127" s="259"/>
      <c r="Z127" s="2"/>
      <c r="AA127" s="264">
        <v>123</v>
      </c>
      <c r="AB127" s="16" t="str">
        <f t="shared" si="114"/>
        <v/>
      </c>
      <c r="AC127" s="16" t="str">
        <f t="shared" si="115"/>
        <v/>
      </c>
      <c r="AD127" s="16" t="str">
        <f t="shared" si="81"/>
        <v/>
      </c>
      <c r="AE127" s="16" t="str">
        <f t="shared" si="82"/>
        <v/>
      </c>
      <c r="AF127" s="16" t="str">
        <f t="shared" si="83"/>
        <v/>
      </c>
      <c r="AG127" s="16" t="str">
        <f t="shared" si="116"/>
        <v/>
      </c>
      <c r="AH127" s="16" t="str">
        <f t="shared" si="117"/>
        <v/>
      </c>
      <c r="AI127" s="29" t="str">
        <f t="shared" si="84"/>
        <v/>
      </c>
      <c r="AJ127" s="29" t="str">
        <f t="shared" si="85"/>
        <v/>
      </c>
      <c r="AK127" s="2"/>
      <c r="AL127" s="2"/>
      <c r="AM127" s="2"/>
      <c r="AN127" s="2"/>
      <c r="AO127" s="2"/>
      <c r="AP127" s="2"/>
      <c r="AQ127" s="2"/>
      <c r="AR127" s="2"/>
      <c r="AS127" s="2"/>
      <c r="AT127" s="2"/>
      <c r="AU127" s="2"/>
      <c r="AV127" s="2"/>
      <c r="AW127" s="2"/>
      <c r="AX127" s="2"/>
      <c r="AY127" s="2"/>
      <c r="AZ127" s="2"/>
      <c r="BA127" s="2"/>
      <c r="BB127" s="2"/>
      <c r="BC127" s="2"/>
      <c r="BG127" s="215" t="str">
        <f t="shared" si="118"/>
        <v/>
      </c>
      <c r="BH127" s="217" t="str">
        <f t="shared" si="119"/>
        <v/>
      </c>
      <c r="BI127" s="217" t="str">
        <f t="shared" si="120"/>
        <v/>
      </c>
      <c r="BJ127" s="215" t="str">
        <f t="shared" si="121"/>
        <v/>
      </c>
      <c r="BK127" s="217" t="str">
        <f t="shared" si="122"/>
        <v/>
      </c>
      <c r="BL127" s="217" t="str">
        <f t="shared" si="123"/>
        <v/>
      </c>
      <c r="BM127" s="215" t="str">
        <f t="shared" si="124"/>
        <v/>
      </c>
      <c r="BN127" s="217" t="str">
        <f t="shared" si="125"/>
        <v/>
      </c>
      <c r="BO127" s="217" t="str">
        <f t="shared" si="126"/>
        <v/>
      </c>
      <c r="BP127" s="215" t="str">
        <f t="shared" si="127"/>
        <v/>
      </c>
      <c r="BQ127" s="217" t="str">
        <f t="shared" si="128"/>
        <v/>
      </c>
      <c r="BR127" s="217" t="str">
        <f t="shared" si="129"/>
        <v/>
      </c>
      <c r="BS127" s="215" t="str">
        <f t="shared" si="130"/>
        <v/>
      </c>
      <c r="BT127" s="217" t="str">
        <f t="shared" si="131"/>
        <v/>
      </c>
      <c r="BU127" s="217" t="str">
        <f t="shared" si="132"/>
        <v/>
      </c>
      <c r="BV127" s="215" t="str">
        <f t="shared" si="133"/>
        <v/>
      </c>
      <c r="BW127" s="217" t="str">
        <f t="shared" si="134"/>
        <v/>
      </c>
      <c r="BX127" s="217" t="str">
        <f t="shared" si="135"/>
        <v/>
      </c>
      <c r="BY127" s="215" t="str">
        <f t="shared" si="136"/>
        <v/>
      </c>
      <c r="BZ127" s="217" t="str">
        <f t="shared" si="137"/>
        <v/>
      </c>
      <c r="CA127" s="217" t="str">
        <f t="shared" si="138"/>
        <v/>
      </c>
      <c r="CB127" s="215" t="str">
        <f t="shared" si="139"/>
        <v/>
      </c>
      <c r="CC127" s="217" t="str">
        <f t="shared" si="140"/>
        <v/>
      </c>
      <c r="CD127" s="217" t="str">
        <f t="shared" si="141"/>
        <v/>
      </c>
    </row>
    <row r="128" spans="1:82" x14ac:dyDescent="0.25">
      <c r="A128" s="48"/>
      <c r="B128" s="54"/>
      <c r="C128" s="54"/>
      <c r="D128" s="54"/>
      <c r="E128" s="54"/>
      <c r="F128" s="54"/>
      <c r="G128" s="54"/>
      <c r="H128" s="54"/>
      <c r="I128" s="54"/>
      <c r="J128" s="2"/>
      <c r="K128" s="2"/>
      <c r="L128" s="2"/>
      <c r="M128" s="2"/>
      <c r="N128" s="2"/>
      <c r="O128" s="2"/>
      <c r="P128" s="2"/>
      <c r="Q128" s="2"/>
      <c r="R128" s="2"/>
      <c r="S128" s="2"/>
      <c r="T128" s="2"/>
      <c r="U128" s="2"/>
      <c r="V128" s="2"/>
      <c r="W128" s="2"/>
      <c r="X128" s="2"/>
      <c r="Y128" s="259"/>
      <c r="Z128" s="2"/>
      <c r="AA128" s="264">
        <v>124</v>
      </c>
      <c r="AB128" s="16" t="str">
        <f t="shared" si="114"/>
        <v/>
      </c>
      <c r="AC128" s="16" t="str">
        <f t="shared" si="115"/>
        <v/>
      </c>
      <c r="AD128" s="16" t="str">
        <f t="shared" si="81"/>
        <v/>
      </c>
      <c r="AE128" s="16" t="str">
        <f t="shared" si="82"/>
        <v/>
      </c>
      <c r="AF128" s="16" t="str">
        <f t="shared" si="83"/>
        <v/>
      </c>
      <c r="AG128" s="16" t="str">
        <f t="shared" si="116"/>
        <v/>
      </c>
      <c r="AH128" s="16" t="str">
        <f t="shared" si="117"/>
        <v/>
      </c>
      <c r="AI128" s="29" t="str">
        <f t="shared" si="84"/>
        <v/>
      </c>
      <c r="AJ128" s="29" t="str">
        <f t="shared" si="85"/>
        <v/>
      </c>
      <c r="AK128" s="2"/>
      <c r="AL128" s="2"/>
      <c r="AM128" s="2"/>
      <c r="AN128" s="2"/>
      <c r="AO128" s="2"/>
      <c r="AP128" s="2"/>
      <c r="AQ128" s="2"/>
      <c r="AR128" s="2"/>
      <c r="AS128" s="2"/>
      <c r="AT128" s="2"/>
      <c r="AU128" s="2"/>
      <c r="AV128" s="2"/>
      <c r="AW128" s="2"/>
      <c r="AX128" s="2"/>
      <c r="AY128" s="2"/>
      <c r="AZ128" s="2"/>
      <c r="BA128" s="2"/>
      <c r="BB128" s="2"/>
      <c r="BC128" s="2"/>
      <c r="BG128" s="215" t="str">
        <f t="shared" si="118"/>
        <v/>
      </c>
      <c r="BH128" s="217" t="str">
        <f t="shared" si="119"/>
        <v/>
      </c>
      <c r="BI128" s="217" t="str">
        <f t="shared" si="120"/>
        <v/>
      </c>
      <c r="BJ128" s="215" t="str">
        <f t="shared" si="121"/>
        <v/>
      </c>
      <c r="BK128" s="217" t="str">
        <f t="shared" si="122"/>
        <v/>
      </c>
      <c r="BL128" s="217" t="str">
        <f t="shared" si="123"/>
        <v/>
      </c>
      <c r="BM128" s="215" t="str">
        <f t="shared" si="124"/>
        <v/>
      </c>
      <c r="BN128" s="217" t="str">
        <f t="shared" si="125"/>
        <v/>
      </c>
      <c r="BO128" s="217" t="str">
        <f t="shared" si="126"/>
        <v/>
      </c>
      <c r="BP128" s="215" t="str">
        <f t="shared" si="127"/>
        <v/>
      </c>
      <c r="BQ128" s="217" t="str">
        <f t="shared" si="128"/>
        <v/>
      </c>
      <c r="BR128" s="217" t="str">
        <f t="shared" si="129"/>
        <v/>
      </c>
      <c r="BS128" s="215" t="str">
        <f t="shared" si="130"/>
        <v/>
      </c>
      <c r="BT128" s="217" t="str">
        <f t="shared" si="131"/>
        <v/>
      </c>
      <c r="BU128" s="217" t="str">
        <f t="shared" si="132"/>
        <v/>
      </c>
      <c r="BV128" s="215" t="str">
        <f t="shared" si="133"/>
        <v/>
      </c>
      <c r="BW128" s="217" t="str">
        <f t="shared" si="134"/>
        <v/>
      </c>
      <c r="BX128" s="217" t="str">
        <f t="shared" si="135"/>
        <v/>
      </c>
      <c r="BY128" s="215" t="str">
        <f t="shared" si="136"/>
        <v/>
      </c>
      <c r="BZ128" s="217" t="str">
        <f t="shared" si="137"/>
        <v/>
      </c>
      <c r="CA128" s="217" t="str">
        <f t="shared" si="138"/>
        <v/>
      </c>
      <c r="CB128" s="215" t="str">
        <f t="shared" si="139"/>
        <v/>
      </c>
      <c r="CC128" s="217" t="str">
        <f t="shared" si="140"/>
        <v/>
      </c>
      <c r="CD128" s="217" t="str">
        <f t="shared" si="141"/>
        <v/>
      </c>
    </row>
    <row r="129" spans="1:82" x14ac:dyDescent="0.25">
      <c r="A129" s="48"/>
      <c r="B129" s="54"/>
      <c r="C129" s="54"/>
      <c r="D129" s="54"/>
      <c r="E129" s="54"/>
      <c r="F129" s="54"/>
      <c r="G129" s="54"/>
      <c r="H129" s="54"/>
      <c r="I129" s="54"/>
      <c r="J129" s="2"/>
      <c r="K129" s="2"/>
      <c r="L129" s="2"/>
      <c r="M129" s="2"/>
      <c r="N129" s="2"/>
      <c r="O129" s="2"/>
      <c r="P129" s="2"/>
      <c r="Q129" s="2"/>
      <c r="R129" s="2"/>
      <c r="S129" s="2"/>
      <c r="T129" s="2"/>
      <c r="U129" s="2"/>
      <c r="V129" s="2"/>
      <c r="W129" s="2"/>
      <c r="X129" s="2"/>
      <c r="Y129" s="259"/>
      <c r="Z129" s="2"/>
      <c r="AA129" s="264">
        <v>125</v>
      </c>
      <c r="AB129" s="16" t="str">
        <f t="shared" si="114"/>
        <v/>
      </c>
      <c r="AC129" s="16" t="str">
        <f t="shared" si="115"/>
        <v/>
      </c>
      <c r="AD129" s="16" t="str">
        <f t="shared" si="81"/>
        <v/>
      </c>
      <c r="AE129" s="16" t="str">
        <f t="shared" si="82"/>
        <v/>
      </c>
      <c r="AF129" s="16" t="str">
        <f t="shared" si="83"/>
        <v/>
      </c>
      <c r="AG129" s="16" t="str">
        <f t="shared" si="116"/>
        <v/>
      </c>
      <c r="AH129" s="16" t="str">
        <f t="shared" si="117"/>
        <v/>
      </c>
      <c r="AI129" s="29" t="str">
        <f t="shared" si="84"/>
        <v/>
      </c>
      <c r="AJ129" s="29" t="str">
        <f t="shared" si="85"/>
        <v/>
      </c>
      <c r="AK129" s="2"/>
      <c r="AL129" s="2"/>
      <c r="AM129" s="2"/>
      <c r="AN129" s="2"/>
      <c r="AO129" s="2"/>
      <c r="AP129" s="2"/>
      <c r="AQ129" s="2"/>
      <c r="AR129" s="2"/>
      <c r="AS129" s="2"/>
      <c r="AT129" s="2"/>
      <c r="AU129" s="2"/>
      <c r="AV129" s="2"/>
      <c r="AW129" s="2"/>
      <c r="AX129" s="2"/>
      <c r="AY129" s="2"/>
      <c r="AZ129" s="2"/>
      <c r="BA129" s="2"/>
      <c r="BB129" s="2"/>
      <c r="BC129" s="2"/>
      <c r="BG129" s="215" t="str">
        <f t="shared" si="118"/>
        <v/>
      </c>
      <c r="BH129" s="217" t="str">
        <f t="shared" si="119"/>
        <v/>
      </c>
      <c r="BI129" s="217" t="str">
        <f t="shared" si="120"/>
        <v/>
      </c>
      <c r="BJ129" s="215" t="str">
        <f t="shared" si="121"/>
        <v/>
      </c>
      <c r="BK129" s="217" t="str">
        <f t="shared" si="122"/>
        <v/>
      </c>
      <c r="BL129" s="217" t="str">
        <f t="shared" si="123"/>
        <v/>
      </c>
      <c r="BM129" s="215" t="str">
        <f t="shared" si="124"/>
        <v/>
      </c>
      <c r="BN129" s="217" t="str">
        <f t="shared" si="125"/>
        <v/>
      </c>
      <c r="BO129" s="217" t="str">
        <f t="shared" si="126"/>
        <v/>
      </c>
      <c r="BP129" s="215" t="str">
        <f t="shared" si="127"/>
        <v/>
      </c>
      <c r="BQ129" s="217" t="str">
        <f t="shared" si="128"/>
        <v/>
      </c>
      <c r="BR129" s="217" t="str">
        <f t="shared" si="129"/>
        <v/>
      </c>
      <c r="BS129" s="215" t="str">
        <f t="shared" si="130"/>
        <v/>
      </c>
      <c r="BT129" s="217" t="str">
        <f t="shared" si="131"/>
        <v/>
      </c>
      <c r="BU129" s="217" t="str">
        <f t="shared" si="132"/>
        <v/>
      </c>
      <c r="BV129" s="215" t="str">
        <f t="shared" si="133"/>
        <v/>
      </c>
      <c r="BW129" s="217" t="str">
        <f t="shared" si="134"/>
        <v/>
      </c>
      <c r="BX129" s="217" t="str">
        <f t="shared" si="135"/>
        <v/>
      </c>
      <c r="BY129" s="215" t="str">
        <f t="shared" si="136"/>
        <v/>
      </c>
      <c r="BZ129" s="217" t="str">
        <f t="shared" si="137"/>
        <v/>
      </c>
      <c r="CA129" s="217" t="str">
        <f t="shared" si="138"/>
        <v/>
      </c>
      <c r="CB129" s="215" t="str">
        <f t="shared" si="139"/>
        <v/>
      </c>
      <c r="CC129" s="217" t="str">
        <f t="shared" si="140"/>
        <v/>
      </c>
      <c r="CD129" s="217" t="str">
        <f t="shared" si="141"/>
        <v/>
      </c>
    </row>
    <row r="130" spans="1:82" x14ac:dyDescent="0.25">
      <c r="A130" s="48"/>
      <c r="B130" s="54"/>
      <c r="C130" s="54"/>
      <c r="D130" s="54"/>
      <c r="E130" s="54"/>
      <c r="F130" s="54"/>
      <c r="G130" s="54"/>
      <c r="H130" s="54"/>
      <c r="I130" s="54"/>
      <c r="J130" s="2"/>
      <c r="K130" s="2"/>
      <c r="L130" s="2"/>
      <c r="M130" s="2"/>
      <c r="N130" s="2"/>
      <c r="O130" s="2"/>
      <c r="P130" s="2"/>
      <c r="Q130" s="2"/>
      <c r="R130" s="2"/>
      <c r="S130" s="2"/>
      <c r="T130" s="2"/>
      <c r="U130" s="2"/>
      <c r="V130" s="2"/>
      <c r="W130" s="2"/>
      <c r="X130" s="2"/>
      <c r="Y130" s="259"/>
      <c r="Z130" s="2"/>
      <c r="AA130" s="264">
        <v>126</v>
      </c>
      <c r="AB130" s="16" t="str">
        <f t="shared" si="114"/>
        <v/>
      </c>
      <c r="AC130" s="16" t="str">
        <f t="shared" si="115"/>
        <v/>
      </c>
      <c r="AD130" s="16" t="str">
        <f t="shared" si="81"/>
        <v/>
      </c>
      <c r="AE130" s="16" t="str">
        <f t="shared" si="82"/>
        <v/>
      </c>
      <c r="AF130" s="16" t="str">
        <f t="shared" si="83"/>
        <v/>
      </c>
      <c r="AG130" s="16" t="str">
        <f t="shared" si="116"/>
        <v/>
      </c>
      <c r="AH130" s="16" t="str">
        <f t="shared" si="117"/>
        <v/>
      </c>
      <c r="AI130" s="29" t="str">
        <f t="shared" si="84"/>
        <v/>
      </c>
      <c r="AJ130" s="29" t="str">
        <f t="shared" si="85"/>
        <v/>
      </c>
      <c r="AK130" s="2"/>
      <c r="AL130" s="2"/>
      <c r="AM130" s="2"/>
      <c r="AN130" s="2"/>
      <c r="AO130" s="2"/>
      <c r="AP130" s="2"/>
      <c r="AQ130" s="2"/>
      <c r="AR130" s="2"/>
      <c r="AS130" s="2"/>
      <c r="AT130" s="2"/>
      <c r="AU130" s="2"/>
      <c r="AV130" s="2"/>
      <c r="AW130" s="2"/>
      <c r="AX130" s="2"/>
      <c r="AY130" s="2"/>
      <c r="AZ130" s="2"/>
      <c r="BA130" s="2"/>
      <c r="BB130" s="2"/>
      <c r="BC130" s="2"/>
      <c r="BG130" s="215" t="str">
        <f t="shared" si="118"/>
        <v/>
      </c>
      <c r="BH130" s="217" t="str">
        <f t="shared" si="119"/>
        <v/>
      </c>
      <c r="BI130" s="217" t="str">
        <f t="shared" si="120"/>
        <v/>
      </c>
      <c r="BJ130" s="215" t="str">
        <f t="shared" si="121"/>
        <v/>
      </c>
      <c r="BK130" s="217" t="str">
        <f t="shared" si="122"/>
        <v/>
      </c>
      <c r="BL130" s="217" t="str">
        <f t="shared" si="123"/>
        <v/>
      </c>
      <c r="BM130" s="215" t="str">
        <f t="shared" si="124"/>
        <v/>
      </c>
      <c r="BN130" s="217" t="str">
        <f t="shared" si="125"/>
        <v/>
      </c>
      <c r="BO130" s="217" t="str">
        <f t="shared" si="126"/>
        <v/>
      </c>
      <c r="BP130" s="215" t="str">
        <f t="shared" si="127"/>
        <v/>
      </c>
      <c r="BQ130" s="217" t="str">
        <f t="shared" si="128"/>
        <v/>
      </c>
      <c r="BR130" s="217" t="str">
        <f t="shared" si="129"/>
        <v/>
      </c>
      <c r="BS130" s="215" t="str">
        <f t="shared" si="130"/>
        <v/>
      </c>
      <c r="BT130" s="217" t="str">
        <f t="shared" si="131"/>
        <v/>
      </c>
      <c r="BU130" s="217" t="str">
        <f t="shared" si="132"/>
        <v/>
      </c>
      <c r="BV130" s="215" t="str">
        <f t="shared" si="133"/>
        <v/>
      </c>
      <c r="BW130" s="217" t="str">
        <f t="shared" si="134"/>
        <v/>
      </c>
      <c r="BX130" s="217" t="str">
        <f t="shared" si="135"/>
        <v/>
      </c>
      <c r="BY130" s="215" t="str">
        <f t="shared" si="136"/>
        <v/>
      </c>
      <c r="BZ130" s="217" t="str">
        <f t="shared" si="137"/>
        <v/>
      </c>
      <c r="CA130" s="217" t="str">
        <f t="shared" si="138"/>
        <v/>
      </c>
      <c r="CB130" s="215" t="str">
        <f t="shared" si="139"/>
        <v/>
      </c>
      <c r="CC130" s="217" t="str">
        <f t="shared" si="140"/>
        <v/>
      </c>
      <c r="CD130" s="217" t="str">
        <f t="shared" si="141"/>
        <v/>
      </c>
    </row>
    <row r="131" spans="1:82" x14ac:dyDescent="0.25">
      <c r="A131" s="48"/>
      <c r="B131" s="54"/>
      <c r="C131" s="54"/>
      <c r="D131" s="54"/>
      <c r="E131" s="54"/>
      <c r="F131" s="54"/>
      <c r="G131" s="54"/>
      <c r="H131" s="54"/>
      <c r="I131" s="54"/>
      <c r="J131" s="2"/>
      <c r="K131" s="2"/>
      <c r="L131" s="2"/>
      <c r="M131" s="2"/>
      <c r="N131" s="2"/>
      <c r="O131" s="2"/>
      <c r="P131" s="2"/>
      <c r="Q131" s="2"/>
      <c r="R131" s="2"/>
      <c r="S131" s="2"/>
      <c r="T131" s="2"/>
      <c r="U131" s="2"/>
      <c r="V131" s="2"/>
      <c r="W131" s="2"/>
      <c r="X131" s="2"/>
      <c r="Y131" s="259"/>
      <c r="Z131" s="2"/>
      <c r="AA131" s="264">
        <v>127</v>
      </c>
      <c r="AB131" s="16" t="str">
        <f t="shared" si="114"/>
        <v/>
      </c>
      <c r="AC131" s="16" t="str">
        <f t="shared" si="115"/>
        <v/>
      </c>
      <c r="AD131" s="16" t="str">
        <f t="shared" si="81"/>
        <v/>
      </c>
      <c r="AE131" s="16" t="str">
        <f t="shared" si="82"/>
        <v/>
      </c>
      <c r="AF131" s="16" t="str">
        <f t="shared" si="83"/>
        <v/>
      </c>
      <c r="AG131" s="16" t="str">
        <f t="shared" si="116"/>
        <v/>
      </c>
      <c r="AH131" s="16" t="str">
        <f t="shared" si="117"/>
        <v/>
      </c>
      <c r="AI131" s="29" t="str">
        <f t="shared" si="84"/>
        <v/>
      </c>
      <c r="AJ131" s="29" t="str">
        <f t="shared" si="85"/>
        <v/>
      </c>
      <c r="AK131" s="2"/>
      <c r="AL131" s="2"/>
      <c r="AM131" s="2"/>
      <c r="AN131" s="2"/>
      <c r="AO131" s="2"/>
      <c r="AP131" s="2"/>
      <c r="AQ131" s="2"/>
      <c r="AR131" s="2"/>
      <c r="AS131" s="2"/>
      <c r="AT131" s="2"/>
      <c r="AU131" s="2"/>
      <c r="AV131" s="2"/>
      <c r="AW131" s="2"/>
      <c r="AX131" s="2"/>
      <c r="AY131" s="2"/>
      <c r="AZ131" s="2"/>
      <c r="BA131" s="2"/>
      <c r="BB131" s="2"/>
      <c r="BC131" s="2"/>
      <c r="BG131" s="215" t="str">
        <f t="shared" si="118"/>
        <v/>
      </c>
      <c r="BH131" s="217" t="str">
        <f t="shared" si="119"/>
        <v/>
      </c>
      <c r="BI131" s="217" t="str">
        <f t="shared" si="120"/>
        <v/>
      </c>
      <c r="BJ131" s="215" t="str">
        <f t="shared" si="121"/>
        <v/>
      </c>
      <c r="BK131" s="217" t="str">
        <f t="shared" si="122"/>
        <v/>
      </c>
      <c r="BL131" s="217" t="str">
        <f t="shared" si="123"/>
        <v/>
      </c>
      <c r="BM131" s="215" t="str">
        <f t="shared" si="124"/>
        <v/>
      </c>
      <c r="BN131" s="217" t="str">
        <f t="shared" si="125"/>
        <v/>
      </c>
      <c r="BO131" s="217" t="str">
        <f t="shared" si="126"/>
        <v/>
      </c>
      <c r="BP131" s="215" t="str">
        <f t="shared" si="127"/>
        <v/>
      </c>
      <c r="BQ131" s="217" t="str">
        <f t="shared" si="128"/>
        <v/>
      </c>
      <c r="BR131" s="217" t="str">
        <f t="shared" si="129"/>
        <v/>
      </c>
      <c r="BS131" s="215" t="str">
        <f t="shared" si="130"/>
        <v/>
      </c>
      <c r="BT131" s="217" t="str">
        <f t="shared" si="131"/>
        <v/>
      </c>
      <c r="BU131" s="217" t="str">
        <f t="shared" si="132"/>
        <v/>
      </c>
      <c r="BV131" s="215" t="str">
        <f t="shared" si="133"/>
        <v/>
      </c>
      <c r="BW131" s="217" t="str">
        <f t="shared" si="134"/>
        <v/>
      </c>
      <c r="BX131" s="217" t="str">
        <f t="shared" si="135"/>
        <v/>
      </c>
      <c r="BY131" s="215" t="str">
        <f t="shared" si="136"/>
        <v/>
      </c>
      <c r="BZ131" s="217" t="str">
        <f t="shared" si="137"/>
        <v/>
      </c>
      <c r="CA131" s="217" t="str">
        <f t="shared" si="138"/>
        <v/>
      </c>
      <c r="CB131" s="215" t="str">
        <f t="shared" si="139"/>
        <v/>
      </c>
      <c r="CC131" s="217" t="str">
        <f t="shared" si="140"/>
        <v/>
      </c>
      <c r="CD131" s="217" t="str">
        <f t="shared" si="141"/>
        <v/>
      </c>
    </row>
    <row r="132" spans="1:82" x14ac:dyDescent="0.25">
      <c r="A132" s="48"/>
      <c r="B132" s="54"/>
      <c r="C132" s="54"/>
      <c r="D132" s="54"/>
      <c r="E132" s="54"/>
      <c r="F132" s="54"/>
      <c r="G132" s="54"/>
      <c r="H132" s="54"/>
      <c r="I132" s="54"/>
      <c r="J132" s="2"/>
      <c r="K132" s="2"/>
      <c r="L132" s="2"/>
      <c r="M132" s="2"/>
      <c r="N132" s="2"/>
      <c r="O132" s="2"/>
      <c r="P132" s="2"/>
      <c r="Q132" s="2"/>
      <c r="R132" s="2"/>
      <c r="S132" s="2"/>
      <c r="T132" s="2"/>
      <c r="U132" s="2"/>
      <c r="V132" s="2"/>
      <c r="W132" s="2"/>
      <c r="X132" s="2"/>
      <c r="Y132" s="259"/>
      <c r="Z132" s="2"/>
      <c r="AA132" s="264">
        <v>128</v>
      </c>
      <c r="AB132" s="16" t="str">
        <f t="shared" si="114"/>
        <v/>
      </c>
      <c r="AC132" s="16" t="str">
        <f t="shared" si="115"/>
        <v/>
      </c>
      <c r="AD132" s="16" t="str">
        <f t="shared" si="81"/>
        <v/>
      </c>
      <c r="AE132" s="16" t="str">
        <f t="shared" si="82"/>
        <v/>
      </c>
      <c r="AF132" s="16" t="str">
        <f t="shared" si="83"/>
        <v/>
      </c>
      <c r="AG132" s="16" t="str">
        <f t="shared" si="116"/>
        <v/>
      </c>
      <c r="AH132" s="16" t="str">
        <f t="shared" si="117"/>
        <v/>
      </c>
      <c r="AI132" s="29" t="str">
        <f t="shared" si="84"/>
        <v/>
      </c>
      <c r="AJ132" s="29" t="str">
        <f t="shared" si="85"/>
        <v/>
      </c>
      <c r="AK132" s="2"/>
      <c r="AL132" s="2"/>
      <c r="AM132" s="2"/>
      <c r="AN132" s="2"/>
      <c r="AO132" s="2"/>
      <c r="AP132" s="2"/>
      <c r="AQ132" s="2"/>
      <c r="AR132" s="2"/>
      <c r="AS132" s="2"/>
      <c r="AT132" s="2"/>
      <c r="AU132" s="2"/>
      <c r="AV132" s="2"/>
      <c r="AW132" s="2"/>
      <c r="AX132" s="2"/>
      <c r="AY132" s="2"/>
      <c r="AZ132" s="2"/>
      <c r="BA132" s="2"/>
      <c r="BB132" s="2"/>
      <c r="BC132" s="2"/>
      <c r="BG132" s="215" t="str">
        <f t="shared" si="118"/>
        <v/>
      </c>
      <c r="BH132" s="217" t="str">
        <f t="shared" si="119"/>
        <v/>
      </c>
      <c r="BI132" s="217" t="str">
        <f t="shared" si="120"/>
        <v/>
      </c>
      <c r="BJ132" s="215" t="str">
        <f t="shared" si="121"/>
        <v/>
      </c>
      <c r="BK132" s="217" t="str">
        <f t="shared" si="122"/>
        <v/>
      </c>
      <c r="BL132" s="217" t="str">
        <f t="shared" si="123"/>
        <v/>
      </c>
      <c r="BM132" s="215" t="str">
        <f t="shared" si="124"/>
        <v/>
      </c>
      <c r="BN132" s="217" t="str">
        <f t="shared" si="125"/>
        <v/>
      </c>
      <c r="BO132" s="217" t="str">
        <f t="shared" si="126"/>
        <v/>
      </c>
      <c r="BP132" s="215" t="str">
        <f t="shared" si="127"/>
        <v/>
      </c>
      <c r="BQ132" s="217" t="str">
        <f t="shared" si="128"/>
        <v/>
      </c>
      <c r="BR132" s="217" t="str">
        <f t="shared" si="129"/>
        <v/>
      </c>
      <c r="BS132" s="215" t="str">
        <f t="shared" si="130"/>
        <v/>
      </c>
      <c r="BT132" s="217" t="str">
        <f t="shared" si="131"/>
        <v/>
      </c>
      <c r="BU132" s="217" t="str">
        <f t="shared" si="132"/>
        <v/>
      </c>
      <c r="BV132" s="215" t="str">
        <f t="shared" si="133"/>
        <v/>
      </c>
      <c r="BW132" s="217" t="str">
        <f t="shared" si="134"/>
        <v/>
      </c>
      <c r="BX132" s="217" t="str">
        <f t="shared" si="135"/>
        <v/>
      </c>
      <c r="BY132" s="215" t="str">
        <f t="shared" si="136"/>
        <v/>
      </c>
      <c r="BZ132" s="217" t="str">
        <f t="shared" si="137"/>
        <v/>
      </c>
      <c r="CA132" s="217" t="str">
        <f t="shared" si="138"/>
        <v/>
      </c>
      <c r="CB132" s="215" t="str">
        <f t="shared" si="139"/>
        <v/>
      </c>
      <c r="CC132" s="217" t="str">
        <f t="shared" si="140"/>
        <v/>
      </c>
      <c r="CD132" s="217" t="str">
        <f t="shared" si="141"/>
        <v/>
      </c>
    </row>
    <row r="133" spans="1:82" x14ac:dyDescent="0.25">
      <c r="A133" s="48"/>
      <c r="B133" s="54"/>
      <c r="C133" s="54"/>
      <c r="D133" s="54"/>
      <c r="E133" s="54"/>
      <c r="F133" s="54"/>
      <c r="G133" s="54"/>
      <c r="H133" s="54"/>
      <c r="I133" s="54"/>
      <c r="J133" s="2"/>
      <c r="K133" s="2"/>
      <c r="L133" s="2"/>
      <c r="M133" s="2"/>
      <c r="N133" s="2"/>
      <c r="O133" s="2"/>
      <c r="P133" s="2"/>
      <c r="Q133" s="2"/>
      <c r="R133" s="2"/>
      <c r="S133" s="2"/>
      <c r="T133" s="2"/>
      <c r="U133" s="2"/>
      <c r="V133" s="2"/>
      <c r="W133" s="2"/>
      <c r="X133" s="2"/>
      <c r="Y133" s="259"/>
      <c r="Z133" s="2"/>
      <c r="AA133" s="264">
        <v>129</v>
      </c>
      <c r="AB133" s="16" t="str">
        <f t="shared" si="114"/>
        <v/>
      </c>
      <c r="AC133" s="16" t="str">
        <f t="shared" si="115"/>
        <v/>
      </c>
      <c r="AD133" s="16" t="str">
        <f t="shared" ref="AD133:AD196" si="142">IF($C$9&gt;=$AA133,$AB133^2,"")</f>
        <v/>
      </c>
      <c r="AE133" s="16" t="str">
        <f t="shared" ref="AE133:AE196" si="143">IF($C$9&gt;=$AA133,$AC133^2,"")</f>
        <v/>
      </c>
      <c r="AF133" s="16" t="str">
        <f t="shared" ref="AF133:AF196" si="144">IF($C$9&gt;=$AA133,$AB133*$AC133,"")</f>
        <v/>
      </c>
      <c r="AG133" s="16" t="str">
        <f t="shared" si="116"/>
        <v/>
      </c>
      <c r="AH133" s="16" t="str">
        <f t="shared" si="117"/>
        <v/>
      </c>
      <c r="AI133" s="29" t="str">
        <f t="shared" ref="AI133:AI196" si="145">IF($C$9&gt;=$AA133,(-$AF$418/$C$9+($AF$422*$AB$411--$AF$421*$AB$414)/($AB$411*$AB$412-$AB$414^2)*$AG133+(-$AF$421*$AB$412-$AF$422*$AB$414)/($AB$411*$AB$412-$AB$414^2)*$AH133),"")</f>
        <v/>
      </c>
      <c r="AJ133" s="29" t="str">
        <f t="shared" ref="AJ133:AJ196" si="146">IF($C$9&gt;=$AA133,((($AF$419/$C$9+$AF$423*-$AH133/$AB$413)^2+($AF$420/$C$9+$AF$423*$AG133/$AB$413)^2)^(1/2)),"")</f>
        <v/>
      </c>
      <c r="AK133" s="2"/>
      <c r="AL133" s="2"/>
      <c r="AM133" s="2"/>
      <c r="AN133" s="2"/>
      <c r="AO133" s="2"/>
      <c r="AP133" s="2"/>
      <c r="AQ133" s="2"/>
      <c r="AR133" s="2"/>
      <c r="AS133" s="2"/>
      <c r="AT133" s="2"/>
      <c r="AU133" s="2"/>
      <c r="AV133" s="2"/>
      <c r="AW133" s="2"/>
      <c r="AX133" s="2"/>
      <c r="AY133" s="2"/>
      <c r="AZ133" s="2"/>
      <c r="BA133" s="2"/>
      <c r="BB133" s="2"/>
      <c r="BC133" s="2"/>
      <c r="BG133" s="215" t="str">
        <f t="shared" si="118"/>
        <v/>
      </c>
      <c r="BH133" s="217" t="str">
        <f t="shared" si="119"/>
        <v/>
      </c>
      <c r="BI133" s="217" t="str">
        <f t="shared" si="120"/>
        <v/>
      </c>
      <c r="BJ133" s="215" t="str">
        <f t="shared" si="121"/>
        <v/>
      </c>
      <c r="BK133" s="217" t="str">
        <f t="shared" si="122"/>
        <v/>
      </c>
      <c r="BL133" s="217" t="str">
        <f t="shared" si="123"/>
        <v/>
      </c>
      <c r="BM133" s="215" t="str">
        <f t="shared" si="124"/>
        <v/>
      </c>
      <c r="BN133" s="217" t="str">
        <f t="shared" si="125"/>
        <v/>
      </c>
      <c r="BO133" s="217" t="str">
        <f t="shared" si="126"/>
        <v/>
      </c>
      <c r="BP133" s="215" t="str">
        <f t="shared" si="127"/>
        <v/>
      </c>
      <c r="BQ133" s="217" t="str">
        <f t="shared" si="128"/>
        <v/>
      </c>
      <c r="BR133" s="217" t="str">
        <f t="shared" si="129"/>
        <v/>
      </c>
      <c r="BS133" s="215" t="str">
        <f t="shared" si="130"/>
        <v/>
      </c>
      <c r="BT133" s="217" t="str">
        <f t="shared" si="131"/>
        <v/>
      </c>
      <c r="BU133" s="217" t="str">
        <f t="shared" si="132"/>
        <v/>
      </c>
      <c r="BV133" s="215" t="str">
        <f t="shared" si="133"/>
        <v/>
      </c>
      <c r="BW133" s="217" t="str">
        <f t="shared" si="134"/>
        <v/>
      </c>
      <c r="BX133" s="217" t="str">
        <f t="shared" si="135"/>
        <v/>
      </c>
      <c r="BY133" s="215" t="str">
        <f t="shared" si="136"/>
        <v/>
      </c>
      <c r="BZ133" s="217" t="str">
        <f t="shared" si="137"/>
        <v/>
      </c>
      <c r="CA133" s="217" t="str">
        <f t="shared" si="138"/>
        <v/>
      </c>
      <c r="CB133" s="215" t="str">
        <f t="shared" si="139"/>
        <v/>
      </c>
      <c r="CC133" s="217" t="str">
        <f t="shared" si="140"/>
        <v/>
      </c>
      <c r="CD133" s="217" t="str">
        <f t="shared" si="141"/>
        <v/>
      </c>
    </row>
    <row r="134" spans="1:82" x14ac:dyDescent="0.25">
      <c r="A134" s="48"/>
      <c r="B134" s="54"/>
      <c r="C134" s="54"/>
      <c r="D134" s="54"/>
      <c r="E134" s="54"/>
      <c r="F134" s="54"/>
      <c r="G134" s="54"/>
      <c r="H134" s="54"/>
      <c r="I134" s="54"/>
      <c r="J134" s="2"/>
      <c r="K134" s="2"/>
      <c r="L134" s="2"/>
      <c r="M134" s="2"/>
      <c r="N134" s="2"/>
      <c r="O134" s="2"/>
      <c r="P134" s="2"/>
      <c r="Q134" s="2"/>
      <c r="R134" s="2"/>
      <c r="S134" s="2"/>
      <c r="T134" s="2"/>
      <c r="U134" s="2"/>
      <c r="V134" s="2"/>
      <c r="W134" s="2"/>
      <c r="X134" s="2"/>
      <c r="Y134" s="259"/>
      <c r="Z134" s="2"/>
      <c r="AA134" s="264">
        <v>130</v>
      </c>
      <c r="AB134" s="16" t="str">
        <f t="shared" si="114"/>
        <v/>
      </c>
      <c r="AC134" s="16" t="str">
        <f t="shared" si="115"/>
        <v/>
      </c>
      <c r="AD134" s="16" t="str">
        <f t="shared" si="142"/>
        <v/>
      </c>
      <c r="AE134" s="16" t="str">
        <f t="shared" si="143"/>
        <v/>
      </c>
      <c r="AF134" s="16" t="str">
        <f t="shared" si="144"/>
        <v/>
      </c>
      <c r="AG134" s="16" t="str">
        <f t="shared" si="116"/>
        <v/>
      </c>
      <c r="AH134" s="16" t="str">
        <f t="shared" si="117"/>
        <v/>
      </c>
      <c r="AI134" s="29" t="str">
        <f t="shared" si="145"/>
        <v/>
      </c>
      <c r="AJ134" s="29" t="str">
        <f t="shared" si="146"/>
        <v/>
      </c>
      <c r="AK134" s="2"/>
      <c r="AL134" s="2"/>
      <c r="AM134" s="2"/>
      <c r="AN134" s="2"/>
      <c r="AO134" s="2"/>
      <c r="AP134" s="2"/>
      <c r="AQ134" s="2"/>
      <c r="AR134" s="2"/>
      <c r="AS134" s="2"/>
      <c r="AT134" s="2"/>
      <c r="AU134" s="2"/>
      <c r="AV134" s="2"/>
      <c r="AW134" s="2"/>
      <c r="AX134" s="2"/>
      <c r="AY134" s="2"/>
      <c r="AZ134" s="2"/>
      <c r="BA134" s="2"/>
      <c r="BB134" s="2"/>
      <c r="BC134" s="2"/>
      <c r="BG134" s="215" t="str">
        <f t="shared" si="118"/>
        <v/>
      </c>
      <c r="BH134" s="217" t="str">
        <f t="shared" si="119"/>
        <v/>
      </c>
      <c r="BI134" s="217" t="str">
        <f t="shared" si="120"/>
        <v/>
      </c>
      <c r="BJ134" s="215" t="str">
        <f t="shared" si="121"/>
        <v/>
      </c>
      <c r="BK134" s="217" t="str">
        <f t="shared" si="122"/>
        <v/>
      </c>
      <c r="BL134" s="217" t="str">
        <f t="shared" si="123"/>
        <v/>
      </c>
      <c r="BM134" s="215" t="str">
        <f t="shared" si="124"/>
        <v/>
      </c>
      <c r="BN134" s="217" t="str">
        <f t="shared" si="125"/>
        <v/>
      </c>
      <c r="BO134" s="217" t="str">
        <f t="shared" si="126"/>
        <v/>
      </c>
      <c r="BP134" s="215" t="str">
        <f t="shared" si="127"/>
        <v/>
      </c>
      <c r="BQ134" s="217" t="str">
        <f t="shared" si="128"/>
        <v/>
      </c>
      <c r="BR134" s="217" t="str">
        <f t="shared" si="129"/>
        <v/>
      </c>
      <c r="BS134" s="215" t="str">
        <f t="shared" si="130"/>
        <v/>
      </c>
      <c r="BT134" s="217" t="str">
        <f t="shared" si="131"/>
        <v/>
      </c>
      <c r="BU134" s="217" t="str">
        <f t="shared" si="132"/>
        <v/>
      </c>
      <c r="BV134" s="215" t="str">
        <f t="shared" si="133"/>
        <v/>
      </c>
      <c r="BW134" s="217" t="str">
        <f t="shared" si="134"/>
        <v/>
      </c>
      <c r="BX134" s="217" t="str">
        <f t="shared" si="135"/>
        <v/>
      </c>
      <c r="BY134" s="215" t="str">
        <f t="shared" si="136"/>
        <v/>
      </c>
      <c r="BZ134" s="217" t="str">
        <f t="shared" si="137"/>
        <v/>
      </c>
      <c r="CA134" s="217" t="str">
        <f t="shared" si="138"/>
        <v/>
      </c>
      <c r="CB134" s="215" t="str">
        <f t="shared" si="139"/>
        <v/>
      </c>
      <c r="CC134" s="217" t="str">
        <f t="shared" si="140"/>
        <v/>
      </c>
      <c r="CD134" s="217" t="str">
        <f t="shared" si="141"/>
        <v/>
      </c>
    </row>
    <row r="135" spans="1:82" x14ac:dyDescent="0.25">
      <c r="A135" s="48"/>
      <c r="B135" s="54"/>
      <c r="C135" s="54"/>
      <c r="D135" s="54"/>
      <c r="E135" s="54"/>
      <c r="F135" s="54"/>
      <c r="G135" s="54"/>
      <c r="H135" s="54"/>
      <c r="I135" s="54"/>
      <c r="J135" s="2"/>
      <c r="K135" s="2"/>
      <c r="L135" s="2"/>
      <c r="M135" s="2"/>
      <c r="N135" s="2"/>
      <c r="O135" s="2"/>
      <c r="P135" s="2"/>
      <c r="Q135" s="2"/>
      <c r="R135" s="2"/>
      <c r="S135" s="2"/>
      <c r="T135" s="2"/>
      <c r="U135" s="2"/>
      <c r="V135" s="2"/>
      <c r="W135" s="2"/>
      <c r="X135" s="2"/>
      <c r="Y135" s="259"/>
      <c r="Z135" s="2"/>
      <c r="AA135" s="264">
        <v>131</v>
      </c>
      <c r="AB135" s="16" t="str">
        <f t="shared" si="114"/>
        <v/>
      </c>
      <c r="AC135" s="16" t="str">
        <f t="shared" si="115"/>
        <v/>
      </c>
      <c r="AD135" s="16" t="str">
        <f t="shared" si="142"/>
        <v/>
      </c>
      <c r="AE135" s="16" t="str">
        <f t="shared" si="143"/>
        <v/>
      </c>
      <c r="AF135" s="16" t="str">
        <f t="shared" si="144"/>
        <v/>
      </c>
      <c r="AG135" s="16" t="str">
        <f t="shared" si="116"/>
        <v/>
      </c>
      <c r="AH135" s="16" t="str">
        <f t="shared" si="117"/>
        <v/>
      </c>
      <c r="AI135" s="29" t="str">
        <f t="shared" si="145"/>
        <v/>
      </c>
      <c r="AJ135" s="29" t="str">
        <f t="shared" si="146"/>
        <v/>
      </c>
      <c r="AK135" s="2"/>
      <c r="AL135" s="2"/>
      <c r="AM135" s="2"/>
      <c r="AN135" s="2"/>
      <c r="AO135" s="2"/>
      <c r="AP135" s="2"/>
      <c r="AQ135" s="2"/>
      <c r="AR135" s="2"/>
      <c r="AS135" s="2"/>
      <c r="AT135" s="2"/>
      <c r="AU135" s="2"/>
      <c r="AV135" s="2"/>
      <c r="AW135" s="2"/>
      <c r="AX135" s="2"/>
      <c r="AY135" s="2"/>
      <c r="AZ135" s="2"/>
      <c r="BA135" s="2"/>
      <c r="BB135" s="2"/>
      <c r="BC135" s="2"/>
      <c r="BG135" s="215" t="str">
        <f t="shared" si="118"/>
        <v/>
      </c>
      <c r="BH135" s="217" t="str">
        <f t="shared" si="119"/>
        <v/>
      </c>
      <c r="BI135" s="217" t="str">
        <f t="shared" si="120"/>
        <v/>
      </c>
      <c r="BJ135" s="215" t="str">
        <f t="shared" si="121"/>
        <v/>
      </c>
      <c r="BK135" s="217" t="str">
        <f t="shared" si="122"/>
        <v/>
      </c>
      <c r="BL135" s="217" t="str">
        <f t="shared" si="123"/>
        <v/>
      </c>
      <c r="BM135" s="215" t="str">
        <f t="shared" si="124"/>
        <v/>
      </c>
      <c r="BN135" s="217" t="str">
        <f t="shared" si="125"/>
        <v/>
      </c>
      <c r="BO135" s="217" t="str">
        <f t="shared" si="126"/>
        <v/>
      </c>
      <c r="BP135" s="215" t="str">
        <f t="shared" si="127"/>
        <v/>
      </c>
      <c r="BQ135" s="217" t="str">
        <f t="shared" si="128"/>
        <v/>
      </c>
      <c r="BR135" s="217" t="str">
        <f t="shared" si="129"/>
        <v/>
      </c>
      <c r="BS135" s="215" t="str">
        <f t="shared" si="130"/>
        <v/>
      </c>
      <c r="BT135" s="217" t="str">
        <f t="shared" si="131"/>
        <v/>
      </c>
      <c r="BU135" s="217" t="str">
        <f t="shared" si="132"/>
        <v/>
      </c>
      <c r="BV135" s="215" t="str">
        <f t="shared" si="133"/>
        <v/>
      </c>
      <c r="BW135" s="217" t="str">
        <f t="shared" si="134"/>
        <v/>
      </c>
      <c r="BX135" s="217" t="str">
        <f t="shared" si="135"/>
        <v/>
      </c>
      <c r="BY135" s="215" t="str">
        <f t="shared" si="136"/>
        <v/>
      </c>
      <c r="BZ135" s="217" t="str">
        <f t="shared" si="137"/>
        <v/>
      </c>
      <c r="CA135" s="217" t="str">
        <f t="shared" si="138"/>
        <v/>
      </c>
      <c r="CB135" s="215" t="str">
        <f t="shared" si="139"/>
        <v/>
      </c>
      <c r="CC135" s="217" t="str">
        <f t="shared" si="140"/>
        <v/>
      </c>
      <c r="CD135" s="217" t="str">
        <f t="shared" si="141"/>
        <v/>
      </c>
    </row>
    <row r="136" spans="1:82" x14ac:dyDescent="0.25">
      <c r="A136" s="48"/>
      <c r="B136" s="54"/>
      <c r="C136" s="54"/>
      <c r="D136" s="54"/>
      <c r="E136" s="54"/>
      <c r="F136" s="54"/>
      <c r="G136" s="54"/>
      <c r="H136" s="54"/>
      <c r="I136" s="54"/>
      <c r="J136" s="2"/>
      <c r="K136" s="2"/>
      <c r="L136" s="2"/>
      <c r="M136" s="2"/>
      <c r="N136" s="2"/>
      <c r="O136" s="2"/>
      <c r="P136" s="2"/>
      <c r="Q136" s="2"/>
      <c r="R136" s="2"/>
      <c r="S136" s="2"/>
      <c r="T136" s="2"/>
      <c r="U136" s="2"/>
      <c r="V136" s="2"/>
      <c r="W136" s="2"/>
      <c r="X136" s="2"/>
      <c r="Y136" s="259"/>
      <c r="Z136" s="2"/>
      <c r="AA136" s="264">
        <v>132</v>
      </c>
      <c r="AB136" s="16" t="str">
        <f t="shared" si="114"/>
        <v/>
      </c>
      <c r="AC136" s="16" t="str">
        <f t="shared" si="115"/>
        <v/>
      </c>
      <c r="AD136" s="16" t="str">
        <f t="shared" si="142"/>
        <v/>
      </c>
      <c r="AE136" s="16" t="str">
        <f t="shared" si="143"/>
        <v/>
      </c>
      <c r="AF136" s="16" t="str">
        <f t="shared" si="144"/>
        <v/>
      </c>
      <c r="AG136" s="16" t="str">
        <f t="shared" si="116"/>
        <v/>
      </c>
      <c r="AH136" s="16" t="str">
        <f t="shared" si="117"/>
        <v/>
      </c>
      <c r="AI136" s="29" t="str">
        <f t="shared" si="145"/>
        <v/>
      </c>
      <c r="AJ136" s="29" t="str">
        <f t="shared" si="146"/>
        <v/>
      </c>
      <c r="AK136" s="2"/>
      <c r="AL136" s="2"/>
      <c r="AM136" s="2"/>
      <c r="AN136" s="2"/>
      <c r="AO136" s="2"/>
      <c r="AP136" s="2"/>
      <c r="AQ136" s="2"/>
      <c r="AR136" s="2"/>
      <c r="AS136" s="2"/>
      <c r="AT136" s="2"/>
      <c r="AU136" s="2"/>
      <c r="AV136" s="2"/>
      <c r="AW136" s="2"/>
      <c r="AX136" s="2"/>
      <c r="AY136" s="2"/>
      <c r="AZ136" s="2"/>
      <c r="BA136" s="2"/>
      <c r="BB136" s="2"/>
      <c r="BC136" s="2"/>
      <c r="BG136" s="215" t="str">
        <f t="shared" si="118"/>
        <v/>
      </c>
      <c r="BH136" s="217" t="str">
        <f t="shared" si="119"/>
        <v/>
      </c>
      <c r="BI136" s="217" t="str">
        <f t="shared" si="120"/>
        <v/>
      </c>
      <c r="BJ136" s="215" t="str">
        <f t="shared" si="121"/>
        <v/>
      </c>
      <c r="BK136" s="217" t="str">
        <f t="shared" si="122"/>
        <v/>
      </c>
      <c r="BL136" s="217" t="str">
        <f t="shared" si="123"/>
        <v/>
      </c>
      <c r="BM136" s="215" t="str">
        <f t="shared" si="124"/>
        <v/>
      </c>
      <c r="BN136" s="217" t="str">
        <f t="shared" si="125"/>
        <v/>
      </c>
      <c r="BO136" s="217" t="str">
        <f t="shared" si="126"/>
        <v/>
      </c>
      <c r="BP136" s="215" t="str">
        <f t="shared" si="127"/>
        <v/>
      </c>
      <c r="BQ136" s="217" t="str">
        <f t="shared" si="128"/>
        <v/>
      </c>
      <c r="BR136" s="217" t="str">
        <f t="shared" si="129"/>
        <v/>
      </c>
      <c r="BS136" s="215" t="str">
        <f t="shared" si="130"/>
        <v/>
      </c>
      <c r="BT136" s="217" t="str">
        <f t="shared" si="131"/>
        <v/>
      </c>
      <c r="BU136" s="217" t="str">
        <f t="shared" si="132"/>
        <v/>
      </c>
      <c r="BV136" s="215" t="str">
        <f t="shared" si="133"/>
        <v/>
      </c>
      <c r="BW136" s="217" t="str">
        <f t="shared" si="134"/>
        <v/>
      </c>
      <c r="BX136" s="217" t="str">
        <f t="shared" si="135"/>
        <v/>
      </c>
      <c r="BY136" s="215" t="str">
        <f t="shared" si="136"/>
        <v/>
      </c>
      <c r="BZ136" s="217" t="str">
        <f t="shared" si="137"/>
        <v/>
      </c>
      <c r="CA136" s="217" t="str">
        <f t="shared" si="138"/>
        <v/>
      </c>
      <c r="CB136" s="215" t="str">
        <f t="shared" si="139"/>
        <v/>
      </c>
      <c r="CC136" s="217" t="str">
        <f t="shared" si="140"/>
        <v/>
      </c>
      <c r="CD136" s="217" t="str">
        <f t="shared" si="141"/>
        <v/>
      </c>
    </row>
    <row r="137" spans="1:82" x14ac:dyDescent="0.25">
      <c r="A137" s="48"/>
      <c r="B137" s="54"/>
      <c r="C137" s="54"/>
      <c r="D137" s="54"/>
      <c r="E137" s="54"/>
      <c r="F137" s="54"/>
      <c r="G137" s="54"/>
      <c r="H137" s="54"/>
      <c r="I137" s="54"/>
      <c r="J137" s="2"/>
      <c r="K137" s="2"/>
      <c r="L137" s="2"/>
      <c r="M137" s="2"/>
      <c r="N137" s="2"/>
      <c r="O137" s="2"/>
      <c r="P137" s="2"/>
      <c r="Q137" s="2"/>
      <c r="R137" s="2"/>
      <c r="S137" s="2"/>
      <c r="T137" s="2"/>
      <c r="U137" s="2"/>
      <c r="V137" s="2"/>
      <c r="W137" s="2"/>
      <c r="X137" s="2"/>
      <c r="Y137" s="259"/>
      <c r="Z137" s="2"/>
      <c r="AA137" s="264">
        <v>133</v>
      </c>
      <c r="AB137" s="16" t="str">
        <f t="shared" ref="AB137:AB154" si="147">IF($C$9&gt;=$AA137,$I45+0.000001-$AB$410,"")</f>
        <v/>
      </c>
      <c r="AC137" s="16" t="str">
        <f t="shared" ref="AC137:AC154" si="148">IF($C$9&gt;=$AA137,$H45+0.000001-$AB$409,"")</f>
        <v/>
      </c>
      <c r="AD137" s="16" t="str">
        <f t="shared" si="142"/>
        <v/>
      </c>
      <c r="AE137" s="16" t="str">
        <f t="shared" si="143"/>
        <v/>
      </c>
      <c r="AF137" s="16" t="str">
        <f t="shared" si="144"/>
        <v/>
      </c>
      <c r="AG137" s="16" t="str">
        <f t="shared" ref="AG137:AG154" si="149">IF($C$9&gt;=$AA137,$H45-$AB$409,"")</f>
        <v/>
      </c>
      <c r="AH137" s="16" t="str">
        <f t="shared" ref="AH137:AH154" si="150">IF($C$9&gt;=$AA137,$I45-$AB$410,"")</f>
        <v/>
      </c>
      <c r="AI137" s="29" t="str">
        <f t="shared" si="145"/>
        <v/>
      </c>
      <c r="AJ137" s="29" t="str">
        <f t="shared" si="146"/>
        <v/>
      </c>
      <c r="AK137" s="2"/>
      <c r="AL137" s="2"/>
      <c r="AM137" s="2"/>
      <c r="AN137" s="2"/>
      <c r="AO137" s="2"/>
      <c r="AP137" s="2"/>
      <c r="AQ137" s="2"/>
      <c r="AR137" s="2"/>
      <c r="AS137" s="2"/>
      <c r="AT137" s="2"/>
      <c r="AU137" s="2"/>
      <c r="AV137" s="2"/>
      <c r="AW137" s="2"/>
      <c r="AX137" s="2"/>
      <c r="AY137" s="2"/>
      <c r="AZ137" s="2"/>
      <c r="BA137" s="2"/>
      <c r="BB137" s="2"/>
      <c r="BC137" s="2"/>
      <c r="BG137" s="215" t="str">
        <f t="shared" si="118"/>
        <v/>
      </c>
      <c r="BH137" s="217" t="str">
        <f t="shared" si="119"/>
        <v/>
      </c>
      <c r="BI137" s="217" t="str">
        <f t="shared" si="120"/>
        <v/>
      </c>
      <c r="BJ137" s="215" t="str">
        <f t="shared" si="121"/>
        <v/>
      </c>
      <c r="BK137" s="217" t="str">
        <f t="shared" si="122"/>
        <v/>
      </c>
      <c r="BL137" s="217" t="str">
        <f t="shared" si="123"/>
        <v/>
      </c>
      <c r="BM137" s="215" t="str">
        <f t="shared" si="124"/>
        <v/>
      </c>
      <c r="BN137" s="217" t="str">
        <f t="shared" si="125"/>
        <v/>
      </c>
      <c r="BO137" s="217" t="str">
        <f t="shared" si="126"/>
        <v/>
      </c>
      <c r="BP137" s="215" t="str">
        <f t="shared" si="127"/>
        <v/>
      </c>
      <c r="BQ137" s="217" t="str">
        <f t="shared" si="128"/>
        <v/>
      </c>
      <c r="BR137" s="217" t="str">
        <f t="shared" si="129"/>
        <v/>
      </c>
      <c r="BS137" s="215" t="str">
        <f t="shared" si="130"/>
        <v/>
      </c>
      <c r="BT137" s="217" t="str">
        <f t="shared" si="131"/>
        <v/>
      </c>
      <c r="BU137" s="217" t="str">
        <f t="shared" si="132"/>
        <v/>
      </c>
      <c r="BV137" s="215" t="str">
        <f t="shared" si="133"/>
        <v/>
      </c>
      <c r="BW137" s="217" t="str">
        <f t="shared" si="134"/>
        <v/>
      </c>
      <c r="BX137" s="217" t="str">
        <f t="shared" si="135"/>
        <v/>
      </c>
      <c r="BY137" s="215" t="str">
        <f t="shared" si="136"/>
        <v/>
      </c>
      <c r="BZ137" s="217" t="str">
        <f t="shared" si="137"/>
        <v/>
      </c>
      <c r="CA137" s="217" t="str">
        <f t="shared" si="138"/>
        <v/>
      </c>
      <c r="CB137" s="215" t="str">
        <f t="shared" si="139"/>
        <v/>
      </c>
      <c r="CC137" s="217" t="str">
        <f t="shared" si="140"/>
        <v/>
      </c>
      <c r="CD137" s="217" t="str">
        <f t="shared" si="141"/>
        <v/>
      </c>
    </row>
    <row r="138" spans="1:82" x14ac:dyDescent="0.25">
      <c r="A138" s="48"/>
      <c r="B138" s="54"/>
      <c r="C138" s="54"/>
      <c r="D138" s="54"/>
      <c r="E138" s="54"/>
      <c r="F138" s="54"/>
      <c r="G138" s="54"/>
      <c r="H138" s="54"/>
      <c r="I138" s="54"/>
      <c r="J138" s="2"/>
      <c r="K138" s="2"/>
      <c r="L138" s="2"/>
      <c r="M138" s="2"/>
      <c r="N138" s="2"/>
      <c r="O138" s="2"/>
      <c r="P138" s="2"/>
      <c r="Q138" s="2"/>
      <c r="R138" s="2"/>
      <c r="S138" s="2"/>
      <c r="T138" s="2"/>
      <c r="U138" s="2"/>
      <c r="V138" s="2"/>
      <c r="W138" s="2"/>
      <c r="X138" s="2"/>
      <c r="Y138" s="259"/>
      <c r="Z138" s="2"/>
      <c r="AA138" s="264">
        <v>134</v>
      </c>
      <c r="AB138" s="16" t="str">
        <f t="shared" si="147"/>
        <v/>
      </c>
      <c r="AC138" s="16" t="str">
        <f t="shared" si="148"/>
        <v/>
      </c>
      <c r="AD138" s="16" t="str">
        <f t="shared" si="142"/>
        <v/>
      </c>
      <c r="AE138" s="16" t="str">
        <f t="shared" si="143"/>
        <v/>
      </c>
      <c r="AF138" s="16" t="str">
        <f t="shared" si="144"/>
        <v/>
      </c>
      <c r="AG138" s="16" t="str">
        <f t="shared" si="149"/>
        <v/>
      </c>
      <c r="AH138" s="16" t="str">
        <f t="shared" si="150"/>
        <v/>
      </c>
      <c r="AI138" s="29" t="str">
        <f t="shared" si="145"/>
        <v/>
      </c>
      <c r="AJ138" s="29" t="str">
        <f t="shared" si="146"/>
        <v/>
      </c>
      <c r="AK138" s="2"/>
      <c r="AL138" s="2"/>
      <c r="AM138" s="2"/>
      <c r="AN138" s="2"/>
      <c r="AO138" s="2"/>
      <c r="AP138" s="2"/>
      <c r="AQ138" s="2"/>
      <c r="AR138" s="2"/>
      <c r="AS138" s="2"/>
      <c r="AT138" s="2"/>
      <c r="AU138" s="2"/>
      <c r="AV138" s="2"/>
      <c r="AW138" s="2"/>
      <c r="AX138" s="2"/>
      <c r="AY138" s="2"/>
      <c r="AZ138" s="2"/>
      <c r="BA138" s="2"/>
      <c r="BB138" s="2"/>
      <c r="BC138" s="2"/>
      <c r="BG138" s="215" t="str">
        <f t="shared" si="118"/>
        <v/>
      </c>
      <c r="BH138" s="217" t="str">
        <f t="shared" si="119"/>
        <v/>
      </c>
      <c r="BI138" s="217" t="str">
        <f t="shared" si="120"/>
        <v/>
      </c>
      <c r="BJ138" s="215" t="str">
        <f t="shared" si="121"/>
        <v/>
      </c>
      <c r="BK138" s="217" t="str">
        <f t="shared" si="122"/>
        <v/>
      </c>
      <c r="BL138" s="217" t="str">
        <f t="shared" si="123"/>
        <v/>
      </c>
      <c r="BM138" s="215" t="str">
        <f t="shared" si="124"/>
        <v/>
      </c>
      <c r="BN138" s="217" t="str">
        <f t="shared" si="125"/>
        <v/>
      </c>
      <c r="BO138" s="217" t="str">
        <f t="shared" si="126"/>
        <v/>
      </c>
      <c r="BP138" s="215" t="str">
        <f t="shared" si="127"/>
        <v/>
      </c>
      <c r="BQ138" s="217" t="str">
        <f t="shared" si="128"/>
        <v/>
      </c>
      <c r="BR138" s="217" t="str">
        <f t="shared" si="129"/>
        <v/>
      </c>
      <c r="BS138" s="215" t="str">
        <f t="shared" si="130"/>
        <v/>
      </c>
      <c r="BT138" s="217" t="str">
        <f t="shared" si="131"/>
        <v/>
      </c>
      <c r="BU138" s="217" t="str">
        <f t="shared" si="132"/>
        <v/>
      </c>
      <c r="BV138" s="215" t="str">
        <f t="shared" si="133"/>
        <v/>
      </c>
      <c r="BW138" s="217" t="str">
        <f t="shared" si="134"/>
        <v/>
      </c>
      <c r="BX138" s="217" t="str">
        <f t="shared" si="135"/>
        <v/>
      </c>
      <c r="BY138" s="215" t="str">
        <f t="shared" si="136"/>
        <v/>
      </c>
      <c r="BZ138" s="217" t="str">
        <f t="shared" si="137"/>
        <v/>
      </c>
      <c r="CA138" s="217" t="str">
        <f t="shared" si="138"/>
        <v/>
      </c>
      <c r="CB138" s="215" t="str">
        <f t="shared" si="139"/>
        <v/>
      </c>
      <c r="CC138" s="217" t="str">
        <f t="shared" si="140"/>
        <v/>
      </c>
      <c r="CD138" s="217" t="str">
        <f t="shared" si="141"/>
        <v/>
      </c>
    </row>
    <row r="139" spans="1:82" x14ac:dyDescent="0.25">
      <c r="A139" s="48"/>
      <c r="B139" s="54"/>
      <c r="C139" s="54"/>
      <c r="D139" s="54"/>
      <c r="E139" s="54"/>
      <c r="F139" s="54"/>
      <c r="G139" s="54"/>
      <c r="H139" s="54"/>
      <c r="I139" s="54"/>
      <c r="J139" s="2"/>
      <c r="K139" s="2"/>
      <c r="L139" s="2"/>
      <c r="M139" s="2"/>
      <c r="N139" s="2"/>
      <c r="O139" s="2"/>
      <c r="P139" s="2"/>
      <c r="Q139" s="2"/>
      <c r="R139" s="2"/>
      <c r="S139" s="2"/>
      <c r="T139" s="2"/>
      <c r="U139" s="2"/>
      <c r="V139" s="2"/>
      <c r="W139" s="2"/>
      <c r="X139" s="2"/>
      <c r="Y139" s="259"/>
      <c r="Z139" s="2"/>
      <c r="AA139" s="264">
        <v>135</v>
      </c>
      <c r="AB139" s="16" t="str">
        <f t="shared" si="147"/>
        <v/>
      </c>
      <c r="AC139" s="16" t="str">
        <f t="shared" si="148"/>
        <v/>
      </c>
      <c r="AD139" s="16" t="str">
        <f t="shared" si="142"/>
        <v/>
      </c>
      <c r="AE139" s="16" t="str">
        <f t="shared" si="143"/>
        <v/>
      </c>
      <c r="AF139" s="16" t="str">
        <f t="shared" si="144"/>
        <v/>
      </c>
      <c r="AG139" s="16" t="str">
        <f t="shared" si="149"/>
        <v/>
      </c>
      <c r="AH139" s="16" t="str">
        <f t="shared" si="150"/>
        <v/>
      </c>
      <c r="AI139" s="29" t="str">
        <f t="shared" si="145"/>
        <v/>
      </c>
      <c r="AJ139" s="29" t="str">
        <f t="shared" si="146"/>
        <v/>
      </c>
      <c r="AK139" s="2"/>
      <c r="AL139" s="2"/>
      <c r="AM139" s="2"/>
      <c r="AN139" s="2"/>
      <c r="AO139" s="2"/>
      <c r="AP139" s="2"/>
      <c r="AQ139" s="2"/>
      <c r="AR139" s="2"/>
      <c r="AS139" s="2"/>
      <c r="AT139" s="2"/>
      <c r="AU139" s="2"/>
      <c r="AV139" s="2"/>
      <c r="AW139" s="2"/>
      <c r="AX139" s="2"/>
      <c r="AY139" s="2"/>
      <c r="AZ139" s="2"/>
      <c r="BA139" s="2"/>
      <c r="BB139" s="2"/>
      <c r="BC139" s="2"/>
      <c r="BG139" s="215" t="str">
        <f t="shared" si="118"/>
        <v/>
      </c>
      <c r="BH139" s="217" t="str">
        <f t="shared" si="119"/>
        <v/>
      </c>
      <c r="BI139" s="217" t="str">
        <f t="shared" si="120"/>
        <v/>
      </c>
      <c r="BJ139" s="215" t="str">
        <f t="shared" si="121"/>
        <v/>
      </c>
      <c r="BK139" s="217" t="str">
        <f t="shared" si="122"/>
        <v/>
      </c>
      <c r="BL139" s="217" t="str">
        <f t="shared" si="123"/>
        <v/>
      </c>
      <c r="BM139" s="215" t="str">
        <f t="shared" si="124"/>
        <v/>
      </c>
      <c r="BN139" s="217" t="str">
        <f t="shared" si="125"/>
        <v/>
      </c>
      <c r="BO139" s="217" t="str">
        <f t="shared" si="126"/>
        <v/>
      </c>
      <c r="BP139" s="215" t="str">
        <f t="shared" si="127"/>
        <v/>
      </c>
      <c r="BQ139" s="217" t="str">
        <f t="shared" si="128"/>
        <v/>
      </c>
      <c r="BR139" s="217" t="str">
        <f t="shared" si="129"/>
        <v/>
      </c>
      <c r="BS139" s="215" t="str">
        <f t="shared" si="130"/>
        <v/>
      </c>
      <c r="BT139" s="217" t="str">
        <f t="shared" si="131"/>
        <v/>
      </c>
      <c r="BU139" s="217" t="str">
        <f t="shared" si="132"/>
        <v/>
      </c>
      <c r="BV139" s="215" t="str">
        <f t="shared" si="133"/>
        <v/>
      </c>
      <c r="BW139" s="217" t="str">
        <f t="shared" si="134"/>
        <v/>
      </c>
      <c r="BX139" s="217" t="str">
        <f t="shared" si="135"/>
        <v/>
      </c>
      <c r="BY139" s="215" t="str">
        <f t="shared" si="136"/>
        <v/>
      </c>
      <c r="BZ139" s="217" t="str">
        <f t="shared" si="137"/>
        <v/>
      </c>
      <c r="CA139" s="217" t="str">
        <f t="shared" si="138"/>
        <v/>
      </c>
      <c r="CB139" s="215" t="str">
        <f t="shared" si="139"/>
        <v/>
      </c>
      <c r="CC139" s="217" t="str">
        <f t="shared" si="140"/>
        <v/>
      </c>
      <c r="CD139" s="217" t="str">
        <f t="shared" si="141"/>
        <v/>
      </c>
    </row>
    <row r="140" spans="1:82" x14ac:dyDescent="0.25">
      <c r="A140" s="48"/>
      <c r="B140" s="54"/>
      <c r="C140" s="54"/>
      <c r="D140" s="54"/>
      <c r="E140" s="54"/>
      <c r="F140" s="54"/>
      <c r="G140" s="54"/>
      <c r="H140" s="54"/>
      <c r="I140" s="54"/>
      <c r="J140" s="2"/>
      <c r="K140" s="2"/>
      <c r="L140" s="2"/>
      <c r="M140" s="2"/>
      <c r="N140" s="2"/>
      <c r="O140" s="2"/>
      <c r="P140" s="2"/>
      <c r="Q140" s="2"/>
      <c r="R140" s="2"/>
      <c r="S140" s="2"/>
      <c r="T140" s="2"/>
      <c r="U140" s="2"/>
      <c r="V140" s="2"/>
      <c r="W140" s="2"/>
      <c r="X140" s="2"/>
      <c r="Y140" s="259"/>
      <c r="Z140" s="2"/>
      <c r="AA140" s="264">
        <v>136</v>
      </c>
      <c r="AB140" s="16" t="str">
        <f t="shared" si="147"/>
        <v/>
      </c>
      <c r="AC140" s="16" t="str">
        <f t="shared" si="148"/>
        <v/>
      </c>
      <c r="AD140" s="16" t="str">
        <f t="shared" si="142"/>
        <v/>
      </c>
      <c r="AE140" s="16" t="str">
        <f t="shared" si="143"/>
        <v/>
      </c>
      <c r="AF140" s="16" t="str">
        <f t="shared" si="144"/>
        <v/>
      </c>
      <c r="AG140" s="16" t="str">
        <f t="shared" si="149"/>
        <v/>
      </c>
      <c r="AH140" s="16" t="str">
        <f t="shared" si="150"/>
        <v/>
      </c>
      <c r="AI140" s="29" t="str">
        <f t="shared" si="145"/>
        <v/>
      </c>
      <c r="AJ140" s="29" t="str">
        <f t="shared" si="146"/>
        <v/>
      </c>
      <c r="AK140" s="2"/>
      <c r="AL140" s="2"/>
      <c r="AM140" s="2"/>
      <c r="AN140" s="2"/>
      <c r="AO140" s="2"/>
      <c r="AP140" s="2"/>
      <c r="AQ140" s="2"/>
      <c r="AR140" s="2"/>
      <c r="AS140" s="2"/>
      <c r="AT140" s="2"/>
      <c r="AU140" s="2"/>
      <c r="AV140" s="2"/>
      <c r="AW140" s="2"/>
      <c r="AX140" s="2"/>
      <c r="AY140" s="2"/>
      <c r="AZ140" s="2"/>
      <c r="BA140" s="2"/>
      <c r="BB140" s="2"/>
      <c r="BC140" s="2"/>
      <c r="BG140" s="215" t="str">
        <f t="shared" si="118"/>
        <v/>
      </c>
      <c r="BH140" s="221" t="str">
        <f t="shared" si="119"/>
        <v/>
      </c>
      <c r="BI140" s="221" t="str">
        <f t="shared" si="120"/>
        <v/>
      </c>
      <c r="BJ140" s="215" t="str">
        <f t="shared" si="121"/>
        <v/>
      </c>
      <c r="BK140" s="221" t="str">
        <f t="shared" si="122"/>
        <v/>
      </c>
      <c r="BL140" s="221" t="str">
        <f t="shared" si="123"/>
        <v/>
      </c>
      <c r="BM140" s="215" t="str">
        <f t="shared" si="124"/>
        <v/>
      </c>
      <c r="BN140" s="221" t="str">
        <f t="shared" si="125"/>
        <v/>
      </c>
      <c r="BO140" s="221" t="str">
        <f t="shared" si="126"/>
        <v/>
      </c>
      <c r="BP140" s="215" t="str">
        <f t="shared" si="127"/>
        <v/>
      </c>
      <c r="BQ140" s="221" t="str">
        <f t="shared" si="128"/>
        <v/>
      </c>
      <c r="BR140" s="221" t="str">
        <f t="shared" si="129"/>
        <v/>
      </c>
      <c r="BS140" s="215" t="str">
        <f t="shared" si="130"/>
        <v/>
      </c>
      <c r="BT140" s="221" t="str">
        <f t="shared" si="131"/>
        <v/>
      </c>
      <c r="BU140" s="221" t="str">
        <f t="shared" si="132"/>
        <v/>
      </c>
      <c r="BV140" s="215" t="str">
        <f t="shared" si="133"/>
        <v/>
      </c>
      <c r="BW140" s="221" t="str">
        <f t="shared" si="134"/>
        <v/>
      </c>
      <c r="BX140" s="221" t="str">
        <f t="shared" si="135"/>
        <v/>
      </c>
      <c r="BY140" s="215" t="str">
        <f t="shared" si="136"/>
        <v/>
      </c>
      <c r="BZ140" s="221" t="str">
        <f t="shared" si="137"/>
        <v/>
      </c>
      <c r="CA140" s="221" t="str">
        <f t="shared" si="138"/>
        <v/>
      </c>
      <c r="CB140" s="215" t="str">
        <f t="shared" si="139"/>
        <v/>
      </c>
      <c r="CC140" s="221" t="str">
        <f t="shared" si="140"/>
        <v/>
      </c>
      <c r="CD140" s="221" t="str">
        <f t="shared" si="141"/>
        <v/>
      </c>
    </row>
    <row r="141" spans="1:82" x14ac:dyDescent="0.25">
      <c r="A141" s="48"/>
      <c r="B141" s="54"/>
      <c r="C141" s="54"/>
      <c r="D141" s="54"/>
      <c r="E141" s="54"/>
      <c r="F141" s="54"/>
      <c r="G141" s="54"/>
      <c r="H141" s="54"/>
      <c r="I141" s="54"/>
      <c r="J141" s="2"/>
      <c r="K141" s="2"/>
      <c r="L141" s="2"/>
      <c r="M141" s="2"/>
      <c r="N141" s="2"/>
      <c r="O141" s="2"/>
      <c r="P141" s="2"/>
      <c r="Q141" s="2"/>
      <c r="R141" s="2"/>
      <c r="S141" s="2"/>
      <c r="T141" s="2"/>
      <c r="U141" s="2"/>
      <c r="V141" s="2"/>
      <c r="W141" s="2"/>
      <c r="X141" s="2"/>
      <c r="Y141" s="259"/>
      <c r="Z141" s="2"/>
      <c r="AA141" s="264">
        <v>137</v>
      </c>
      <c r="AB141" s="16" t="str">
        <f t="shared" si="147"/>
        <v/>
      </c>
      <c r="AC141" s="16" t="str">
        <f t="shared" si="148"/>
        <v/>
      </c>
      <c r="AD141" s="16" t="str">
        <f t="shared" si="142"/>
        <v/>
      </c>
      <c r="AE141" s="16" t="str">
        <f t="shared" si="143"/>
        <v/>
      </c>
      <c r="AF141" s="16" t="str">
        <f t="shared" si="144"/>
        <v/>
      </c>
      <c r="AG141" s="16" t="str">
        <f t="shared" si="149"/>
        <v/>
      </c>
      <c r="AH141" s="16" t="str">
        <f t="shared" si="150"/>
        <v/>
      </c>
      <c r="AI141" s="29" t="str">
        <f t="shared" si="145"/>
        <v/>
      </c>
      <c r="AJ141" s="29" t="str">
        <f t="shared" si="146"/>
        <v/>
      </c>
      <c r="AK141" s="2"/>
      <c r="AL141" s="2"/>
      <c r="AM141" s="2"/>
      <c r="AN141" s="2"/>
      <c r="AO141" s="2"/>
      <c r="AP141" s="2"/>
      <c r="AQ141" s="2"/>
      <c r="AR141" s="2"/>
      <c r="AS141" s="2"/>
      <c r="AT141" s="2"/>
      <c r="AU141" s="2"/>
      <c r="AV141" s="2"/>
      <c r="AW141" s="2"/>
      <c r="AX141" s="2"/>
      <c r="AY141" s="2"/>
      <c r="AZ141" s="2"/>
      <c r="BA141" s="2"/>
      <c r="BB141" s="2"/>
      <c r="BC141" s="2"/>
      <c r="BG141" s="215" t="str">
        <f t="shared" si="118"/>
        <v/>
      </c>
      <c r="BH141" s="222" t="str">
        <f t="shared" si="119"/>
        <v/>
      </c>
      <c r="BI141" s="230" t="str">
        <f t="shared" si="120"/>
        <v/>
      </c>
      <c r="BJ141" s="215" t="str">
        <f t="shared" si="121"/>
        <v/>
      </c>
      <c r="BK141" s="222" t="str">
        <f t="shared" si="122"/>
        <v/>
      </c>
      <c r="BL141" s="230" t="str">
        <f t="shared" si="123"/>
        <v/>
      </c>
      <c r="BM141" s="215" t="str">
        <f t="shared" si="124"/>
        <v/>
      </c>
      <c r="BN141" s="222" t="str">
        <f t="shared" si="125"/>
        <v/>
      </c>
      <c r="BO141" s="230" t="str">
        <f t="shared" si="126"/>
        <v/>
      </c>
      <c r="BP141" s="215" t="str">
        <f t="shared" si="127"/>
        <v/>
      </c>
      <c r="BQ141" s="222" t="str">
        <f t="shared" si="128"/>
        <v/>
      </c>
      <c r="BR141" s="230" t="str">
        <f t="shared" si="129"/>
        <v/>
      </c>
      <c r="BS141" s="215" t="str">
        <f t="shared" si="130"/>
        <v/>
      </c>
      <c r="BT141" s="222" t="str">
        <f t="shared" si="131"/>
        <v/>
      </c>
      <c r="BU141" s="230" t="str">
        <f t="shared" si="132"/>
        <v/>
      </c>
      <c r="BV141" s="215" t="str">
        <f t="shared" si="133"/>
        <v/>
      </c>
      <c r="BW141" s="222" t="str">
        <f t="shared" si="134"/>
        <v/>
      </c>
      <c r="BX141" s="222" t="str">
        <f t="shared" si="135"/>
        <v/>
      </c>
      <c r="BY141" s="215" t="str">
        <f t="shared" si="136"/>
        <v/>
      </c>
      <c r="BZ141" s="222" t="str">
        <f t="shared" si="137"/>
        <v/>
      </c>
      <c r="CA141" s="222" t="str">
        <f t="shared" si="138"/>
        <v/>
      </c>
      <c r="CB141" s="215" t="str">
        <f t="shared" si="139"/>
        <v/>
      </c>
      <c r="CC141" s="222" t="str">
        <f t="shared" si="140"/>
        <v/>
      </c>
      <c r="CD141" s="222" t="str">
        <f t="shared" si="141"/>
        <v/>
      </c>
    </row>
    <row r="142" spans="1:82" x14ac:dyDescent="0.25">
      <c r="A142" s="48"/>
      <c r="B142" s="54"/>
      <c r="C142" s="54"/>
      <c r="D142" s="54"/>
      <c r="E142" s="54"/>
      <c r="F142" s="54"/>
      <c r="G142" s="54"/>
      <c r="H142" s="54"/>
      <c r="I142" s="54"/>
      <c r="J142" s="2"/>
      <c r="K142" s="2"/>
      <c r="L142" s="2"/>
      <c r="M142" s="2"/>
      <c r="N142" s="2"/>
      <c r="O142" s="2"/>
      <c r="P142" s="2"/>
      <c r="Q142" s="2"/>
      <c r="R142" s="2"/>
      <c r="S142" s="2"/>
      <c r="T142" s="2"/>
      <c r="U142" s="2"/>
      <c r="V142" s="2"/>
      <c r="W142" s="2"/>
      <c r="X142" s="2"/>
      <c r="Y142" s="259"/>
      <c r="Z142" s="2"/>
      <c r="AA142" s="264">
        <v>138</v>
      </c>
      <c r="AB142" s="16" t="str">
        <f t="shared" si="147"/>
        <v/>
      </c>
      <c r="AC142" s="16" t="str">
        <f t="shared" si="148"/>
        <v/>
      </c>
      <c r="AD142" s="16" t="str">
        <f t="shared" si="142"/>
        <v/>
      </c>
      <c r="AE142" s="16" t="str">
        <f t="shared" si="143"/>
        <v/>
      </c>
      <c r="AF142" s="16" t="str">
        <f t="shared" si="144"/>
        <v/>
      </c>
      <c r="AG142" s="16" t="str">
        <f t="shared" si="149"/>
        <v/>
      </c>
      <c r="AH142" s="16" t="str">
        <f t="shared" si="150"/>
        <v/>
      </c>
      <c r="AI142" s="29" t="str">
        <f t="shared" si="145"/>
        <v/>
      </c>
      <c r="AJ142" s="29" t="str">
        <f t="shared" si="146"/>
        <v/>
      </c>
      <c r="AK142" s="2"/>
      <c r="AL142" s="2"/>
      <c r="AM142" s="2"/>
      <c r="AN142" s="2"/>
      <c r="AO142" s="2"/>
      <c r="AP142" s="2"/>
      <c r="AQ142" s="2"/>
      <c r="AR142" s="2"/>
      <c r="AS142" s="2"/>
      <c r="AT142" s="2"/>
      <c r="AU142" s="2"/>
      <c r="AV142" s="2"/>
      <c r="AW142" s="2"/>
      <c r="AX142" s="2"/>
      <c r="AY142" s="2"/>
      <c r="AZ142" s="2"/>
      <c r="BA142" s="2"/>
      <c r="BB142" s="2"/>
      <c r="BC142" s="2"/>
    </row>
    <row r="143" spans="1:82" x14ac:dyDescent="0.25">
      <c r="A143" s="48"/>
      <c r="B143" s="54"/>
      <c r="C143" s="54"/>
      <c r="D143" s="54"/>
      <c r="E143" s="54"/>
      <c r="F143" s="54"/>
      <c r="G143" s="54"/>
      <c r="H143" s="54"/>
      <c r="I143" s="54"/>
      <c r="J143" s="2"/>
      <c r="K143" s="2"/>
      <c r="L143" s="2"/>
      <c r="M143" s="2"/>
      <c r="N143" s="2"/>
      <c r="O143" s="2"/>
      <c r="P143" s="2"/>
      <c r="Q143" s="2"/>
      <c r="R143" s="2"/>
      <c r="S143" s="2"/>
      <c r="T143" s="2"/>
      <c r="U143" s="2"/>
      <c r="V143" s="2"/>
      <c r="W143" s="2"/>
      <c r="X143" s="2"/>
      <c r="Y143" s="259"/>
      <c r="Z143" s="2"/>
      <c r="AA143" s="264">
        <v>139</v>
      </c>
      <c r="AB143" s="16" t="str">
        <f t="shared" si="147"/>
        <v/>
      </c>
      <c r="AC143" s="16" t="str">
        <f t="shared" si="148"/>
        <v/>
      </c>
      <c r="AD143" s="16" t="str">
        <f t="shared" si="142"/>
        <v/>
      </c>
      <c r="AE143" s="16" t="str">
        <f t="shared" si="143"/>
        <v/>
      </c>
      <c r="AF143" s="16" t="str">
        <f t="shared" si="144"/>
        <v/>
      </c>
      <c r="AG143" s="16" t="str">
        <f t="shared" si="149"/>
        <v/>
      </c>
      <c r="AH143" s="16" t="str">
        <f t="shared" si="150"/>
        <v/>
      </c>
      <c r="AI143" s="29" t="str">
        <f t="shared" si="145"/>
        <v/>
      </c>
      <c r="AJ143" s="29" t="str">
        <f t="shared" si="146"/>
        <v/>
      </c>
      <c r="AK143" s="2"/>
      <c r="AL143" s="2"/>
      <c r="AM143" s="2"/>
      <c r="AN143" s="2"/>
      <c r="AO143" s="2"/>
      <c r="AP143" s="2"/>
      <c r="AQ143" s="2"/>
      <c r="AR143" s="2"/>
      <c r="AS143" s="2"/>
      <c r="AT143" s="2"/>
      <c r="AU143" s="2"/>
      <c r="AV143" s="2"/>
      <c r="AW143" s="2"/>
      <c r="AX143" s="2"/>
      <c r="AY143" s="2"/>
      <c r="AZ143" s="2"/>
      <c r="BA143" s="2"/>
      <c r="BB143" s="2"/>
      <c r="BC143" s="2"/>
    </row>
    <row r="144" spans="1:82" x14ac:dyDescent="0.25">
      <c r="A144" s="48"/>
      <c r="B144" s="54"/>
      <c r="C144" s="54"/>
      <c r="D144" s="54"/>
      <c r="E144" s="54"/>
      <c r="F144" s="54"/>
      <c r="G144" s="54"/>
      <c r="H144" s="54"/>
      <c r="I144" s="54"/>
      <c r="J144" s="2"/>
      <c r="K144" s="2"/>
      <c r="L144" s="2"/>
      <c r="M144" s="2"/>
      <c r="N144" s="2"/>
      <c r="O144" s="2"/>
      <c r="P144" s="2"/>
      <c r="Q144" s="2"/>
      <c r="R144" s="2"/>
      <c r="S144" s="2"/>
      <c r="T144" s="2"/>
      <c r="U144" s="2"/>
      <c r="V144" s="2"/>
      <c r="W144" s="2"/>
      <c r="X144" s="2"/>
      <c r="Y144" s="259"/>
      <c r="Z144" s="2"/>
      <c r="AA144" s="264">
        <v>140</v>
      </c>
      <c r="AB144" s="16" t="str">
        <f t="shared" si="147"/>
        <v/>
      </c>
      <c r="AC144" s="16" t="str">
        <f t="shared" si="148"/>
        <v/>
      </c>
      <c r="AD144" s="16" t="str">
        <f t="shared" si="142"/>
        <v/>
      </c>
      <c r="AE144" s="16" t="str">
        <f t="shared" si="143"/>
        <v/>
      </c>
      <c r="AF144" s="16" t="str">
        <f t="shared" si="144"/>
        <v/>
      </c>
      <c r="AG144" s="16" t="str">
        <f t="shared" si="149"/>
        <v/>
      </c>
      <c r="AH144" s="16" t="str">
        <f t="shared" si="150"/>
        <v/>
      </c>
      <c r="AI144" s="29" t="str">
        <f t="shared" si="145"/>
        <v/>
      </c>
      <c r="AJ144" s="29" t="str">
        <f t="shared" si="146"/>
        <v/>
      </c>
      <c r="AK144" s="2"/>
      <c r="AL144" s="2"/>
      <c r="AM144" s="2"/>
      <c r="AN144" s="2"/>
      <c r="AO144" s="2"/>
      <c r="AP144" s="2"/>
      <c r="AQ144" s="2"/>
      <c r="AR144" s="2"/>
      <c r="AS144" s="2"/>
      <c r="AT144" s="2"/>
      <c r="AU144" s="2"/>
      <c r="AV144" s="2"/>
      <c r="AW144" s="2"/>
      <c r="AX144" s="2"/>
      <c r="AY144" s="2"/>
      <c r="AZ144" s="2"/>
      <c r="BA144" s="2"/>
      <c r="BB144" s="2"/>
      <c r="BC144" s="2"/>
    </row>
    <row r="145" spans="1:55" x14ac:dyDescent="0.25">
      <c r="A145" s="48"/>
      <c r="B145" s="54"/>
      <c r="C145" s="54"/>
      <c r="D145" s="54"/>
      <c r="E145" s="54"/>
      <c r="F145" s="54"/>
      <c r="G145" s="54"/>
      <c r="H145" s="54"/>
      <c r="I145" s="54"/>
      <c r="J145" s="2"/>
      <c r="K145" s="2"/>
      <c r="L145" s="2"/>
      <c r="M145" s="2"/>
      <c r="N145" s="2"/>
      <c r="O145" s="2"/>
      <c r="P145" s="2"/>
      <c r="Q145" s="2"/>
      <c r="R145" s="2"/>
      <c r="S145" s="2"/>
      <c r="T145" s="2"/>
      <c r="U145" s="2"/>
      <c r="V145" s="2"/>
      <c r="W145" s="2"/>
      <c r="X145" s="2"/>
      <c r="Y145" s="259"/>
      <c r="Z145" s="2"/>
      <c r="AA145" s="264">
        <v>141</v>
      </c>
      <c r="AB145" s="16" t="str">
        <f t="shared" si="147"/>
        <v/>
      </c>
      <c r="AC145" s="16" t="str">
        <f t="shared" si="148"/>
        <v/>
      </c>
      <c r="AD145" s="16" t="str">
        <f t="shared" si="142"/>
        <v/>
      </c>
      <c r="AE145" s="16" t="str">
        <f t="shared" si="143"/>
        <v/>
      </c>
      <c r="AF145" s="16" t="str">
        <f t="shared" si="144"/>
        <v/>
      </c>
      <c r="AG145" s="16" t="str">
        <f t="shared" si="149"/>
        <v/>
      </c>
      <c r="AH145" s="16" t="str">
        <f t="shared" si="150"/>
        <v/>
      </c>
      <c r="AI145" s="29" t="str">
        <f t="shared" si="145"/>
        <v/>
      </c>
      <c r="AJ145" s="29" t="str">
        <f t="shared" si="146"/>
        <v/>
      </c>
      <c r="AK145" s="2"/>
      <c r="AL145" s="2"/>
      <c r="AM145" s="2"/>
      <c r="AN145" s="2"/>
      <c r="AO145" s="2"/>
      <c r="AP145" s="2"/>
      <c r="AQ145" s="2"/>
      <c r="AR145" s="2"/>
      <c r="AS145" s="2"/>
      <c r="AT145" s="2"/>
      <c r="AU145" s="2"/>
      <c r="AV145" s="2"/>
      <c r="AW145" s="2"/>
      <c r="AX145" s="2"/>
      <c r="AY145" s="2"/>
      <c r="AZ145" s="2"/>
      <c r="BA145" s="2"/>
      <c r="BB145" s="2"/>
      <c r="BC145" s="2"/>
    </row>
    <row r="146" spans="1:55" x14ac:dyDescent="0.25">
      <c r="A146" s="48"/>
      <c r="B146" s="54"/>
      <c r="C146" s="54"/>
      <c r="D146" s="54"/>
      <c r="E146" s="54"/>
      <c r="F146" s="54"/>
      <c r="G146" s="54"/>
      <c r="H146" s="54"/>
      <c r="I146" s="54"/>
      <c r="J146" s="2"/>
      <c r="K146" s="2"/>
      <c r="L146" s="2"/>
      <c r="M146" s="2"/>
      <c r="N146" s="2"/>
      <c r="O146" s="2"/>
      <c r="P146" s="2"/>
      <c r="Q146" s="2"/>
      <c r="R146" s="2"/>
      <c r="S146" s="2"/>
      <c r="T146" s="2"/>
      <c r="U146" s="2"/>
      <c r="V146" s="2"/>
      <c r="W146" s="2"/>
      <c r="X146" s="2"/>
      <c r="Y146" s="259"/>
      <c r="Z146" s="2"/>
      <c r="AA146" s="264">
        <v>142</v>
      </c>
      <c r="AB146" s="16" t="str">
        <f t="shared" si="147"/>
        <v/>
      </c>
      <c r="AC146" s="16" t="str">
        <f t="shared" si="148"/>
        <v/>
      </c>
      <c r="AD146" s="16" t="str">
        <f t="shared" si="142"/>
        <v/>
      </c>
      <c r="AE146" s="16" t="str">
        <f t="shared" si="143"/>
        <v/>
      </c>
      <c r="AF146" s="16" t="str">
        <f t="shared" si="144"/>
        <v/>
      </c>
      <c r="AG146" s="16" t="str">
        <f t="shared" si="149"/>
        <v/>
      </c>
      <c r="AH146" s="16" t="str">
        <f t="shared" si="150"/>
        <v/>
      </c>
      <c r="AI146" s="29" t="str">
        <f t="shared" si="145"/>
        <v/>
      </c>
      <c r="AJ146" s="29" t="str">
        <f t="shared" si="146"/>
        <v/>
      </c>
      <c r="AK146" s="2"/>
      <c r="AL146" s="2"/>
      <c r="AM146" s="2"/>
      <c r="AN146" s="2"/>
      <c r="AO146" s="2"/>
      <c r="AP146" s="2"/>
      <c r="AQ146" s="2"/>
      <c r="AR146" s="2"/>
      <c r="AS146" s="2"/>
      <c r="AT146" s="2"/>
      <c r="AU146" s="2"/>
      <c r="AV146" s="2"/>
      <c r="AW146" s="2"/>
      <c r="AX146" s="2"/>
      <c r="AY146" s="2"/>
      <c r="AZ146" s="2"/>
      <c r="BA146" s="2"/>
      <c r="BB146" s="2"/>
      <c r="BC146" s="2"/>
    </row>
    <row r="147" spans="1:55" x14ac:dyDescent="0.25">
      <c r="A147" s="48"/>
      <c r="B147" s="54"/>
      <c r="C147" s="54"/>
      <c r="D147" s="54"/>
      <c r="E147" s="54"/>
      <c r="F147" s="54"/>
      <c r="G147" s="54"/>
      <c r="H147" s="54"/>
      <c r="I147" s="54"/>
      <c r="J147" s="2"/>
      <c r="K147" s="2"/>
      <c r="L147" s="2"/>
      <c r="M147" s="2"/>
      <c r="N147" s="2"/>
      <c r="O147" s="2"/>
      <c r="P147" s="2"/>
      <c r="Q147" s="2"/>
      <c r="R147" s="2"/>
      <c r="S147" s="2"/>
      <c r="T147" s="2"/>
      <c r="U147" s="2"/>
      <c r="V147" s="2"/>
      <c r="W147" s="2"/>
      <c r="X147" s="2"/>
      <c r="Y147" s="259"/>
      <c r="Z147" s="2"/>
      <c r="AA147" s="264">
        <v>143</v>
      </c>
      <c r="AB147" s="16" t="str">
        <f t="shared" si="147"/>
        <v/>
      </c>
      <c r="AC147" s="16" t="str">
        <f t="shared" si="148"/>
        <v/>
      </c>
      <c r="AD147" s="16" t="str">
        <f t="shared" si="142"/>
        <v/>
      </c>
      <c r="AE147" s="16" t="str">
        <f t="shared" si="143"/>
        <v/>
      </c>
      <c r="AF147" s="16" t="str">
        <f t="shared" si="144"/>
        <v/>
      </c>
      <c r="AG147" s="16" t="str">
        <f t="shared" si="149"/>
        <v/>
      </c>
      <c r="AH147" s="16" t="str">
        <f t="shared" si="150"/>
        <v/>
      </c>
      <c r="AI147" s="29" t="str">
        <f t="shared" si="145"/>
        <v/>
      </c>
      <c r="AJ147" s="29" t="str">
        <f t="shared" si="146"/>
        <v/>
      </c>
      <c r="AK147" s="2"/>
      <c r="AL147" s="2"/>
      <c r="AM147" s="2"/>
      <c r="AN147" s="2"/>
      <c r="AO147" s="2"/>
      <c r="AP147" s="2"/>
      <c r="AQ147" s="2"/>
      <c r="AR147" s="2"/>
      <c r="AS147" s="2"/>
      <c r="AT147" s="2"/>
      <c r="AU147" s="2"/>
      <c r="AV147" s="2"/>
      <c r="AW147" s="2"/>
      <c r="AX147" s="2"/>
      <c r="AY147" s="2"/>
      <c r="AZ147" s="2"/>
      <c r="BA147" s="2"/>
      <c r="BB147" s="2"/>
      <c r="BC147" s="2"/>
    </row>
    <row r="148" spans="1:55" x14ac:dyDescent="0.25">
      <c r="A148" s="48"/>
      <c r="B148" s="54"/>
      <c r="C148" s="54"/>
      <c r="D148" s="54"/>
      <c r="E148" s="54"/>
      <c r="F148" s="54"/>
      <c r="G148" s="54"/>
      <c r="H148" s="54"/>
      <c r="I148" s="54"/>
      <c r="J148" s="2"/>
      <c r="K148" s="2"/>
      <c r="L148" s="2"/>
      <c r="M148" s="2"/>
      <c r="N148" s="2"/>
      <c r="O148" s="2"/>
      <c r="P148" s="2"/>
      <c r="Q148" s="2"/>
      <c r="R148" s="2"/>
      <c r="S148" s="2"/>
      <c r="T148" s="2"/>
      <c r="U148" s="2"/>
      <c r="V148" s="2"/>
      <c r="W148" s="2"/>
      <c r="X148" s="2"/>
      <c r="Y148" s="259"/>
      <c r="Z148" s="2"/>
      <c r="AA148" s="264">
        <v>144</v>
      </c>
      <c r="AB148" s="16" t="str">
        <f t="shared" si="147"/>
        <v/>
      </c>
      <c r="AC148" s="16" t="str">
        <f t="shared" si="148"/>
        <v/>
      </c>
      <c r="AD148" s="16" t="str">
        <f t="shared" si="142"/>
        <v/>
      </c>
      <c r="AE148" s="16" t="str">
        <f t="shared" si="143"/>
        <v/>
      </c>
      <c r="AF148" s="16" t="str">
        <f t="shared" si="144"/>
        <v/>
      </c>
      <c r="AG148" s="16" t="str">
        <f t="shared" si="149"/>
        <v/>
      </c>
      <c r="AH148" s="16" t="str">
        <f t="shared" si="150"/>
        <v/>
      </c>
      <c r="AI148" s="29" t="str">
        <f t="shared" si="145"/>
        <v/>
      </c>
      <c r="AJ148" s="29" t="str">
        <f t="shared" si="146"/>
        <v/>
      </c>
      <c r="AK148" s="2"/>
      <c r="AL148" s="2"/>
      <c r="AM148" s="2"/>
      <c r="AN148" s="2"/>
      <c r="AO148" s="2"/>
      <c r="AP148" s="2"/>
      <c r="AQ148" s="2"/>
      <c r="AR148" s="2"/>
      <c r="AS148" s="2"/>
      <c r="AT148" s="2"/>
      <c r="AU148" s="2"/>
      <c r="AV148" s="2"/>
      <c r="AW148" s="2"/>
      <c r="AX148" s="2"/>
      <c r="AY148" s="2"/>
      <c r="AZ148" s="2"/>
      <c r="BA148" s="2"/>
      <c r="BB148" s="2"/>
      <c r="BC148" s="2"/>
    </row>
    <row r="149" spans="1:55" x14ac:dyDescent="0.25">
      <c r="A149" s="48"/>
      <c r="B149" s="54"/>
      <c r="C149" s="54"/>
      <c r="D149" s="54"/>
      <c r="E149" s="54"/>
      <c r="F149" s="54"/>
      <c r="G149" s="54"/>
      <c r="H149" s="54"/>
      <c r="I149" s="54"/>
      <c r="J149" s="2"/>
      <c r="K149" s="2"/>
      <c r="L149" s="2"/>
      <c r="M149" s="2"/>
      <c r="N149" s="2"/>
      <c r="O149" s="2"/>
      <c r="P149" s="2"/>
      <c r="Q149" s="2"/>
      <c r="R149" s="2"/>
      <c r="S149" s="2"/>
      <c r="T149" s="2"/>
      <c r="U149" s="2"/>
      <c r="V149" s="2"/>
      <c r="W149" s="2"/>
      <c r="X149" s="2"/>
      <c r="Y149" s="259"/>
      <c r="Z149" s="2"/>
      <c r="AA149" s="264">
        <v>145</v>
      </c>
      <c r="AB149" s="16" t="str">
        <f t="shared" si="147"/>
        <v/>
      </c>
      <c r="AC149" s="16" t="str">
        <f t="shared" si="148"/>
        <v/>
      </c>
      <c r="AD149" s="16" t="str">
        <f t="shared" si="142"/>
        <v/>
      </c>
      <c r="AE149" s="16" t="str">
        <f t="shared" si="143"/>
        <v/>
      </c>
      <c r="AF149" s="16" t="str">
        <f t="shared" si="144"/>
        <v/>
      </c>
      <c r="AG149" s="16" t="str">
        <f t="shared" si="149"/>
        <v/>
      </c>
      <c r="AH149" s="16" t="str">
        <f t="shared" si="150"/>
        <v/>
      </c>
      <c r="AI149" s="29" t="str">
        <f t="shared" si="145"/>
        <v/>
      </c>
      <c r="AJ149" s="29" t="str">
        <f t="shared" si="146"/>
        <v/>
      </c>
      <c r="AK149" s="2"/>
      <c r="AL149" s="2"/>
      <c r="AM149" s="2"/>
      <c r="AN149" s="2"/>
      <c r="AO149" s="2"/>
      <c r="AP149" s="2"/>
      <c r="AQ149" s="2"/>
      <c r="AR149" s="2"/>
      <c r="AS149" s="2"/>
      <c r="AT149" s="2"/>
      <c r="AU149" s="2"/>
      <c r="AV149" s="2"/>
      <c r="AW149" s="2"/>
      <c r="AX149" s="2"/>
      <c r="AY149" s="2"/>
      <c r="AZ149" s="2"/>
      <c r="BA149" s="2"/>
      <c r="BB149" s="2"/>
      <c r="BC149" s="2"/>
    </row>
    <row r="150" spans="1:55" x14ac:dyDescent="0.25">
      <c r="A150" s="48"/>
      <c r="B150" s="54"/>
      <c r="C150" s="54"/>
      <c r="D150" s="54"/>
      <c r="E150" s="54"/>
      <c r="F150" s="54"/>
      <c r="G150" s="54"/>
      <c r="H150" s="54"/>
      <c r="I150" s="54"/>
      <c r="J150" s="2"/>
      <c r="K150" s="2"/>
      <c r="L150" s="2"/>
      <c r="M150" s="2"/>
      <c r="N150" s="2"/>
      <c r="O150" s="2"/>
      <c r="P150" s="2"/>
      <c r="Q150" s="2"/>
      <c r="R150" s="2"/>
      <c r="S150" s="2"/>
      <c r="T150" s="2"/>
      <c r="U150" s="2"/>
      <c r="V150" s="2"/>
      <c r="W150" s="2"/>
      <c r="X150" s="2"/>
      <c r="Y150" s="259"/>
      <c r="Z150" s="2"/>
      <c r="AA150" s="264">
        <v>146</v>
      </c>
      <c r="AB150" s="16" t="str">
        <f t="shared" si="147"/>
        <v/>
      </c>
      <c r="AC150" s="16" t="str">
        <f t="shared" si="148"/>
        <v/>
      </c>
      <c r="AD150" s="16" t="str">
        <f t="shared" si="142"/>
        <v/>
      </c>
      <c r="AE150" s="16" t="str">
        <f t="shared" si="143"/>
        <v/>
      </c>
      <c r="AF150" s="16" t="str">
        <f t="shared" si="144"/>
        <v/>
      </c>
      <c r="AG150" s="16" t="str">
        <f t="shared" si="149"/>
        <v/>
      </c>
      <c r="AH150" s="16" t="str">
        <f t="shared" si="150"/>
        <v/>
      </c>
      <c r="AI150" s="29" t="str">
        <f t="shared" si="145"/>
        <v/>
      </c>
      <c r="AJ150" s="29" t="str">
        <f t="shared" si="146"/>
        <v/>
      </c>
      <c r="AK150" s="2"/>
      <c r="AL150" s="2"/>
      <c r="AM150" s="2"/>
      <c r="AN150" s="2"/>
      <c r="AO150" s="2"/>
      <c r="AP150" s="2"/>
      <c r="AQ150" s="2"/>
      <c r="AR150" s="2"/>
      <c r="AS150" s="2"/>
      <c r="AT150" s="2"/>
      <c r="AU150" s="2"/>
      <c r="AV150" s="2"/>
      <c r="AW150" s="2"/>
      <c r="AX150" s="2"/>
      <c r="AY150" s="2"/>
      <c r="AZ150" s="2"/>
      <c r="BA150" s="2"/>
      <c r="BB150" s="2"/>
      <c r="BC150" s="2"/>
    </row>
    <row r="151" spans="1:55" x14ac:dyDescent="0.25">
      <c r="A151" s="48"/>
      <c r="B151" s="54"/>
      <c r="C151" s="54"/>
      <c r="D151" s="54"/>
      <c r="E151" s="54"/>
      <c r="F151" s="54"/>
      <c r="G151" s="54"/>
      <c r="H151" s="54"/>
      <c r="I151" s="54"/>
      <c r="J151" s="2"/>
      <c r="K151" s="2"/>
      <c r="L151" s="2"/>
      <c r="M151" s="2"/>
      <c r="N151" s="2"/>
      <c r="O151" s="2"/>
      <c r="P151" s="2"/>
      <c r="Q151" s="2"/>
      <c r="R151" s="2"/>
      <c r="S151" s="2"/>
      <c r="T151" s="2"/>
      <c r="U151" s="2"/>
      <c r="V151" s="2"/>
      <c r="W151" s="2"/>
      <c r="X151" s="2"/>
      <c r="Y151" s="259"/>
      <c r="Z151" s="2"/>
      <c r="AA151" s="264">
        <v>147</v>
      </c>
      <c r="AB151" s="16" t="str">
        <f t="shared" si="147"/>
        <v/>
      </c>
      <c r="AC151" s="16" t="str">
        <f t="shared" si="148"/>
        <v/>
      </c>
      <c r="AD151" s="16" t="str">
        <f t="shared" si="142"/>
        <v/>
      </c>
      <c r="AE151" s="16" t="str">
        <f t="shared" si="143"/>
        <v/>
      </c>
      <c r="AF151" s="16" t="str">
        <f t="shared" si="144"/>
        <v/>
      </c>
      <c r="AG151" s="16" t="str">
        <f t="shared" si="149"/>
        <v/>
      </c>
      <c r="AH151" s="16" t="str">
        <f t="shared" si="150"/>
        <v/>
      </c>
      <c r="AI151" s="29" t="str">
        <f t="shared" si="145"/>
        <v/>
      </c>
      <c r="AJ151" s="29" t="str">
        <f t="shared" si="146"/>
        <v/>
      </c>
      <c r="AK151" s="2"/>
      <c r="AL151" s="2"/>
      <c r="AM151" s="2"/>
      <c r="AN151" s="2"/>
      <c r="AO151" s="2"/>
      <c r="AP151" s="2"/>
      <c r="AQ151" s="2"/>
      <c r="AR151" s="2"/>
      <c r="AS151" s="2"/>
      <c r="AT151" s="2"/>
      <c r="AU151" s="2"/>
      <c r="AV151" s="2"/>
      <c r="AW151" s="2"/>
      <c r="AX151" s="2"/>
      <c r="AY151" s="2"/>
      <c r="AZ151" s="2"/>
      <c r="BA151" s="2"/>
      <c r="BB151" s="2"/>
      <c r="BC151" s="2"/>
    </row>
    <row r="152" spans="1:55" x14ac:dyDescent="0.25">
      <c r="A152" s="48"/>
      <c r="B152" s="54"/>
      <c r="C152" s="54"/>
      <c r="D152" s="54"/>
      <c r="E152" s="54"/>
      <c r="F152" s="54"/>
      <c r="G152" s="54"/>
      <c r="H152" s="54"/>
      <c r="I152" s="54"/>
      <c r="J152" s="2"/>
      <c r="K152" s="2"/>
      <c r="L152" s="2"/>
      <c r="M152" s="2"/>
      <c r="N152" s="2"/>
      <c r="O152" s="2"/>
      <c r="P152" s="2"/>
      <c r="Q152" s="2"/>
      <c r="R152" s="2"/>
      <c r="S152" s="2"/>
      <c r="T152" s="2"/>
      <c r="U152" s="2"/>
      <c r="V152" s="2"/>
      <c r="W152" s="2"/>
      <c r="X152" s="2"/>
      <c r="Y152" s="259"/>
      <c r="Z152" s="2"/>
      <c r="AA152" s="264">
        <v>148</v>
      </c>
      <c r="AB152" s="16" t="str">
        <f t="shared" si="147"/>
        <v/>
      </c>
      <c r="AC152" s="16" t="str">
        <f t="shared" si="148"/>
        <v/>
      </c>
      <c r="AD152" s="16" t="str">
        <f t="shared" si="142"/>
        <v/>
      </c>
      <c r="AE152" s="16" t="str">
        <f t="shared" si="143"/>
        <v/>
      </c>
      <c r="AF152" s="16" t="str">
        <f t="shared" si="144"/>
        <v/>
      </c>
      <c r="AG152" s="16" t="str">
        <f t="shared" si="149"/>
        <v/>
      </c>
      <c r="AH152" s="16" t="str">
        <f t="shared" si="150"/>
        <v/>
      </c>
      <c r="AI152" s="29" t="str">
        <f t="shared" si="145"/>
        <v/>
      </c>
      <c r="AJ152" s="29" t="str">
        <f t="shared" si="146"/>
        <v/>
      </c>
      <c r="AK152" s="2"/>
      <c r="AL152" s="2"/>
      <c r="AM152" s="2"/>
      <c r="AN152" s="2"/>
      <c r="AO152" s="2"/>
      <c r="AP152" s="2"/>
      <c r="AQ152" s="2"/>
      <c r="AR152" s="2"/>
      <c r="AS152" s="2"/>
      <c r="AT152" s="2"/>
      <c r="AU152" s="2"/>
      <c r="AV152" s="2"/>
      <c r="AW152" s="2"/>
      <c r="AX152" s="2"/>
      <c r="AY152" s="2"/>
      <c r="AZ152" s="2"/>
      <c r="BA152" s="2"/>
      <c r="BB152" s="2"/>
      <c r="BC152" s="2"/>
    </row>
    <row r="153" spans="1:55" x14ac:dyDescent="0.25">
      <c r="A153" s="48"/>
      <c r="B153" s="54"/>
      <c r="C153" s="54"/>
      <c r="D153" s="54"/>
      <c r="E153" s="54"/>
      <c r="F153" s="54"/>
      <c r="G153" s="54"/>
      <c r="H153" s="54"/>
      <c r="I153" s="54"/>
      <c r="J153" s="2"/>
      <c r="K153" s="2"/>
      <c r="L153" s="2"/>
      <c r="M153" s="2"/>
      <c r="N153" s="2"/>
      <c r="O153" s="2"/>
      <c r="P153" s="2"/>
      <c r="Q153" s="2"/>
      <c r="R153" s="2"/>
      <c r="S153" s="2"/>
      <c r="T153" s="2"/>
      <c r="U153" s="2"/>
      <c r="V153" s="2"/>
      <c r="W153" s="2"/>
      <c r="X153" s="2"/>
      <c r="Y153" s="259"/>
      <c r="Z153" s="2"/>
      <c r="AA153" s="264">
        <v>149</v>
      </c>
      <c r="AB153" s="16" t="str">
        <f t="shared" si="147"/>
        <v/>
      </c>
      <c r="AC153" s="16" t="str">
        <f t="shared" si="148"/>
        <v/>
      </c>
      <c r="AD153" s="16" t="str">
        <f t="shared" si="142"/>
        <v/>
      </c>
      <c r="AE153" s="16" t="str">
        <f t="shared" si="143"/>
        <v/>
      </c>
      <c r="AF153" s="16" t="str">
        <f t="shared" si="144"/>
        <v/>
      </c>
      <c r="AG153" s="16" t="str">
        <f t="shared" si="149"/>
        <v/>
      </c>
      <c r="AH153" s="16" t="str">
        <f t="shared" si="150"/>
        <v/>
      </c>
      <c r="AI153" s="29" t="str">
        <f t="shared" si="145"/>
        <v/>
      </c>
      <c r="AJ153" s="29" t="str">
        <f t="shared" si="146"/>
        <v/>
      </c>
      <c r="AK153" s="2"/>
      <c r="AL153" s="2"/>
      <c r="AM153" s="2"/>
      <c r="AN153" s="2"/>
      <c r="AO153" s="2"/>
      <c r="AP153" s="2"/>
      <c r="AQ153" s="2"/>
      <c r="AR153" s="2"/>
      <c r="AS153" s="2"/>
      <c r="AT153" s="2"/>
      <c r="AU153" s="2"/>
      <c r="AV153" s="2"/>
      <c r="AW153" s="2"/>
      <c r="AX153" s="2"/>
      <c r="AY153" s="2"/>
      <c r="AZ153" s="2"/>
      <c r="BA153" s="2"/>
      <c r="BB153" s="2"/>
      <c r="BC153" s="2"/>
    </row>
    <row r="154" spans="1:55" x14ac:dyDescent="0.25">
      <c r="A154" s="79"/>
      <c r="B154" s="106"/>
      <c r="C154" s="106"/>
      <c r="D154" s="106"/>
      <c r="E154" s="106"/>
      <c r="F154" s="106"/>
      <c r="G154" s="106"/>
      <c r="H154" s="106"/>
      <c r="I154" s="106"/>
      <c r="J154" s="273"/>
      <c r="K154" s="273"/>
      <c r="L154" s="273"/>
      <c r="M154" s="273"/>
      <c r="N154" s="273"/>
      <c r="O154" s="273"/>
      <c r="P154" s="273"/>
      <c r="Q154" s="273"/>
      <c r="R154" s="273"/>
      <c r="S154" s="273"/>
      <c r="T154" s="273"/>
      <c r="U154" s="273"/>
      <c r="V154" s="273"/>
      <c r="W154" s="273"/>
      <c r="X154" s="273"/>
      <c r="Y154" s="119" t="s">
        <v>105</v>
      </c>
      <c r="Z154" s="2"/>
      <c r="AA154" s="264">
        <v>150</v>
      </c>
      <c r="AB154" s="16" t="str">
        <f t="shared" si="147"/>
        <v/>
      </c>
      <c r="AC154" s="16" t="str">
        <f t="shared" si="148"/>
        <v/>
      </c>
      <c r="AD154" s="16" t="str">
        <f t="shared" si="142"/>
        <v/>
      </c>
      <c r="AE154" s="16" t="str">
        <f t="shared" si="143"/>
        <v/>
      </c>
      <c r="AF154" s="16" t="str">
        <f t="shared" si="144"/>
        <v/>
      </c>
      <c r="AG154" s="16" t="str">
        <f t="shared" si="149"/>
        <v/>
      </c>
      <c r="AH154" s="16" t="str">
        <f t="shared" si="150"/>
        <v/>
      </c>
      <c r="AI154" s="29" t="str">
        <f t="shared" si="145"/>
        <v/>
      </c>
      <c r="AJ154" s="29" t="str">
        <f t="shared" si="146"/>
        <v/>
      </c>
      <c r="AK154" s="2"/>
      <c r="AL154" s="2"/>
      <c r="AM154" s="2"/>
      <c r="AN154" s="2"/>
      <c r="AO154" s="2"/>
      <c r="AP154" s="2"/>
      <c r="AQ154" s="2"/>
      <c r="AR154" s="2"/>
      <c r="AS154" s="2"/>
      <c r="AT154" s="2"/>
      <c r="AU154" s="2"/>
      <c r="AV154" s="2"/>
      <c r="AW154" s="2"/>
      <c r="AX154" s="2"/>
      <c r="AY154" s="2"/>
      <c r="AZ154" s="2"/>
      <c r="BA154" s="2"/>
      <c r="BB154" s="2"/>
      <c r="BC154" s="2"/>
    </row>
    <row r="155" spans="1:55" x14ac:dyDescent="0.25">
      <c r="A155" s="100"/>
      <c r="B155" s="101"/>
      <c r="C155" s="101"/>
      <c r="D155" s="101"/>
      <c r="E155" s="101"/>
      <c r="F155" s="101"/>
      <c r="G155" s="101"/>
      <c r="H155" s="101"/>
      <c r="I155" s="101"/>
      <c r="J155" s="275"/>
      <c r="K155" s="275"/>
      <c r="L155" s="275"/>
      <c r="M155" s="275"/>
      <c r="N155" s="275"/>
      <c r="O155" s="275"/>
      <c r="P155" s="275"/>
      <c r="Q155" s="275"/>
      <c r="R155" s="275"/>
      <c r="S155" s="275"/>
      <c r="T155" s="275"/>
      <c r="U155" s="275"/>
      <c r="V155" s="275"/>
      <c r="W155" s="275"/>
      <c r="X155" s="275"/>
      <c r="Y155" s="276"/>
      <c r="Z155" s="2"/>
      <c r="AA155" s="264">
        <v>151</v>
      </c>
      <c r="AB155" s="16" t="str">
        <f t="shared" ref="AB155:AB186" si="151">IF($C$9&gt;=$AA155,$L13+0.000001-$AB$410,"")</f>
        <v/>
      </c>
      <c r="AC155" s="16" t="str">
        <f t="shared" ref="AC155:AC186" si="152">IF($C$9&gt;=$AA155,$K13+0.000001-$AB$409,"")</f>
        <v/>
      </c>
      <c r="AD155" s="16" t="str">
        <f t="shared" si="142"/>
        <v/>
      </c>
      <c r="AE155" s="16" t="str">
        <f t="shared" si="143"/>
        <v/>
      </c>
      <c r="AF155" s="16" t="str">
        <f t="shared" si="144"/>
        <v/>
      </c>
      <c r="AG155" s="16" t="str">
        <f t="shared" ref="AG155:AG186" si="153">IF($C$9&gt;=$AA155,$K13-$AB$409,"")</f>
        <v/>
      </c>
      <c r="AH155" s="16" t="str">
        <f t="shared" ref="AH155:AH186" si="154">IF($C$9&gt;=$AA155,$L13-$AB$410,"")</f>
        <v/>
      </c>
      <c r="AI155" s="29" t="str">
        <f t="shared" si="145"/>
        <v/>
      </c>
      <c r="AJ155" s="29" t="str">
        <f t="shared" si="146"/>
        <v/>
      </c>
      <c r="AK155" s="2"/>
      <c r="AL155" s="2"/>
      <c r="AM155" s="2"/>
      <c r="AN155" s="2"/>
      <c r="AO155" s="2"/>
      <c r="AP155" s="2"/>
      <c r="AQ155" s="2"/>
      <c r="AR155" s="2"/>
      <c r="AS155" s="2"/>
      <c r="AT155" s="2"/>
      <c r="AU155" s="2"/>
      <c r="AV155" s="2"/>
      <c r="AW155" s="2"/>
      <c r="AX155" s="2"/>
      <c r="AY155" s="2"/>
      <c r="AZ155" s="2"/>
      <c r="BA155" s="2"/>
      <c r="BB155" s="2"/>
      <c r="BC155" s="2"/>
    </row>
    <row r="156" spans="1:55" x14ac:dyDescent="0.25">
      <c r="A156" s="48"/>
      <c r="B156" s="54"/>
      <c r="C156" s="54"/>
      <c r="D156" s="54"/>
      <c r="E156" s="54"/>
      <c r="F156" s="54"/>
      <c r="G156" s="54"/>
      <c r="H156" s="54"/>
      <c r="I156" s="54"/>
      <c r="J156" s="2"/>
      <c r="K156" s="2"/>
      <c r="L156" s="2"/>
      <c r="M156" s="2"/>
      <c r="N156" s="2"/>
      <c r="O156" s="2"/>
      <c r="P156" s="2"/>
      <c r="Q156" s="2"/>
      <c r="R156" s="2"/>
      <c r="S156" s="2"/>
      <c r="T156" s="2"/>
      <c r="U156" s="2"/>
      <c r="V156" s="2"/>
      <c r="W156" s="2"/>
      <c r="X156" s="2"/>
      <c r="Y156" s="259"/>
      <c r="Z156" s="2"/>
      <c r="AA156" s="264">
        <v>152</v>
      </c>
      <c r="AB156" s="16" t="str">
        <f t="shared" si="151"/>
        <v/>
      </c>
      <c r="AC156" s="16" t="str">
        <f t="shared" si="152"/>
        <v/>
      </c>
      <c r="AD156" s="16" t="str">
        <f t="shared" si="142"/>
        <v/>
      </c>
      <c r="AE156" s="16" t="str">
        <f t="shared" si="143"/>
        <v/>
      </c>
      <c r="AF156" s="16" t="str">
        <f t="shared" si="144"/>
        <v/>
      </c>
      <c r="AG156" s="16" t="str">
        <f t="shared" si="153"/>
        <v/>
      </c>
      <c r="AH156" s="16" t="str">
        <f t="shared" si="154"/>
        <v/>
      </c>
      <c r="AI156" s="29" t="str">
        <f t="shared" si="145"/>
        <v/>
      </c>
      <c r="AJ156" s="29" t="str">
        <f t="shared" si="146"/>
        <v/>
      </c>
      <c r="AK156" s="2"/>
      <c r="AL156" s="2"/>
      <c r="AM156" s="2"/>
      <c r="AN156" s="2"/>
      <c r="AO156" s="2"/>
      <c r="AP156" s="2"/>
      <c r="AQ156" s="2"/>
      <c r="AR156" s="2"/>
      <c r="AS156" s="2"/>
      <c r="AT156" s="2"/>
      <c r="AU156" s="2"/>
      <c r="AV156" s="2"/>
      <c r="AW156" s="2"/>
      <c r="AX156" s="2"/>
      <c r="AY156" s="2"/>
      <c r="AZ156" s="2"/>
      <c r="BA156" s="2"/>
      <c r="BB156" s="2"/>
      <c r="BC156" s="2"/>
    </row>
    <row r="157" spans="1:55" x14ac:dyDescent="0.25">
      <c r="A157" s="131" t="s">
        <v>41</v>
      </c>
      <c r="B157" s="54"/>
      <c r="C157" s="54"/>
      <c r="D157" s="54"/>
      <c r="E157" s="54"/>
      <c r="F157" s="54"/>
      <c r="G157" s="54"/>
      <c r="H157" s="54"/>
      <c r="I157" s="54"/>
      <c r="J157" s="2"/>
      <c r="K157" s="2"/>
      <c r="L157" s="2"/>
      <c r="M157" s="2"/>
      <c r="N157" s="2"/>
      <c r="O157" s="2"/>
      <c r="P157" s="2"/>
      <c r="Q157" s="2"/>
      <c r="R157" s="2"/>
      <c r="S157" s="2"/>
      <c r="T157" s="2"/>
      <c r="U157" s="2"/>
      <c r="V157" s="2"/>
      <c r="W157" s="2"/>
      <c r="X157" s="2"/>
      <c r="Y157" s="259"/>
      <c r="Z157" s="2"/>
      <c r="AA157" s="264">
        <v>153</v>
      </c>
      <c r="AB157" s="16" t="str">
        <f t="shared" si="151"/>
        <v/>
      </c>
      <c r="AC157" s="16" t="str">
        <f t="shared" si="152"/>
        <v/>
      </c>
      <c r="AD157" s="16" t="str">
        <f t="shared" si="142"/>
        <v/>
      </c>
      <c r="AE157" s="16" t="str">
        <f t="shared" si="143"/>
        <v/>
      </c>
      <c r="AF157" s="16" t="str">
        <f t="shared" si="144"/>
        <v/>
      </c>
      <c r="AG157" s="16" t="str">
        <f t="shared" si="153"/>
        <v/>
      </c>
      <c r="AH157" s="16" t="str">
        <f t="shared" si="154"/>
        <v/>
      </c>
      <c r="AI157" s="29" t="str">
        <f t="shared" si="145"/>
        <v/>
      </c>
      <c r="AJ157" s="29" t="str">
        <f t="shared" si="146"/>
        <v/>
      </c>
      <c r="AK157" s="2"/>
      <c r="AL157" s="2"/>
      <c r="AM157" s="2"/>
      <c r="AN157" s="2"/>
      <c r="AO157" s="2"/>
      <c r="AP157" s="2"/>
      <c r="AQ157" s="2"/>
      <c r="AR157" s="2"/>
      <c r="AS157" s="2"/>
      <c r="AT157" s="2"/>
      <c r="AU157" s="2"/>
      <c r="AV157" s="2"/>
      <c r="AW157" s="2"/>
      <c r="AX157" s="2"/>
      <c r="AY157" s="2"/>
      <c r="AZ157" s="2"/>
      <c r="BA157" s="2"/>
      <c r="BB157" s="2"/>
      <c r="BC157" s="2"/>
    </row>
    <row r="158" spans="1:55" x14ac:dyDescent="0.25">
      <c r="A158" s="48"/>
      <c r="B158" s="54"/>
      <c r="C158" s="54"/>
      <c r="D158" s="54"/>
      <c r="E158" s="54"/>
      <c r="F158" s="54"/>
      <c r="G158" s="54"/>
      <c r="H158" s="54"/>
      <c r="I158" s="54"/>
      <c r="J158" s="2"/>
      <c r="K158" s="2"/>
      <c r="L158" s="2"/>
      <c r="M158" s="2"/>
      <c r="N158" s="2"/>
      <c r="O158" s="2"/>
      <c r="P158" s="2"/>
      <c r="Q158" s="2"/>
      <c r="R158" s="2"/>
      <c r="S158" s="2"/>
      <c r="T158" s="2"/>
      <c r="U158" s="2"/>
      <c r="V158" s="2"/>
      <c r="W158" s="2"/>
      <c r="X158" s="2"/>
      <c r="Y158" s="259"/>
      <c r="Z158" s="2"/>
      <c r="AA158" s="264">
        <v>154</v>
      </c>
      <c r="AB158" s="16" t="str">
        <f t="shared" si="151"/>
        <v/>
      </c>
      <c r="AC158" s="16" t="str">
        <f t="shared" si="152"/>
        <v/>
      </c>
      <c r="AD158" s="16" t="str">
        <f t="shared" si="142"/>
        <v/>
      </c>
      <c r="AE158" s="16" t="str">
        <f t="shared" si="143"/>
        <v/>
      </c>
      <c r="AF158" s="16" t="str">
        <f t="shared" si="144"/>
        <v/>
      </c>
      <c r="AG158" s="16" t="str">
        <f t="shared" si="153"/>
        <v/>
      </c>
      <c r="AH158" s="16" t="str">
        <f t="shared" si="154"/>
        <v/>
      </c>
      <c r="AI158" s="29" t="str">
        <f t="shared" si="145"/>
        <v/>
      </c>
      <c r="AJ158" s="29" t="str">
        <f t="shared" si="146"/>
        <v/>
      </c>
      <c r="AK158" s="2"/>
      <c r="AL158" s="2"/>
      <c r="AM158" s="2"/>
      <c r="AN158" s="2"/>
      <c r="AO158" s="2"/>
      <c r="AP158" s="2"/>
      <c r="AQ158" s="2"/>
      <c r="AR158" s="2"/>
      <c r="AS158" s="2"/>
      <c r="AT158" s="2"/>
      <c r="AU158" s="2"/>
      <c r="AV158" s="2"/>
      <c r="AW158" s="2"/>
      <c r="AX158" s="2"/>
      <c r="AY158" s="2"/>
      <c r="AZ158" s="2"/>
      <c r="BA158" s="2"/>
      <c r="BB158" s="2"/>
      <c r="BC158" s="2"/>
    </row>
    <row r="159" spans="1:55" x14ac:dyDescent="0.25">
      <c r="A159" s="365" t="s">
        <v>32</v>
      </c>
      <c r="B159" s="53"/>
      <c r="C159" s="53"/>
      <c r="D159" s="364" t="s">
        <v>112</v>
      </c>
      <c r="E159" s="53"/>
      <c r="F159" s="53"/>
      <c r="G159" s="54"/>
      <c r="H159" s="54"/>
      <c r="I159" s="54"/>
      <c r="J159" s="2"/>
      <c r="K159" s="2"/>
      <c r="L159" s="2"/>
      <c r="M159" s="2"/>
      <c r="N159" s="2"/>
      <c r="O159" s="2"/>
      <c r="P159" s="2"/>
      <c r="Q159" s="2"/>
      <c r="R159" s="2"/>
      <c r="S159" s="2"/>
      <c r="T159" s="2"/>
      <c r="U159" s="2"/>
      <c r="V159" s="2"/>
      <c r="W159" s="2"/>
      <c r="X159" s="2"/>
      <c r="Y159" s="259"/>
      <c r="Z159" s="2"/>
      <c r="AA159" s="264">
        <v>155</v>
      </c>
      <c r="AB159" s="16" t="str">
        <f t="shared" si="151"/>
        <v/>
      </c>
      <c r="AC159" s="16" t="str">
        <f t="shared" si="152"/>
        <v/>
      </c>
      <c r="AD159" s="16" t="str">
        <f t="shared" si="142"/>
        <v/>
      </c>
      <c r="AE159" s="16" t="str">
        <f t="shared" si="143"/>
        <v/>
      </c>
      <c r="AF159" s="16" t="str">
        <f t="shared" si="144"/>
        <v/>
      </c>
      <c r="AG159" s="16" t="str">
        <f t="shared" si="153"/>
        <v/>
      </c>
      <c r="AH159" s="16" t="str">
        <f t="shared" si="154"/>
        <v/>
      </c>
      <c r="AI159" s="29" t="str">
        <f t="shared" si="145"/>
        <v/>
      </c>
      <c r="AJ159" s="29" t="str">
        <f t="shared" si="146"/>
        <v/>
      </c>
      <c r="AK159" s="2"/>
      <c r="AL159" s="2"/>
      <c r="AM159" s="2"/>
      <c r="AN159" s="2"/>
      <c r="AO159" s="2"/>
      <c r="AP159" s="2"/>
      <c r="AQ159" s="2"/>
      <c r="AR159" s="2"/>
      <c r="AS159" s="2"/>
      <c r="AT159" s="2"/>
      <c r="AU159" s="2"/>
      <c r="AV159" s="2"/>
      <c r="AW159" s="2"/>
      <c r="AX159" s="2"/>
      <c r="AY159" s="2"/>
      <c r="AZ159" s="2"/>
      <c r="BA159" s="2"/>
      <c r="BB159" s="2"/>
      <c r="BC159" s="2"/>
    </row>
    <row r="160" spans="1:55" x14ac:dyDescent="0.25">
      <c r="A160" s="103" t="s">
        <v>5</v>
      </c>
      <c r="B160" s="149">
        <f t="shared" ref="B160:B166" si="155">$AB409</f>
        <v>4.5</v>
      </c>
      <c r="C160" s="116" t="s">
        <v>42</v>
      </c>
      <c r="D160" s="68" t="s">
        <v>35</v>
      </c>
      <c r="E160" s="143">
        <f t="shared" ref="E160:E165" si="156">$AF418</f>
        <v>-3000</v>
      </c>
      <c r="F160" s="117" t="s">
        <v>33</v>
      </c>
      <c r="G160" s="54"/>
      <c r="H160" s="54"/>
      <c r="I160" s="54"/>
      <c r="J160" s="2"/>
      <c r="K160" s="2"/>
      <c r="L160" s="2"/>
      <c r="M160" s="2"/>
      <c r="N160" s="2"/>
      <c r="O160" s="2"/>
      <c r="P160" s="2"/>
      <c r="Q160" s="2"/>
      <c r="R160" s="2"/>
      <c r="S160" s="2"/>
      <c r="T160" s="2"/>
      <c r="U160" s="2"/>
      <c r="V160" s="2"/>
      <c r="W160" s="2"/>
      <c r="X160" s="2"/>
      <c r="Y160" s="259"/>
      <c r="Z160" s="2"/>
      <c r="AA160" s="264">
        <v>156</v>
      </c>
      <c r="AB160" s="16" t="str">
        <f t="shared" si="151"/>
        <v/>
      </c>
      <c r="AC160" s="16" t="str">
        <f t="shared" si="152"/>
        <v/>
      </c>
      <c r="AD160" s="16" t="str">
        <f t="shared" si="142"/>
        <v/>
      </c>
      <c r="AE160" s="16" t="str">
        <f t="shared" si="143"/>
        <v/>
      </c>
      <c r="AF160" s="16" t="str">
        <f t="shared" si="144"/>
        <v/>
      </c>
      <c r="AG160" s="16" t="str">
        <f t="shared" si="153"/>
        <v/>
      </c>
      <c r="AH160" s="16" t="str">
        <f t="shared" si="154"/>
        <v/>
      </c>
      <c r="AI160" s="29" t="str">
        <f t="shared" si="145"/>
        <v/>
      </c>
      <c r="AJ160" s="29" t="str">
        <f t="shared" si="146"/>
        <v/>
      </c>
      <c r="AK160" s="2"/>
      <c r="AL160" s="2"/>
      <c r="AM160" s="2"/>
      <c r="AN160" s="2"/>
      <c r="AO160" s="2"/>
      <c r="AP160" s="2"/>
      <c r="AQ160" s="2"/>
      <c r="AR160" s="2"/>
      <c r="AS160" s="2"/>
      <c r="AT160" s="2"/>
      <c r="AU160" s="2"/>
      <c r="AV160" s="2"/>
      <c r="AW160" s="2"/>
      <c r="AX160" s="2"/>
      <c r="AY160" s="2"/>
      <c r="AZ160" s="2"/>
      <c r="BA160" s="2"/>
      <c r="BB160" s="2"/>
      <c r="BC160" s="2"/>
    </row>
    <row r="161" spans="1:55" x14ac:dyDescent="0.25">
      <c r="A161" s="103" t="s">
        <v>6</v>
      </c>
      <c r="B161" s="150">
        <f t="shared" si="155"/>
        <v>13.5</v>
      </c>
      <c r="C161" s="116" t="s">
        <v>42</v>
      </c>
      <c r="D161" s="68" t="s">
        <v>36</v>
      </c>
      <c r="E161" s="147">
        <f t="shared" si="156"/>
        <v>-40</v>
      </c>
      <c r="F161" s="117" t="s">
        <v>33</v>
      </c>
      <c r="G161" s="54"/>
      <c r="H161" s="54"/>
      <c r="I161" s="54"/>
      <c r="J161" s="2"/>
      <c r="K161" s="2"/>
      <c r="L161" s="2"/>
      <c r="M161" s="2"/>
      <c r="N161" s="2"/>
      <c r="O161" s="2"/>
      <c r="P161" s="2"/>
      <c r="Q161" s="2"/>
      <c r="R161" s="2"/>
      <c r="S161" s="2"/>
      <c r="T161" s="2"/>
      <c r="U161" s="2"/>
      <c r="V161" s="2"/>
      <c r="W161" s="2"/>
      <c r="X161" s="2"/>
      <c r="Y161" s="259"/>
      <c r="Z161" s="2"/>
      <c r="AA161" s="264">
        <v>157</v>
      </c>
      <c r="AB161" s="16" t="str">
        <f t="shared" si="151"/>
        <v/>
      </c>
      <c r="AC161" s="16" t="str">
        <f t="shared" si="152"/>
        <v/>
      </c>
      <c r="AD161" s="16" t="str">
        <f t="shared" si="142"/>
        <v/>
      </c>
      <c r="AE161" s="16" t="str">
        <f t="shared" si="143"/>
        <v/>
      </c>
      <c r="AF161" s="16" t="str">
        <f t="shared" si="144"/>
        <v/>
      </c>
      <c r="AG161" s="16" t="str">
        <f t="shared" si="153"/>
        <v/>
      </c>
      <c r="AH161" s="16" t="str">
        <f t="shared" si="154"/>
        <v/>
      </c>
      <c r="AI161" s="29" t="str">
        <f t="shared" si="145"/>
        <v/>
      </c>
      <c r="AJ161" s="29" t="str">
        <f t="shared" si="146"/>
        <v/>
      </c>
      <c r="AK161" s="2"/>
      <c r="AL161" s="2"/>
      <c r="AM161" s="2"/>
      <c r="AN161" s="2"/>
      <c r="AO161" s="2"/>
      <c r="AP161" s="2"/>
      <c r="AQ161" s="2"/>
      <c r="AR161" s="2"/>
      <c r="AS161" s="2"/>
      <c r="AT161" s="2"/>
      <c r="AU161" s="2"/>
      <c r="AV161" s="2"/>
      <c r="AW161" s="2"/>
      <c r="AX161" s="2"/>
      <c r="AY161" s="2"/>
      <c r="AZ161" s="2"/>
      <c r="BA161" s="2"/>
      <c r="BB161" s="2"/>
      <c r="BC161" s="2"/>
    </row>
    <row r="162" spans="1:55" x14ac:dyDescent="0.25">
      <c r="A162" s="104" t="s">
        <v>92</v>
      </c>
      <c r="B162" s="151">
        <f t="shared" si="155"/>
        <v>2970.0000000000405</v>
      </c>
      <c r="C162" s="117" t="s">
        <v>261</v>
      </c>
      <c r="D162" s="68" t="s">
        <v>37</v>
      </c>
      <c r="E162" s="147">
        <f t="shared" si="156"/>
        <v>-60</v>
      </c>
      <c r="F162" s="117" t="s">
        <v>33</v>
      </c>
      <c r="G162" s="54"/>
      <c r="H162" s="54"/>
      <c r="I162" s="54"/>
      <c r="J162" s="2"/>
      <c r="K162" s="2"/>
      <c r="L162" s="2"/>
      <c r="M162" s="2"/>
      <c r="N162" s="2"/>
      <c r="O162" s="2"/>
      <c r="P162" s="2"/>
      <c r="Q162" s="2"/>
      <c r="R162" s="2"/>
      <c r="S162" s="2"/>
      <c r="T162" s="2"/>
      <c r="U162" s="2"/>
      <c r="V162" s="2"/>
      <c r="W162" s="2"/>
      <c r="X162" s="2"/>
      <c r="Y162" s="259"/>
      <c r="Z162" s="2"/>
      <c r="AA162" s="264">
        <v>158</v>
      </c>
      <c r="AB162" s="16" t="str">
        <f t="shared" si="151"/>
        <v/>
      </c>
      <c r="AC162" s="16" t="str">
        <f t="shared" si="152"/>
        <v/>
      </c>
      <c r="AD162" s="16" t="str">
        <f t="shared" si="142"/>
        <v/>
      </c>
      <c r="AE162" s="16" t="str">
        <f t="shared" si="143"/>
        <v/>
      </c>
      <c r="AF162" s="16" t="str">
        <f t="shared" si="144"/>
        <v/>
      </c>
      <c r="AG162" s="16" t="str">
        <f t="shared" si="153"/>
        <v/>
      </c>
      <c r="AH162" s="16" t="str">
        <f t="shared" si="154"/>
        <v/>
      </c>
      <c r="AI162" s="29" t="str">
        <f t="shared" si="145"/>
        <v/>
      </c>
      <c r="AJ162" s="29" t="str">
        <f t="shared" si="146"/>
        <v/>
      </c>
      <c r="AK162" s="2"/>
      <c r="AL162" s="2"/>
      <c r="AM162" s="2"/>
      <c r="AN162" s="2"/>
      <c r="AO162" s="2"/>
      <c r="AP162" s="2"/>
      <c r="AQ162" s="2"/>
      <c r="AR162" s="2"/>
      <c r="AS162" s="2"/>
      <c r="AT162" s="2"/>
      <c r="AU162" s="2"/>
      <c r="AV162" s="2"/>
      <c r="AW162" s="2"/>
      <c r="AX162" s="2"/>
      <c r="AY162" s="2"/>
      <c r="AZ162" s="2"/>
      <c r="BA162" s="2"/>
      <c r="BB162" s="2"/>
      <c r="BC162" s="2"/>
    </row>
    <row r="163" spans="1:55" x14ac:dyDescent="0.25">
      <c r="A163" s="104" t="s">
        <v>93</v>
      </c>
      <c r="B163" s="151">
        <f t="shared" si="155"/>
        <v>450.00000000003985</v>
      </c>
      <c r="C163" s="117" t="s">
        <v>261</v>
      </c>
      <c r="D163" s="68" t="s">
        <v>38</v>
      </c>
      <c r="E163" s="147">
        <f t="shared" si="156"/>
        <v>500</v>
      </c>
      <c r="F163" s="117" t="s">
        <v>34</v>
      </c>
      <c r="G163" s="54"/>
      <c r="H163" s="54"/>
      <c r="I163" s="54"/>
      <c r="J163" s="2"/>
      <c r="K163" s="2"/>
      <c r="L163" s="2"/>
      <c r="M163" s="2"/>
      <c r="N163" s="2"/>
      <c r="O163" s="2"/>
      <c r="P163" s="2"/>
      <c r="Q163" s="2"/>
      <c r="R163" s="2"/>
      <c r="S163" s="2"/>
      <c r="T163" s="2"/>
      <c r="U163" s="2"/>
      <c r="V163" s="2"/>
      <c r="W163" s="2"/>
      <c r="X163" s="2"/>
      <c r="Y163" s="259"/>
      <c r="Z163" s="2"/>
      <c r="AA163" s="264">
        <v>159</v>
      </c>
      <c r="AB163" s="16" t="str">
        <f t="shared" si="151"/>
        <v/>
      </c>
      <c r="AC163" s="16" t="str">
        <f t="shared" si="152"/>
        <v/>
      </c>
      <c r="AD163" s="16" t="str">
        <f t="shared" si="142"/>
        <v/>
      </c>
      <c r="AE163" s="16" t="str">
        <f t="shared" si="143"/>
        <v/>
      </c>
      <c r="AF163" s="16" t="str">
        <f t="shared" si="144"/>
        <v/>
      </c>
      <c r="AG163" s="16" t="str">
        <f t="shared" si="153"/>
        <v/>
      </c>
      <c r="AH163" s="16" t="str">
        <f t="shared" si="154"/>
        <v/>
      </c>
      <c r="AI163" s="29" t="str">
        <f t="shared" si="145"/>
        <v/>
      </c>
      <c r="AJ163" s="29" t="str">
        <f t="shared" si="146"/>
        <v/>
      </c>
      <c r="AK163" s="2"/>
      <c r="AL163" s="2"/>
      <c r="AM163" s="2"/>
      <c r="AN163" s="2"/>
      <c r="AO163" s="2"/>
      <c r="AP163" s="2"/>
      <c r="AQ163" s="2"/>
      <c r="AR163" s="2"/>
      <c r="AS163" s="2"/>
      <c r="AT163" s="2"/>
      <c r="AU163" s="2"/>
      <c r="AV163" s="2"/>
      <c r="AW163" s="2"/>
      <c r="AX163" s="2"/>
      <c r="AY163" s="2"/>
      <c r="AZ163" s="2"/>
      <c r="BA163" s="2"/>
      <c r="BB163" s="2"/>
      <c r="BC163" s="2"/>
    </row>
    <row r="164" spans="1:55" x14ac:dyDescent="0.25">
      <c r="A164" s="104" t="s">
        <v>22</v>
      </c>
      <c r="B164" s="151">
        <f t="shared" si="155"/>
        <v>3420.0000000000805</v>
      </c>
      <c r="C164" s="117" t="s">
        <v>261</v>
      </c>
      <c r="D164" s="68" t="s">
        <v>39</v>
      </c>
      <c r="E164" s="147">
        <f t="shared" si="156"/>
        <v>-500</v>
      </c>
      <c r="F164" s="117" t="s">
        <v>34</v>
      </c>
      <c r="G164" s="54"/>
      <c r="H164" s="54"/>
      <c r="I164" s="54"/>
      <c r="J164" s="2"/>
      <c r="K164" s="2"/>
      <c r="L164" s="2"/>
      <c r="M164" s="2"/>
      <c r="N164" s="2"/>
      <c r="O164" s="2"/>
      <c r="P164" s="2"/>
      <c r="Q164" s="2"/>
      <c r="R164" s="2"/>
      <c r="S164" s="2"/>
      <c r="T164" s="2"/>
      <c r="U164" s="2"/>
      <c r="V164" s="2"/>
      <c r="W164" s="2"/>
      <c r="X164" s="2"/>
      <c r="Y164" s="259"/>
      <c r="Z164" s="2"/>
      <c r="AA164" s="264">
        <v>160</v>
      </c>
      <c r="AB164" s="16" t="str">
        <f t="shared" si="151"/>
        <v/>
      </c>
      <c r="AC164" s="16" t="str">
        <f t="shared" si="152"/>
        <v/>
      </c>
      <c r="AD164" s="16" t="str">
        <f t="shared" si="142"/>
        <v/>
      </c>
      <c r="AE164" s="16" t="str">
        <f t="shared" si="143"/>
        <v/>
      </c>
      <c r="AF164" s="16" t="str">
        <f t="shared" si="144"/>
        <v/>
      </c>
      <c r="AG164" s="16" t="str">
        <f t="shared" si="153"/>
        <v/>
      </c>
      <c r="AH164" s="16" t="str">
        <f t="shared" si="154"/>
        <v/>
      </c>
      <c r="AI164" s="29" t="str">
        <f t="shared" si="145"/>
        <v/>
      </c>
      <c r="AJ164" s="29" t="str">
        <f t="shared" si="146"/>
        <v/>
      </c>
      <c r="AK164" s="2"/>
      <c r="AL164" s="2"/>
      <c r="AM164" s="2"/>
      <c r="AN164" s="2"/>
      <c r="AO164" s="2"/>
      <c r="AP164" s="2"/>
      <c r="AQ164" s="2"/>
      <c r="AR164" s="2"/>
      <c r="AS164" s="2"/>
      <c r="AT164" s="2"/>
      <c r="AU164" s="2"/>
      <c r="AV164" s="2"/>
      <c r="AW164" s="2"/>
      <c r="AX164" s="2"/>
      <c r="AY164" s="2"/>
      <c r="AZ164" s="2"/>
      <c r="BA164" s="2"/>
      <c r="BB164" s="2"/>
      <c r="BC164" s="2"/>
    </row>
    <row r="165" spans="1:55" x14ac:dyDescent="0.25">
      <c r="A165" s="104" t="s">
        <v>94</v>
      </c>
      <c r="B165" s="151">
        <f t="shared" si="155"/>
        <v>0</v>
      </c>
      <c r="C165" s="117" t="s">
        <v>261</v>
      </c>
      <c r="D165" s="68" t="s">
        <v>40</v>
      </c>
      <c r="E165" s="154">
        <f t="shared" si="156"/>
        <v>0</v>
      </c>
      <c r="F165" s="117" t="s">
        <v>34</v>
      </c>
      <c r="G165" s="54"/>
      <c r="H165" s="54"/>
      <c r="I165" s="54"/>
      <c r="J165" s="2"/>
      <c r="K165" s="2"/>
      <c r="L165" s="2"/>
      <c r="M165" s="2"/>
      <c r="N165" s="2"/>
      <c r="O165" s="2"/>
      <c r="P165" s="2"/>
      <c r="Q165" s="2"/>
      <c r="R165" s="2"/>
      <c r="S165" s="2"/>
      <c r="T165" s="2"/>
      <c r="U165" s="2"/>
      <c r="V165" s="2"/>
      <c r="W165" s="2"/>
      <c r="X165" s="2"/>
      <c r="Y165" s="259"/>
      <c r="Z165" s="2"/>
      <c r="AA165" s="264">
        <v>161</v>
      </c>
      <c r="AB165" s="16" t="str">
        <f t="shared" si="151"/>
        <v/>
      </c>
      <c r="AC165" s="16" t="str">
        <f t="shared" si="152"/>
        <v/>
      </c>
      <c r="AD165" s="16" t="str">
        <f t="shared" si="142"/>
        <v/>
      </c>
      <c r="AE165" s="16" t="str">
        <f t="shared" si="143"/>
        <v/>
      </c>
      <c r="AF165" s="16" t="str">
        <f t="shared" si="144"/>
        <v/>
      </c>
      <c r="AG165" s="16" t="str">
        <f t="shared" si="153"/>
        <v/>
      </c>
      <c r="AH165" s="16" t="str">
        <f t="shared" si="154"/>
        <v/>
      </c>
      <c r="AI165" s="29" t="str">
        <f t="shared" si="145"/>
        <v/>
      </c>
      <c r="AJ165" s="29" t="str">
        <f t="shared" si="146"/>
        <v/>
      </c>
      <c r="AK165" s="2"/>
      <c r="AL165" s="2"/>
      <c r="AM165" s="2"/>
      <c r="AN165" s="2"/>
      <c r="AO165" s="2"/>
      <c r="AP165" s="2"/>
      <c r="AQ165" s="2"/>
      <c r="AR165" s="2"/>
      <c r="AS165" s="2"/>
      <c r="AT165" s="2"/>
      <c r="AU165" s="2"/>
      <c r="AV165" s="2"/>
      <c r="AW165" s="2"/>
      <c r="AX165" s="2"/>
      <c r="AY165" s="2"/>
      <c r="AZ165" s="2"/>
      <c r="BA165" s="2"/>
      <c r="BB165" s="2"/>
      <c r="BC165" s="2"/>
    </row>
    <row r="166" spans="1:55" x14ac:dyDescent="0.25">
      <c r="A166" s="105" t="s">
        <v>43</v>
      </c>
      <c r="B166" s="156">
        <f t="shared" si="155"/>
        <v>0</v>
      </c>
      <c r="C166" s="117" t="s">
        <v>44</v>
      </c>
      <c r="D166" s="54"/>
      <c r="E166" s="54"/>
      <c r="F166" s="54"/>
      <c r="G166" s="54"/>
      <c r="H166" s="54"/>
      <c r="I166" s="54"/>
      <c r="J166" s="2"/>
      <c r="K166" s="2"/>
      <c r="L166" s="2"/>
      <c r="M166" s="2"/>
      <c r="N166" s="2"/>
      <c r="O166" s="2"/>
      <c r="P166" s="2"/>
      <c r="Q166" s="2"/>
      <c r="R166" s="2"/>
      <c r="S166" s="2"/>
      <c r="T166" s="2"/>
      <c r="U166" s="2"/>
      <c r="V166" s="2"/>
      <c r="W166" s="2"/>
      <c r="X166" s="2"/>
      <c r="Y166" s="259"/>
      <c r="Z166" s="2"/>
      <c r="AA166" s="264">
        <v>162</v>
      </c>
      <c r="AB166" s="16" t="str">
        <f t="shared" si="151"/>
        <v/>
      </c>
      <c r="AC166" s="16" t="str">
        <f t="shared" si="152"/>
        <v/>
      </c>
      <c r="AD166" s="16" t="str">
        <f t="shared" si="142"/>
        <v/>
      </c>
      <c r="AE166" s="16" t="str">
        <f t="shared" si="143"/>
        <v/>
      </c>
      <c r="AF166" s="16" t="str">
        <f t="shared" si="144"/>
        <v/>
      </c>
      <c r="AG166" s="16" t="str">
        <f t="shared" si="153"/>
        <v/>
      </c>
      <c r="AH166" s="16" t="str">
        <f t="shared" si="154"/>
        <v/>
      </c>
      <c r="AI166" s="29" t="str">
        <f t="shared" si="145"/>
        <v/>
      </c>
      <c r="AJ166" s="29" t="str">
        <f t="shared" si="146"/>
        <v/>
      </c>
      <c r="AK166" s="2"/>
      <c r="AL166" s="2"/>
      <c r="AM166" s="2"/>
      <c r="AN166" s="2"/>
      <c r="AO166" s="2"/>
      <c r="AP166" s="2"/>
      <c r="AQ166" s="2"/>
      <c r="AR166" s="2"/>
      <c r="AS166" s="2"/>
      <c r="AT166" s="2"/>
      <c r="AU166" s="2"/>
      <c r="AV166" s="2"/>
      <c r="AW166" s="2"/>
      <c r="AX166" s="2"/>
      <c r="AY166" s="2"/>
      <c r="AZ166" s="2"/>
      <c r="BA166" s="2"/>
      <c r="BB166" s="2"/>
      <c r="BC166" s="2"/>
    </row>
    <row r="167" spans="1:55" x14ac:dyDescent="0.25">
      <c r="A167" s="48"/>
      <c r="B167" s="54"/>
      <c r="C167" s="54"/>
      <c r="D167" s="54"/>
      <c r="E167" s="54"/>
      <c r="F167" s="54"/>
      <c r="G167" s="54"/>
      <c r="H167" s="54"/>
      <c r="I167" s="54"/>
      <c r="J167" s="2"/>
      <c r="K167" s="2"/>
      <c r="L167" s="2"/>
      <c r="M167" s="2"/>
      <c r="N167" s="2"/>
      <c r="O167" s="2"/>
      <c r="P167" s="2"/>
      <c r="Q167" s="2"/>
      <c r="R167" s="2"/>
      <c r="S167" s="2"/>
      <c r="T167" s="2"/>
      <c r="U167" s="2"/>
      <c r="V167" s="2"/>
      <c r="W167" s="2"/>
      <c r="X167" s="2"/>
      <c r="Y167" s="259"/>
      <c r="Z167" s="2"/>
      <c r="AA167" s="264">
        <v>163</v>
      </c>
      <c r="AB167" s="16" t="str">
        <f t="shared" si="151"/>
        <v/>
      </c>
      <c r="AC167" s="16" t="str">
        <f t="shared" si="152"/>
        <v/>
      </c>
      <c r="AD167" s="16" t="str">
        <f t="shared" si="142"/>
        <v/>
      </c>
      <c r="AE167" s="16" t="str">
        <f t="shared" si="143"/>
        <v/>
      </c>
      <c r="AF167" s="16" t="str">
        <f t="shared" si="144"/>
        <v/>
      </c>
      <c r="AG167" s="16" t="str">
        <f t="shared" si="153"/>
        <v/>
      </c>
      <c r="AH167" s="16" t="str">
        <f t="shared" si="154"/>
        <v/>
      </c>
      <c r="AI167" s="29" t="str">
        <f t="shared" si="145"/>
        <v/>
      </c>
      <c r="AJ167" s="29" t="str">
        <f t="shared" si="146"/>
        <v/>
      </c>
      <c r="AK167" s="2"/>
      <c r="AL167" s="2"/>
      <c r="AM167" s="2"/>
      <c r="AN167" s="2"/>
      <c r="AO167" s="2"/>
      <c r="AP167" s="2"/>
      <c r="AQ167" s="2"/>
      <c r="AR167" s="2"/>
      <c r="AS167" s="2"/>
      <c r="AT167" s="2"/>
      <c r="AU167" s="2"/>
      <c r="AV167" s="2"/>
      <c r="AW167" s="2"/>
      <c r="AX167" s="2"/>
      <c r="AY167" s="2"/>
      <c r="AZ167" s="2"/>
      <c r="BA167" s="2"/>
      <c r="BB167" s="2"/>
      <c r="BC167" s="2"/>
    </row>
    <row r="168" spans="1:55" x14ac:dyDescent="0.25">
      <c r="A168" s="48"/>
      <c r="B168" s="54"/>
      <c r="C168" s="54"/>
      <c r="D168" s="54"/>
      <c r="E168" s="54"/>
      <c r="F168" s="54"/>
      <c r="G168" s="54"/>
      <c r="H168" s="54"/>
      <c r="I168" s="54"/>
      <c r="J168" s="2"/>
      <c r="K168" s="2"/>
      <c r="L168" s="2"/>
      <c r="M168" s="2"/>
      <c r="N168" s="2"/>
      <c r="O168" s="2"/>
      <c r="P168" s="2"/>
      <c r="Q168" s="2"/>
      <c r="R168" s="2"/>
      <c r="S168" s="2"/>
      <c r="T168" s="2"/>
      <c r="U168" s="2"/>
      <c r="V168" s="2"/>
      <c r="W168" s="2"/>
      <c r="X168" s="2"/>
      <c r="Y168" s="259"/>
      <c r="Z168" s="2"/>
      <c r="AA168" s="264">
        <v>164</v>
      </c>
      <c r="AB168" s="16" t="str">
        <f t="shared" si="151"/>
        <v/>
      </c>
      <c r="AC168" s="16" t="str">
        <f t="shared" si="152"/>
        <v/>
      </c>
      <c r="AD168" s="16" t="str">
        <f t="shared" si="142"/>
        <v/>
      </c>
      <c r="AE168" s="16" t="str">
        <f t="shared" si="143"/>
        <v/>
      </c>
      <c r="AF168" s="16" t="str">
        <f t="shared" si="144"/>
        <v/>
      </c>
      <c r="AG168" s="16" t="str">
        <f t="shared" si="153"/>
        <v/>
      </c>
      <c r="AH168" s="16" t="str">
        <f t="shared" si="154"/>
        <v/>
      </c>
      <c r="AI168" s="29" t="str">
        <f t="shared" si="145"/>
        <v/>
      </c>
      <c r="AJ168" s="29" t="str">
        <f t="shared" si="146"/>
        <v/>
      </c>
      <c r="AK168" s="2"/>
      <c r="AL168" s="2"/>
      <c r="AM168" s="2"/>
      <c r="AN168" s="2"/>
      <c r="AO168" s="2"/>
      <c r="AP168" s="2"/>
      <c r="AQ168" s="2"/>
      <c r="AR168" s="2"/>
      <c r="AS168" s="2"/>
      <c r="AT168" s="2"/>
      <c r="AU168" s="2"/>
      <c r="AV168" s="2"/>
      <c r="AW168" s="2"/>
      <c r="AX168" s="2"/>
      <c r="AY168" s="2"/>
      <c r="AZ168" s="2"/>
      <c r="BA168" s="2"/>
      <c r="BB168" s="2"/>
      <c r="BC168" s="2"/>
    </row>
    <row r="169" spans="1:55" x14ac:dyDescent="0.25">
      <c r="A169" s="131" t="s">
        <v>99</v>
      </c>
      <c r="B169" s="70"/>
      <c r="C169" s="70"/>
      <c r="D169" s="54"/>
      <c r="E169" s="54"/>
      <c r="F169" s="54"/>
      <c r="G169" s="54"/>
      <c r="H169" s="54"/>
      <c r="I169" s="54"/>
      <c r="J169" s="2"/>
      <c r="K169" s="2"/>
      <c r="L169" s="2"/>
      <c r="M169" s="2"/>
      <c r="N169" s="2"/>
      <c r="O169" s="2"/>
      <c r="P169" s="2"/>
      <c r="Q169" s="2"/>
      <c r="R169" s="2"/>
      <c r="S169" s="2"/>
      <c r="T169" s="2"/>
      <c r="U169" s="2"/>
      <c r="V169" s="2"/>
      <c r="W169" s="2"/>
      <c r="X169" s="2"/>
      <c r="Y169" s="259"/>
      <c r="Z169" s="2"/>
      <c r="AA169" s="264">
        <v>165</v>
      </c>
      <c r="AB169" s="16" t="str">
        <f t="shared" si="151"/>
        <v/>
      </c>
      <c r="AC169" s="16" t="str">
        <f t="shared" si="152"/>
        <v/>
      </c>
      <c r="AD169" s="16" t="str">
        <f t="shared" si="142"/>
        <v/>
      </c>
      <c r="AE169" s="16" t="str">
        <f t="shared" si="143"/>
        <v/>
      </c>
      <c r="AF169" s="16" t="str">
        <f t="shared" si="144"/>
        <v/>
      </c>
      <c r="AG169" s="16" t="str">
        <f t="shared" si="153"/>
        <v/>
      </c>
      <c r="AH169" s="16" t="str">
        <f t="shared" si="154"/>
        <v/>
      </c>
      <c r="AI169" s="29" t="str">
        <f t="shared" si="145"/>
        <v/>
      </c>
      <c r="AJ169" s="29" t="str">
        <f t="shared" si="146"/>
        <v/>
      </c>
      <c r="AK169" s="2"/>
      <c r="AL169" s="2"/>
      <c r="AM169" s="2"/>
      <c r="AN169" s="2"/>
      <c r="AO169" s="2"/>
      <c r="AP169" s="2"/>
      <c r="AQ169" s="2"/>
      <c r="AR169" s="2"/>
      <c r="AS169" s="2"/>
      <c r="AT169" s="2"/>
      <c r="AU169" s="2"/>
      <c r="AV169" s="2"/>
      <c r="AW169" s="2"/>
      <c r="AX169" s="2"/>
      <c r="AY169" s="2"/>
      <c r="AZ169" s="2"/>
      <c r="BA169" s="2"/>
      <c r="BB169" s="2"/>
      <c r="BC169" s="2"/>
    </row>
    <row r="170" spans="1:55" x14ac:dyDescent="0.25">
      <c r="A170" s="45" t="s">
        <v>100</v>
      </c>
      <c r="B170" s="143">
        <f>MAX($AI$5:$AI$404)</f>
        <v>82.272727272726797</v>
      </c>
      <c r="C170" s="116" t="s">
        <v>33</v>
      </c>
      <c r="D170" s="54"/>
      <c r="E170" s="54"/>
      <c r="F170" s="54"/>
      <c r="G170" s="54"/>
      <c r="H170" s="54"/>
      <c r="I170" s="54"/>
      <c r="J170" s="2"/>
      <c r="K170" s="2"/>
      <c r="L170" s="2"/>
      <c r="M170" s="2"/>
      <c r="N170" s="2"/>
      <c r="O170" s="2"/>
      <c r="P170" s="2"/>
      <c r="Q170" s="2"/>
      <c r="R170" s="2"/>
      <c r="S170" s="2"/>
      <c r="T170" s="2"/>
      <c r="U170" s="2"/>
      <c r="V170" s="2"/>
      <c r="W170" s="2"/>
      <c r="X170" s="2"/>
      <c r="Y170" s="259"/>
      <c r="Z170" s="2"/>
      <c r="AA170" s="264">
        <v>166</v>
      </c>
      <c r="AB170" s="16" t="str">
        <f t="shared" si="151"/>
        <v/>
      </c>
      <c r="AC170" s="16" t="str">
        <f t="shared" si="152"/>
        <v/>
      </c>
      <c r="AD170" s="16" t="str">
        <f t="shared" si="142"/>
        <v/>
      </c>
      <c r="AE170" s="16" t="str">
        <f t="shared" si="143"/>
        <v/>
      </c>
      <c r="AF170" s="16" t="str">
        <f t="shared" si="144"/>
        <v/>
      </c>
      <c r="AG170" s="16" t="str">
        <f t="shared" si="153"/>
        <v/>
      </c>
      <c r="AH170" s="16" t="str">
        <f t="shared" si="154"/>
        <v/>
      </c>
      <c r="AI170" s="29" t="str">
        <f t="shared" si="145"/>
        <v/>
      </c>
      <c r="AJ170" s="29" t="str">
        <f t="shared" si="146"/>
        <v/>
      </c>
      <c r="AK170" s="2"/>
      <c r="AL170" s="2"/>
      <c r="AM170" s="2"/>
      <c r="AN170" s="2"/>
      <c r="AO170" s="2"/>
      <c r="AP170" s="2"/>
      <c r="AQ170" s="2"/>
      <c r="AR170" s="2"/>
      <c r="AS170" s="2"/>
      <c r="AT170" s="2"/>
      <c r="AU170" s="2"/>
      <c r="AV170" s="2"/>
      <c r="AW170" s="2"/>
      <c r="AX170" s="2"/>
      <c r="AY170" s="2"/>
      <c r="AZ170" s="2"/>
      <c r="BA170" s="2"/>
      <c r="BB170" s="2"/>
      <c r="BC170" s="2"/>
    </row>
    <row r="171" spans="1:55" x14ac:dyDescent="0.25">
      <c r="A171" s="45" t="s">
        <v>101</v>
      </c>
      <c r="B171" s="147">
        <f>MIN($AI$5:$AI$404)</f>
        <v>67.727272727273203</v>
      </c>
      <c r="C171" s="116" t="s">
        <v>33</v>
      </c>
      <c r="D171" s="54"/>
      <c r="E171" s="54"/>
      <c r="F171" s="54"/>
      <c r="G171" s="54"/>
      <c r="H171" s="54"/>
      <c r="I171" s="54"/>
      <c r="J171" s="2"/>
      <c r="K171" s="2"/>
      <c r="L171" s="2"/>
      <c r="M171" s="2"/>
      <c r="N171" s="2"/>
      <c r="O171" s="2"/>
      <c r="P171" s="2"/>
      <c r="Q171" s="2"/>
      <c r="R171" s="2"/>
      <c r="S171" s="2"/>
      <c r="T171" s="2"/>
      <c r="U171" s="2"/>
      <c r="V171" s="2"/>
      <c r="W171" s="2"/>
      <c r="X171" s="2"/>
      <c r="Y171" s="259"/>
      <c r="Z171" s="2"/>
      <c r="AA171" s="264">
        <v>167</v>
      </c>
      <c r="AB171" s="16" t="str">
        <f t="shared" si="151"/>
        <v/>
      </c>
      <c r="AC171" s="16" t="str">
        <f t="shared" si="152"/>
        <v/>
      </c>
      <c r="AD171" s="16" t="str">
        <f t="shared" si="142"/>
        <v/>
      </c>
      <c r="AE171" s="16" t="str">
        <f t="shared" si="143"/>
        <v/>
      </c>
      <c r="AF171" s="16" t="str">
        <f t="shared" si="144"/>
        <v/>
      </c>
      <c r="AG171" s="16" t="str">
        <f t="shared" si="153"/>
        <v/>
      </c>
      <c r="AH171" s="16" t="str">
        <f t="shared" si="154"/>
        <v/>
      </c>
      <c r="AI171" s="29" t="str">
        <f t="shared" si="145"/>
        <v/>
      </c>
      <c r="AJ171" s="29" t="str">
        <f t="shared" si="146"/>
        <v/>
      </c>
      <c r="AK171" s="2"/>
      <c r="AL171" s="2"/>
      <c r="AM171" s="2"/>
      <c r="AN171" s="2"/>
      <c r="AO171" s="2"/>
      <c r="AP171" s="2"/>
      <c r="AQ171" s="2"/>
      <c r="AR171" s="2"/>
      <c r="AS171" s="2"/>
      <c r="AT171" s="2"/>
      <c r="AU171" s="2"/>
      <c r="AV171" s="2"/>
      <c r="AW171" s="2"/>
      <c r="AX171" s="2"/>
      <c r="AY171" s="2"/>
      <c r="AZ171" s="2"/>
      <c r="BA171" s="2"/>
      <c r="BB171" s="2"/>
      <c r="BC171" s="2"/>
    </row>
    <row r="172" spans="1:55" x14ac:dyDescent="0.25">
      <c r="A172" s="272" t="s">
        <v>102</v>
      </c>
      <c r="B172" s="154">
        <f>MAX($AJ$5:$AJ$404)</f>
        <v>1.8027756377319946</v>
      </c>
      <c r="C172" s="116" t="s">
        <v>33</v>
      </c>
      <c r="D172" s="54"/>
      <c r="E172" s="54"/>
      <c r="F172" s="54"/>
      <c r="G172" s="54"/>
      <c r="H172" s="54"/>
      <c r="I172" s="54"/>
      <c r="J172" s="2"/>
      <c r="K172" s="2"/>
      <c r="L172" s="2"/>
      <c r="M172" s="2"/>
      <c r="N172" s="2"/>
      <c r="O172" s="2"/>
      <c r="P172" s="2"/>
      <c r="Q172" s="2"/>
      <c r="R172" s="2"/>
      <c r="S172" s="2"/>
      <c r="T172" s="2"/>
      <c r="U172" s="2"/>
      <c r="V172" s="2"/>
      <c r="W172" s="2"/>
      <c r="X172" s="2"/>
      <c r="Y172" s="259"/>
      <c r="Z172" s="2"/>
      <c r="AA172" s="264">
        <v>168</v>
      </c>
      <c r="AB172" s="16" t="str">
        <f t="shared" si="151"/>
        <v/>
      </c>
      <c r="AC172" s="16" t="str">
        <f t="shared" si="152"/>
        <v/>
      </c>
      <c r="AD172" s="16" t="str">
        <f t="shared" si="142"/>
        <v/>
      </c>
      <c r="AE172" s="16" t="str">
        <f t="shared" si="143"/>
        <v/>
      </c>
      <c r="AF172" s="16" t="str">
        <f t="shared" si="144"/>
        <v/>
      </c>
      <c r="AG172" s="16" t="str">
        <f t="shared" si="153"/>
        <v/>
      </c>
      <c r="AH172" s="16" t="str">
        <f t="shared" si="154"/>
        <v/>
      </c>
      <c r="AI172" s="29" t="str">
        <f t="shared" si="145"/>
        <v/>
      </c>
      <c r="AJ172" s="29" t="str">
        <f t="shared" si="146"/>
        <v/>
      </c>
      <c r="AK172" s="2"/>
      <c r="AL172" s="2"/>
      <c r="AM172" s="2"/>
      <c r="AN172" s="2"/>
      <c r="AO172" s="2"/>
      <c r="AP172" s="2"/>
      <c r="AQ172" s="2"/>
      <c r="AR172" s="2"/>
      <c r="AS172" s="2"/>
      <c r="AT172" s="2"/>
      <c r="AU172" s="2"/>
      <c r="AV172" s="2"/>
      <c r="AW172" s="2"/>
      <c r="AX172" s="2"/>
      <c r="AY172" s="2"/>
      <c r="AZ172" s="2"/>
      <c r="BA172" s="2"/>
      <c r="BB172" s="2"/>
      <c r="BC172" s="2"/>
    </row>
    <row r="173" spans="1:55" x14ac:dyDescent="0.25">
      <c r="A173" s="48"/>
      <c r="B173" s="54"/>
      <c r="C173" s="54"/>
      <c r="D173" s="54"/>
      <c r="E173" s="54"/>
      <c r="F173" s="54"/>
      <c r="G173" s="54"/>
      <c r="H173" s="54"/>
      <c r="I173" s="54"/>
      <c r="J173" s="2"/>
      <c r="K173" s="2"/>
      <c r="L173" s="2"/>
      <c r="M173" s="2"/>
      <c r="N173" s="2"/>
      <c r="O173" s="2"/>
      <c r="P173" s="2"/>
      <c r="Q173" s="2"/>
      <c r="R173" s="2"/>
      <c r="S173" s="2"/>
      <c r="T173" s="2"/>
      <c r="U173" s="2"/>
      <c r="V173" s="2"/>
      <c r="W173" s="2"/>
      <c r="X173" s="2"/>
      <c r="Y173" s="259"/>
      <c r="Z173" s="2"/>
      <c r="AA173" s="264">
        <v>169</v>
      </c>
      <c r="AB173" s="16" t="str">
        <f t="shared" si="151"/>
        <v/>
      </c>
      <c r="AC173" s="16" t="str">
        <f t="shared" si="152"/>
        <v/>
      </c>
      <c r="AD173" s="16" t="str">
        <f t="shared" si="142"/>
        <v/>
      </c>
      <c r="AE173" s="16" t="str">
        <f t="shared" si="143"/>
        <v/>
      </c>
      <c r="AF173" s="16" t="str">
        <f t="shared" si="144"/>
        <v/>
      </c>
      <c r="AG173" s="16" t="str">
        <f t="shared" si="153"/>
        <v/>
      </c>
      <c r="AH173" s="16" t="str">
        <f t="shared" si="154"/>
        <v/>
      </c>
      <c r="AI173" s="29" t="str">
        <f t="shared" si="145"/>
        <v/>
      </c>
      <c r="AJ173" s="29" t="str">
        <f t="shared" si="146"/>
        <v/>
      </c>
      <c r="AK173" s="2"/>
      <c r="AL173" s="2"/>
      <c r="AM173" s="2"/>
      <c r="AN173" s="2"/>
      <c r="AO173" s="2"/>
      <c r="AP173" s="2"/>
      <c r="AQ173" s="2"/>
      <c r="AR173" s="2"/>
      <c r="AS173" s="2"/>
      <c r="AT173" s="2"/>
      <c r="AU173" s="2"/>
      <c r="AV173" s="2"/>
      <c r="AW173" s="2"/>
      <c r="AX173" s="2"/>
      <c r="AY173" s="2"/>
      <c r="AZ173" s="2"/>
      <c r="BA173" s="2"/>
      <c r="BB173" s="2"/>
      <c r="BC173" s="2"/>
    </row>
    <row r="174" spans="1:55" x14ac:dyDescent="0.25">
      <c r="A174" s="48"/>
      <c r="B174" s="54"/>
      <c r="C174" s="54"/>
      <c r="D174" s="54"/>
      <c r="E174" s="54"/>
      <c r="F174" s="54"/>
      <c r="G174" s="54"/>
      <c r="H174" s="54"/>
      <c r="I174" s="54"/>
      <c r="J174" s="2"/>
      <c r="K174" s="2"/>
      <c r="L174" s="2"/>
      <c r="M174" s="2"/>
      <c r="N174" s="2"/>
      <c r="O174" s="2"/>
      <c r="P174" s="2"/>
      <c r="Q174" s="2"/>
      <c r="R174" s="2"/>
      <c r="S174" s="2"/>
      <c r="T174" s="2"/>
      <c r="U174" s="2"/>
      <c r="V174" s="2"/>
      <c r="W174" s="2"/>
      <c r="X174" s="2"/>
      <c r="Y174" s="259"/>
      <c r="Z174" s="2"/>
      <c r="AA174" s="264">
        <v>170</v>
      </c>
      <c r="AB174" s="16" t="str">
        <f t="shared" si="151"/>
        <v/>
      </c>
      <c r="AC174" s="16" t="str">
        <f t="shared" si="152"/>
        <v/>
      </c>
      <c r="AD174" s="16" t="str">
        <f t="shared" si="142"/>
        <v/>
      </c>
      <c r="AE174" s="16" t="str">
        <f t="shared" si="143"/>
        <v/>
      </c>
      <c r="AF174" s="16" t="str">
        <f t="shared" si="144"/>
        <v/>
      </c>
      <c r="AG174" s="16" t="str">
        <f t="shared" si="153"/>
        <v/>
      </c>
      <c r="AH174" s="16" t="str">
        <f t="shared" si="154"/>
        <v/>
      </c>
      <c r="AI174" s="29" t="str">
        <f t="shared" si="145"/>
        <v/>
      </c>
      <c r="AJ174" s="29" t="str">
        <f t="shared" si="146"/>
        <v/>
      </c>
      <c r="AK174" s="2"/>
      <c r="AL174" s="2"/>
      <c r="AM174" s="2"/>
      <c r="AN174" s="2"/>
      <c r="AO174" s="2"/>
      <c r="AP174" s="2"/>
      <c r="AQ174" s="2"/>
      <c r="AR174" s="2"/>
      <c r="AS174" s="2"/>
      <c r="AT174" s="2"/>
      <c r="AU174" s="2"/>
      <c r="AV174" s="2"/>
      <c r="AW174" s="2"/>
      <c r="AX174" s="2"/>
      <c r="AY174" s="2"/>
      <c r="AZ174" s="2"/>
      <c r="BA174" s="2"/>
      <c r="BB174" s="2"/>
      <c r="BC174" s="2"/>
    </row>
    <row r="175" spans="1:55" x14ac:dyDescent="0.25">
      <c r="A175" s="48"/>
      <c r="B175" s="54"/>
      <c r="C175" s="54"/>
      <c r="D175" s="54"/>
      <c r="E175" s="54"/>
      <c r="F175" s="54"/>
      <c r="G175" s="54"/>
      <c r="H175" s="54"/>
      <c r="I175" s="54"/>
      <c r="J175" s="2"/>
      <c r="K175" s="2"/>
      <c r="L175" s="2"/>
      <c r="M175" s="2"/>
      <c r="N175" s="2"/>
      <c r="O175" s="2"/>
      <c r="P175" s="2"/>
      <c r="Q175" s="2"/>
      <c r="R175" s="2"/>
      <c r="S175" s="2"/>
      <c r="T175" s="2"/>
      <c r="U175" s="2"/>
      <c r="V175" s="2"/>
      <c r="W175" s="2"/>
      <c r="X175" s="2"/>
      <c r="Y175" s="259"/>
      <c r="Z175" s="2"/>
      <c r="AA175" s="264">
        <v>171</v>
      </c>
      <c r="AB175" s="16" t="str">
        <f t="shared" si="151"/>
        <v/>
      </c>
      <c r="AC175" s="16" t="str">
        <f t="shared" si="152"/>
        <v/>
      </c>
      <c r="AD175" s="16" t="str">
        <f t="shared" si="142"/>
        <v/>
      </c>
      <c r="AE175" s="16" t="str">
        <f t="shared" si="143"/>
        <v/>
      </c>
      <c r="AF175" s="16" t="str">
        <f t="shared" si="144"/>
        <v/>
      </c>
      <c r="AG175" s="16" t="str">
        <f t="shared" si="153"/>
        <v/>
      </c>
      <c r="AH175" s="16" t="str">
        <f t="shared" si="154"/>
        <v/>
      </c>
      <c r="AI175" s="29" t="str">
        <f t="shared" si="145"/>
        <v/>
      </c>
      <c r="AJ175" s="29" t="str">
        <f t="shared" si="146"/>
        <v/>
      </c>
      <c r="AK175" s="2"/>
      <c r="AL175" s="2"/>
      <c r="AM175" s="2"/>
      <c r="AN175" s="2"/>
      <c r="AO175" s="2"/>
      <c r="AP175" s="2"/>
      <c r="AQ175" s="2"/>
      <c r="AR175" s="2"/>
      <c r="AS175" s="2"/>
      <c r="AT175" s="2"/>
      <c r="AU175" s="2"/>
      <c r="AV175" s="2"/>
      <c r="AW175" s="2"/>
      <c r="AX175" s="2"/>
      <c r="AY175" s="2"/>
      <c r="AZ175" s="2"/>
      <c r="BA175" s="2"/>
      <c r="BB175" s="2"/>
      <c r="BC175" s="2"/>
    </row>
    <row r="176" spans="1:55" x14ac:dyDescent="0.25">
      <c r="A176" s="48"/>
      <c r="B176" s="54"/>
      <c r="C176" s="54"/>
      <c r="D176" s="54"/>
      <c r="E176" s="54"/>
      <c r="F176" s="54"/>
      <c r="G176" s="54"/>
      <c r="H176" s="54"/>
      <c r="I176" s="54"/>
      <c r="J176" s="2"/>
      <c r="K176" s="2"/>
      <c r="L176" s="2"/>
      <c r="M176" s="2"/>
      <c r="N176" s="2"/>
      <c r="O176" s="2"/>
      <c r="P176" s="2"/>
      <c r="Q176" s="2"/>
      <c r="R176" s="2"/>
      <c r="S176" s="2"/>
      <c r="T176" s="2"/>
      <c r="U176" s="2"/>
      <c r="V176" s="2"/>
      <c r="W176" s="2"/>
      <c r="X176" s="2"/>
      <c r="Y176" s="259"/>
      <c r="Z176" s="2"/>
      <c r="AA176" s="264">
        <v>172</v>
      </c>
      <c r="AB176" s="16" t="str">
        <f t="shared" si="151"/>
        <v/>
      </c>
      <c r="AC176" s="16" t="str">
        <f t="shared" si="152"/>
        <v/>
      </c>
      <c r="AD176" s="16" t="str">
        <f t="shared" si="142"/>
        <v/>
      </c>
      <c r="AE176" s="16" t="str">
        <f t="shared" si="143"/>
        <v/>
      </c>
      <c r="AF176" s="16" t="str">
        <f t="shared" si="144"/>
        <v/>
      </c>
      <c r="AG176" s="16" t="str">
        <f t="shared" si="153"/>
        <v/>
      </c>
      <c r="AH176" s="16" t="str">
        <f t="shared" si="154"/>
        <v/>
      </c>
      <c r="AI176" s="29" t="str">
        <f t="shared" si="145"/>
        <v/>
      </c>
      <c r="AJ176" s="29" t="str">
        <f t="shared" si="146"/>
        <v/>
      </c>
      <c r="AK176" s="2"/>
      <c r="AL176" s="2"/>
      <c r="AM176" s="2"/>
      <c r="AN176" s="2"/>
      <c r="AO176" s="2"/>
      <c r="AP176" s="2"/>
      <c r="AQ176" s="2"/>
      <c r="AR176" s="2"/>
      <c r="AS176" s="2"/>
      <c r="AT176" s="2"/>
      <c r="AU176" s="2"/>
      <c r="AV176" s="2"/>
      <c r="AW176" s="2"/>
      <c r="AX176" s="2"/>
      <c r="AY176" s="2"/>
      <c r="AZ176" s="2"/>
      <c r="BA176" s="2"/>
      <c r="BB176" s="2"/>
      <c r="BC176" s="2"/>
    </row>
    <row r="177" spans="1:55" x14ac:dyDescent="0.25">
      <c r="A177" s="48"/>
      <c r="B177" s="54"/>
      <c r="C177" s="54"/>
      <c r="D177" s="54"/>
      <c r="E177" s="54"/>
      <c r="F177" s="54"/>
      <c r="G177" s="54"/>
      <c r="H177" s="54"/>
      <c r="I177" s="54"/>
      <c r="J177" s="2"/>
      <c r="K177" s="2"/>
      <c r="L177" s="2"/>
      <c r="M177" s="2"/>
      <c r="N177" s="2"/>
      <c r="O177" s="2"/>
      <c r="P177" s="2"/>
      <c r="Q177" s="2"/>
      <c r="R177" s="2"/>
      <c r="S177" s="2"/>
      <c r="T177" s="2"/>
      <c r="U177" s="2"/>
      <c r="V177" s="2"/>
      <c r="W177" s="2"/>
      <c r="X177" s="2"/>
      <c r="Y177" s="259"/>
      <c r="Z177" s="2"/>
      <c r="AA177" s="264">
        <v>173</v>
      </c>
      <c r="AB177" s="16" t="str">
        <f t="shared" si="151"/>
        <v/>
      </c>
      <c r="AC177" s="16" t="str">
        <f t="shared" si="152"/>
        <v/>
      </c>
      <c r="AD177" s="16" t="str">
        <f t="shared" si="142"/>
        <v/>
      </c>
      <c r="AE177" s="16" t="str">
        <f t="shared" si="143"/>
        <v/>
      </c>
      <c r="AF177" s="16" t="str">
        <f t="shared" si="144"/>
        <v/>
      </c>
      <c r="AG177" s="16" t="str">
        <f t="shared" si="153"/>
        <v/>
      </c>
      <c r="AH177" s="16" t="str">
        <f t="shared" si="154"/>
        <v/>
      </c>
      <c r="AI177" s="29" t="str">
        <f t="shared" si="145"/>
        <v/>
      </c>
      <c r="AJ177" s="29" t="str">
        <f t="shared" si="146"/>
        <v/>
      </c>
      <c r="AK177" s="2"/>
      <c r="AL177" s="2"/>
      <c r="AM177" s="2"/>
      <c r="AN177" s="2"/>
      <c r="AO177" s="2"/>
      <c r="AP177" s="2"/>
      <c r="AQ177" s="2"/>
      <c r="AR177" s="2"/>
      <c r="AS177" s="2"/>
      <c r="AT177" s="2"/>
      <c r="AU177" s="2"/>
      <c r="AV177" s="2"/>
      <c r="AW177" s="2"/>
      <c r="AX177" s="2"/>
      <c r="AY177" s="2"/>
      <c r="AZ177" s="2"/>
      <c r="BA177" s="2"/>
      <c r="BB177" s="2"/>
      <c r="BC177" s="2"/>
    </row>
    <row r="178" spans="1:55" x14ac:dyDescent="0.25">
      <c r="A178" s="48"/>
      <c r="B178" s="58" t="s">
        <v>142</v>
      </c>
      <c r="C178" s="59"/>
      <c r="D178" s="48"/>
      <c r="E178" s="58" t="s">
        <v>142</v>
      </c>
      <c r="F178" s="59"/>
      <c r="G178" s="48"/>
      <c r="H178" s="58" t="s">
        <v>142</v>
      </c>
      <c r="I178" s="59"/>
      <c r="J178" s="48"/>
      <c r="K178" s="58" t="s">
        <v>142</v>
      </c>
      <c r="L178" s="59"/>
      <c r="M178" s="48"/>
      <c r="N178" s="58" t="s">
        <v>142</v>
      </c>
      <c r="O178" s="59"/>
      <c r="P178" s="48"/>
      <c r="Q178" s="58" t="s">
        <v>142</v>
      </c>
      <c r="R178" s="59"/>
      <c r="S178" s="2"/>
      <c r="T178" s="58" t="s">
        <v>142</v>
      </c>
      <c r="U178" s="59"/>
      <c r="V178" s="2"/>
      <c r="W178" s="58" t="s">
        <v>142</v>
      </c>
      <c r="X178" s="59"/>
      <c r="Y178" s="259"/>
      <c r="Z178" s="2"/>
      <c r="AA178" s="264">
        <v>174</v>
      </c>
      <c r="AB178" s="16" t="str">
        <f t="shared" si="151"/>
        <v/>
      </c>
      <c r="AC178" s="16" t="str">
        <f t="shared" si="152"/>
        <v/>
      </c>
      <c r="AD178" s="16" t="str">
        <f t="shared" si="142"/>
        <v/>
      </c>
      <c r="AE178" s="16" t="str">
        <f t="shared" si="143"/>
        <v/>
      </c>
      <c r="AF178" s="16" t="str">
        <f t="shared" si="144"/>
        <v/>
      </c>
      <c r="AG178" s="16" t="str">
        <f t="shared" si="153"/>
        <v/>
      </c>
      <c r="AH178" s="16" t="str">
        <f t="shared" si="154"/>
        <v/>
      </c>
      <c r="AI178" s="29" t="str">
        <f t="shared" si="145"/>
        <v/>
      </c>
      <c r="AJ178" s="29" t="str">
        <f t="shared" si="146"/>
        <v/>
      </c>
      <c r="AK178" s="2"/>
      <c r="AL178" s="2"/>
      <c r="AM178" s="2"/>
      <c r="AN178" s="2"/>
      <c r="AO178" s="2"/>
      <c r="AP178" s="2"/>
      <c r="AQ178" s="2"/>
      <c r="AR178" s="2"/>
      <c r="AS178" s="2"/>
      <c r="AT178" s="2"/>
      <c r="AU178" s="2"/>
      <c r="AV178" s="2"/>
      <c r="AW178" s="2"/>
      <c r="AX178" s="2"/>
      <c r="AY178" s="2"/>
      <c r="AZ178" s="2"/>
      <c r="BA178" s="2"/>
      <c r="BB178" s="2"/>
      <c r="BC178" s="2"/>
    </row>
    <row r="179" spans="1:55" x14ac:dyDescent="0.25">
      <c r="A179" s="48"/>
      <c r="B179" s="62" t="s">
        <v>20</v>
      </c>
      <c r="C179" s="63" t="s">
        <v>21</v>
      </c>
      <c r="D179" s="48"/>
      <c r="E179" s="140" t="s">
        <v>20</v>
      </c>
      <c r="F179" s="277" t="s">
        <v>21</v>
      </c>
      <c r="G179" s="48"/>
      <c r="H179" s="140" t="s">
        <v>20</v>
      </c>
      <c r="I179" s="277" t="s">
        <v>21</v>
      </c>
      <c r="J179" s="48"/>
      <c r="K179" s="140" t="s">
        <v>20</v>
      </c>
      <c r="L179" s="277" t="s">
        <v>21</v>
      </c>
      <c r="M179" s="48"/>
      <c r="N179" s="140" t="s">
        <v>20</v>
      </c>
      <c r="O179" s="277" t="s">
        <v>21</v>
      </c>
      <c r="P179" s="48"/>
      <c r="Q179" s="140" t="s">
        <v>20</v>
      </c>
      <c r="R179" s="277" t="s">
        <v>21</v>
      </c>
      <c r="S179" s="2"/>
      <c r="T179" s="140" t="s">
        <v>20</v>
      </c>
      <c r="U179" s="277" t="s">
        <v>21</v>
      </c>
      <c r="V179" s="2"/>
      <c r="W179" s="140" t="s">
        <v>20</v>
      </c>
      <c r="X179" s="277" t="s">
        <v>21</v>
      </c>
      <c r="Y179" s="259"/>
      <c r="Z179" s="2"/>
      <c r="AA179" s="264">
        <v>175</v>
      </c>
      <c r="AB179" s="16" t="str">
        <f t="shared" si="151"/>
        <v/>
      </c>
      <c r="AC179" s="16" t="str">
        <f t="shared" si="152"/>
        <v/>
      </c>
      <c r="AD179" s="16" t="str">
        <f t="shared" si="142"/>
        <v/>
      </c>
      <c r="AE179" s="16" t="str">
        <f t="shared" si="143"/>
        <v/>
      </c>
      <c r="AF179" s="16" t="str">
        <f t="shared" si="144"/>
        <v/>
      </c>
      <c r="AG179" s="16" t="str">
        <f t="shared" si="153"/>
        <v/>
      </c>
      <c r="AH179" s="16" t="str">
        <f t="shared" si="154"/>
        <v/>
      </c>
      <c r="AI179" s="29" t="str">
        <f t="shared" si="145"/>
        <v/>
      </c>
      <c r="AJ179" s="29" t="str">
        <f t="shared" si="146"/>
        <v/>
      </c>
      <c r="AK179" s="2"/>
      <c r="AL179" s="2"/>
      <c r="AM179" s="2"/>
      <c r="AN179" s="2"/>
      <c r="AO179" s="2"/>
      <c r="AP179" s="2"/>
      <c r="AQ179" s="2"/>
      <c r="AR179" s="2"/>
      <c r="AS179" s="2"/>
      <c r="AT179" s="2"/>
      <c r="AU179" s="2"/>
      <c r="AV179" s="2"/>
      <c r="AW179" s="2"/>
      <c r="AX179" s="2"/>
      <c r="AY179" s="2"/>
      <c r="AZ179" s="2"/>
      <c r="BA179" s="2"/>
      <c r="BB179" s="2"/>
      <c r="BC179" s="2"/>
    </row>
    <row r="180" spans="1:55" x14ac:dyDescent="0.25">
      <c r="A180" s="260" t="str">
        <f t="shared" ref="A180:A211" si="157">IF($C$9&gt;=$AA5,"#"&amp;$AA5&amp;":","")</f>
        <v>#1:</v>
      </c>
      <c r="B180" s="143">
        <f t="shared" ref="B180:B211" si="158">$AI5</f>
        <v>82.272727272726797</v>
      </c>
      <c r="C180" s="144">
        <f t="shared" ref="C180:C211" si="159">$AJ5</f>
        <v>1.8027756377319946</v>
      </c>
      <c r="D180" s="261" t="str">
        <f t="shared" ref="D180:D211" si="160">IF($C$9&gt;=$AA55,"#"&amp;$AA55&amp;":","")</f>
        <v/>
      </c>
      <c r="E180" s="143" t="str">
        <f t="shared" ref="E180:E211" si="161">$AI55</f>
        <v/>
      </c>
      <c r="F180" s="144" t="str">
        <f t="shared" ref="F180:F211" si="162">$AJ55</f>
        <v/>
      </c>
      <c r="G180" s="261" t="str">
        <f t="shared" ref="G180:G211" si="163">IF($C$9&gt;=$AA105,"#"&amp;$AA105&amp;":","")</f>
        <v/>
      </c>
      <c r="H180" s="143" t="str">
        <f t="shared" ref="H180:H211" si="164">$AI105</f>
        <v/>
      </c>
      <c r="I180" s="144" t="str">
        <f t="shared" ref="I180:I211" si="165">$AJ105</f>
        <v/>
      </c>
      <c r="J180" s="261" t="str">
        <f t="shared" ref="J180:J211" si="166">IF($C$9&gt;=$AA155,"#"&amp;$AA155&amp;":","")</f>
        <v/>
      </c>
      <c r="K180" s="143" t="str">
        <f t="shared" ref="K180:K211" si="167">$AI155</f>
        <v/>
      </c>
      <c r="L180" s="144" t="str">
        <f t="shared" ref="L180:L211" si="168">$AJ155</f>
        <v/>
      </c>
      <c r="M180" s="261" t="str">
        <f t="shared" ref="M180:M211" si="169">IF($C$9&gt;=$AA205,"#"&amp;$AA205&amp;":","")</f>
        <v/>
      </c>
      <c r="N180" s="143" t="str">
        <f t="shared" ref="N180:N211" si="170">$AI205</f>
        <v/>
      </c>
      <c r="O180" s="144" t="str">
        <f t="shared" ref="O180:O211" si="171">$AJ205</f>
        <v/>
      </c>
      <c r="P180" s="261" t="str">
        <f t="shared" ref="P180:P211" si="172">IF($C$9&gt;=$AA255,"#"&amp;$AA255&amp;":","")</f>
        <v/>
      </c>
      <c r="Q180" s="143" t="str">
        <f t="shared" ref="Q180:Q211" si="173">$AI255</f>
        <v/>
      </c>
      <c r="R180" s="144" t="str">
        <f t="shared" ref="R180:R211" si="174">$AJ255</f>
        <v/>
      </c>
      <c r="S180" s="261" t="str">
        <f>IF($C$9&gt;=$AA305,"#"&amp;$AA305&amp;":","")</f>
        <v/>
      </c>
      <c r="T180" s="143" t="str">
        <f>$AI305</f>
        <v/>
      </c>
      <c r="U180" s="144" t="str">
        <f>$AJ305</f>
        <v/>
      </c>
      <c r="V180" s="261" t="str">
        <f>IF($C$9&gt;=$AA355,"#"&amp;$AA355&amp;":","")</f>
        <v/>
      </c>
      <c r="W180" s="143" t="str">
        <f>$AI355</f>
        <v/>
      </c>
      <c r="X180" s="144" t="str">
        <f>$AJ355</f>
        <v/>
      </c>
      <c r="Y180" s="259"/>
      <c r="Z180" s="2"/>
      <c r="AA180" s="264">
        <v>176</v>
      </c>
      <c r="AB180" s="16" t="str">
        <f t="shared" si="151"/>
        <v/>
      </c>
      <c r="AC180" s="16" t="str">
        <f t="shared" si="152"/>
        <v/>
      </c>
      <c r="AD180" s="16" t="str">
        <f t="shared" si="142"/>
        <v/>
      </c>
      <c r="AE180" s="16" t="str">
        <f t="shared" si="143"/>
        <v/>
      </c>
      <c r="AF180" s="16" t="str">
        <f t="shared" si="144"/>
        <v/>
      </c>
      <c r="AG180" s="16" t="str">
        <f t="shared" si="153"/>
        <v/>
      </c>
      <c r="AH180" s="16" t="str">
        <f t="shared" si="154"/>
        <v/>
      </c>
      <c r="AI180" s="29" t="str">
        <f t="shared" si="145"/>
        <v/>
      </c>
      <c r="AJ180" s="29" t="str">
        <f t="shared" si="146"/>
        <v/>
      </c>
      <c r="AK180" s="2"/>
      <c r="AL180" s="2"/>
      <c r="AM180" s="2"/>
      <c r="AN180" s="2"/>
      <c r="AO180" s="2"/>
      <c r="AP180" s="2"/>
      <c r="AQ180" s="2"/>
      <c r="AR180" s="2"/>
      <c r="AS180" s="2"/>
      <c r="AT180" s="2"/>
      <c r="AU180" s="2"/>
      <c r="AV180" s="2"/>
      <c r="AW180" s="2"/>
      <c r="AX180" s="2"/>
      <c r="AY180" s="2"/>
      <c r="AZ180" s="2"/>
      <c r="BA180" s="2"/>
      <c r="BB180" s="2"/>
      <c r="BC180" s="2"/>
    </row>
    <row r="181" spans="1:55" x14ac:dyDescent="0.25">
      <c r="A181" s="260" t="str">
        <f t="shared" si="157"/>
        <v>#2:</v>
      </c>
      <c r="B181" s="147">
        <f t="shared" si="158"/>
        <v>81.767676767676306</v>
      </c>
      <c r="C181" s="148">
        <f t="shared" si="159"/>
        <v>1.8027756377319946</v>
      </c>
      <c r="D181" s="261" t="str">
        <f t="shared" si="160"/>
        <v/>
      </c>
      <c r="E181" s="147" t="str">
        <f t="shared" si="161"/>
        <v/>
      </c>
      <c r="F181" s="148" t="str">
        <f t="shared" si="162"/>
        <v/>
      </c>
      <c r="G181" s="261" t="str">
        <f t="shared" si="163"/>
        <v/>
      </c>
      <c r="H181" s="147" t="str">
        <f t="shared" si="164"/>
        <v/>
      </c>
      <c r="I181" s="148" t="str">
        <f t="shared" si="165"/>
        <v/>
      </c>
      <c r="J181" s="261" t="str">
        <f t="shared" si="166"/>
        <v/>
      </c>
      <c r="K181" s="147" t="str">
        <f t="shared" si="167"/>
        <v/>
      </c>
      <c r="L181" s="148" t="str">
        <f t="shared" si="168"/>
        <v/>
      </c>
      <c r="M181" s="261" t="str">
        <f t="shared" si="169"/>
        <v/>
      </c>
      <c r="N181" s="147" t="str">
        <f t="shared" si="170"/>
        <v/>
      </c>
      <c r="O181" s="148" t="str">
        <f t="shared" si="171"/>
        <v/>
      </c>
      <c r="P181" s="261" t="str">
        <f t="shared" si="172"/>
        <v/>
      </c>
      <c r="Q181" s="147" t="str">
        <f t="shared" si="173"/>
        <v/>
      </c>
      <c r="R181" s="148" t="str">
        <f t="shared" si="174"/>
        <v/>
      </c>
      <c r="S181" s="261" t="str">
        <f t="shared" ref="S181:S229" si="175">IF($C$9&gt;=$AA306,"#"&amp;$AA306&amp;":","")</f>
        <v/>
      </c>
      <c r="T181" s="147" t="str">
        <f t="shared" ref="T181:T229" si="176">$AI306</f>
        <v/>
      </c>
      <c r="U181" s="148" t="str">
        <f t="shared" ref="U181:U229" si="177">$AJ306</f>
        <v/>
      </c>
      <c r="V181" s="261" t="str">
        <f t="shared" ref="V181:V229" si="178">IF($C$9&gt;=$AA356,"#"&amp;$AA356&amp;":","")</f>
        <v/>
      </c>
      <c r="W181" s="147" t="str">
        <f t="shared" ref="W181:W229" si="179">$AI356</f>
        <v/>
      </c>
      <c r="X181" s="148" t="str">
        <f t="shared" ref="X181:X229" si="180">$AJ356</f>
        <v/>
      </c>
      <c r="Y181" s="259"/>
      <c r="Z181" s="2"/>
      <c r="AA181" s="264">
        <v>177</v>
      </c>
      <c r="AB181" s="16" t="str">
        <f t="shared" si="151"/>
        <v/>
      </c>
      <c r="AC181" s="16" t="str">
        <f t="shared" si="152"/>
        <v/>
      </c>
      <c r="AD181" s="16" t="str">
        <f t="shared" si="142"/>
        <v/>
      </c>
      <c r="AE181" s="16" t="str">
        <f t="shared" si="143"/>
        <v/>
      </c>
      <c r="AF181" s="16" t="str">
        <f t="shared" si="144"/>
        <v/>
      </c>
      <c r="AG181" s="16" t="str">
        <f t="shared" si="153"/>
        <v/>
      </c>
      <c r="AH181" s="16" t="str">
        <f t="shared" si="154"/>
        <v/>
      </c>
      <c r="AI181" s="29" t="str">
        <f t="shared" si="145"/>
        <v/>
      </c>
      <c r="AJ181" s="29" t="str">
        <f t="shared" si="146"/>
        <v/>
      </c>
      <c r="AK181" s="2"/>
      <c r="AL181" s="2"/>
      <c r="AM181" s="2"/>
      <c r="AN181" s="2"/>
      <c r="AO181" s="2"/>
      <c r="AP181" s="2"/>
      <c r="AQ181" s="2"/>
      <c r="AR181" s="2"/>
      <c r="AS181" s="2"/>
      <c r="AT181" s="2"/>
      <c r="AU181" s="2"/>
      <c r="AV181" s="2"/>
      <c r="AW181" s="2"/>
      <c r="AX181" s="2"/>
      <c r="AY181" s="2"/>
      <c r="AZ181" s="2"/>
      <c r="BA181" s="2"/>
      <c r="BB181" s="2"/>
      <c r="BC181" s="2"/>
    </row>
    <row r="182" spans="1:55" x14ac:dyDescent="0.25">
      <c r="A182" s="260" t="str">
        <f t="shared" si="157"/>
        <v>#3:</v>
      </c>
      <c r="B182" s="147">
        <f t="shared" si="158"/>
        <v>81.262626262625801</v>
      </c>
      <c r="C182" s="148">
        <f t="shared" si="159"/>
        <v>1.8027756377319946</v>
      </c>
      <c r="D182" s="261" t="str">
        <f t="shared" si="160"/>
        <v/>
      </c>
      <c r="E182" s="147" t="str">
        <f t="shared" si="161"/>
        <v/>
      </c>
      <c r="F182" s="148" t="str">
        <f t="shared" si="162"/>
        <v/>
      </c>
      <c r="G182" s="261" t="str">
        <f t="shared" si="163"/>
        <v/>
      </c>
      <c r="H182" s="147" t="str">
        <f t="shared" si="164"/>
        <v/>
      </c>
      <c r="I182" s="148" t="str">
        <f t="shared" si="165"/>
        <v/>
      </c>
      <c r="J182" s="261" t="str">
        <f t="shared" si="166"/>
        <v/>
      </c>
      <c r="K182" s="147" t="str">
        <f t="shared" si="167"/>
        <v/>
      </c>
      <c r="L182" s="148" t="str">
        <f t="shared" si="168"/>
        <v/>
      </c>
      <c r="M182" s="261" t="str">
        <f t="shared" si="169"/>
        <v/>
      </c>
      <c r="N182" s="147" t="str">
        <f t="shared" si="170"/>
        <v/>
      </c>
      <c r="O182" s="148" t="str">
        <f t="shared" si="171"/>
        <v/>
      </c>
      <c r="P182" s="261" t="str">
        <f t="shared" si="172"/>
        <v/>
      </c>
      <c r="Q182" s="147" t="str">
        <f t="shared" si="173"/>
        <v/>
      </c>
      <c r="R182" s="148" t="str">
        <f t="shared" si="174"/>
        <v/>
      </c>
      <c r="S182" s="261" t="str">
        <f t="shared" si="175"/>
        <v/>
      </c>
      <c r="T182" s="147" t="str">
        <f t="shared" si="176"/>
        <v/>
      </c>
      <c r="U182" s="148" t="str">
        <f t="shared" si="177"/>
        <v/>
      </c>
      <c r="V182" s="261" t="str">
        <f t="shared" si="178"/>
        <v/>
      </c>
      <c r="W182" s="147" t="str">
        <f t="shared" si="179"/>
        <v/>
      </c>
      <c r="X182" s="148" t="str">
        <f t="shared" si="180"/>
        <v/>
      </c>
      <c r="Y182" s="259"/>
      <c r="Z182" s="2"/>
      <c r="AA182" s="264">
        <v>178</v>
      </c>
      <c r="AB182" s="16" t="str">
        <f t="shared" si="151"/>
        <v/>
      </c>
      <c r="AC182" s="16" t="str">
        <f t="shared" si="152"/>
        <v/>
      </c>
      <c r="AD182" s="16" t="str">
        <f t="shared" si="142"/>
        <v/>
      </c>
      <c r="AE182" s="16" t="str">
        <f t="shared" si="143"/>
        <v/>
      </c>
      <c r="AF182" s="16" t="str">
        <f t="shared" si="144"/>
        <v/>
      </c>
      <c r="AG182" s="16" t="str">
        <f t="shared" si="153"/>
        <v/>
      </c>
      <c r="AH182" s="16" t="str">
        <f t="shared" si="154"/>
        <v/>
      </c>
      <c r="AI182" s="29" t="str">
        <f t="shared" si="145"/>
        <v/>
      </c>
      <c r="AJ182" s="29" t="str">
        <f t="shared" si="146"/>
        <v/>
      </c>
      <c r="AK182" s="2"/>
      <c r="AL182" s="2"/>
      <c r="AM182" s="2"/>
      <c r="AN182" s="2"/>
      <c r="AO182" s="2"/>
      <c r="AP182" s="2"/>
      <c r="AQ182" s="2"/>
      <c r="AR182" s="2"/>
      <c r="AS182" s="2"/>
      <c r="AT182" s="2"/>
      <c r="AU182" s="2"/>
      <c r="AV182" s="2"/>
      <c r="AW182" s="2"/>
      <c r="AX182" s="2"/>
      <c r="AY182" s="2"/>
      <c r="AZ182" s="2"/>
      <c r="BA182" s="2"/>
      <c r="BB182" s="2"/>
      <c r="BC182" s="2"/>
    </row>
    <row r="183" spans="1:55" x14ac:dyDescent="0.25">
      <c r="A183" s="260" t="str">
        <f t="shared" si="157"/>
        <v>#4:</v>
      </c>
      <c r="B183" s="147">
        <f t="shared" si="158"/>
        <v>80.75757575757531</v>
      </c>
      <c r="C183" s="148">
        <f t="shared" si="159"/>
        <v>1.8027756377319946</v>
      </c>
      <c r="D183" s="261" t="str">
        <f t="shared" si="160"/>
        <v/>
      </c>
      <c r="E183" s="147" t="str">
        <f t="shared" si="161"/>
        <v/>
      </c>
      <c r="F183" s="148" t="str">
        <f t="shared" si="162"/>
        <v/>
      </c>
      <c r="G183" s="261" t="str">
        <f t="shared" si="163"/>
        <v/>
      </c>
      <c r="H183" s="147" t="str">
        <f t="shared" si="164"/>
        <v/>
      </c>
      <c r="I183" s="148" t="str">
        <f t="shared" si="165"/>
        <v/>
      </c>
      <c r="J183" s="261" t="str">
        <f t="shared" si="166"/>
        <v/>
      </c>
      <c r="K183" s="147" t="str">
        <f t="shared" si="167"/>
        <v/>
      </c>
      <c r="L183" s="148" t="str">
        <f t="shared" si="168"/>
        <v/>
      </c>
      <c r="M183" s="261" t="str">
        <f t="shared" si="169"/>
        <v/>
      </c>
      <c r="N183" s="147" t="str">
        <f t="shared" si="170"/>
        <v/>
      </c>
      <c r="O183" s="148" t="str">
        <f t="shared" si="171"/>
        <v/>
      </c>
      <c r="P183" s="261" t="str">
        <f t="shared" si="172"/>
        <v/>
      </c>
      <c r="Q183" s="147" t="str">
        <f t="shared" si="173"/>
        <v/>
      </c>
      <c r="R183" s="148" t="str">
        <f t="shared" si="174"/>
        <v/>
      </c>
      <c r="S183" s="261" t="str">
        <f t="shared" si="175"/>
        <v/>
      </c>
      <c r="T183" s="147" t="str">
        <f t="shared" si="176"/>
        <v/>
      </c>
      <c r="U183" s="148" t="str">
        <f t="shared" si="177"/>
        <v/>
      </c>
      <c r="V183" s="261" t="str">
        <f t="shared" si="178"/>
        <v/>
      </c>
      <c r="W183" s="147" t="str">
        <f t="shared" si="179"/>
        <v/>
      </c>
      <c r="X183" s="148" t="str">
        <f t="shared" si="180"/>
        <v/>
      </c>
      <c r="Y183" s="259"/>
      <c r="Z183" s="2"/>
      <c r="AA183" s="264">
        <v>179</v>
      </c>
      <c r="AB183" s="16" t="str">
        <f t="shared" si="151"/>
        <v/>
      </c>
      <c r="AC183" s="16" t="str">
        <f t="shared" si="152"/>
        <v/>
      </c>
      <c r="AD183" s="16" t="str">
        <f t="shared" si="142"/>
        <v/>
      </c>
      <c r="AE183" s="16" t="str">
        <f t="shared" si="143"/>
        <v/>
      </c>
      <c r="AF183" s="16" t="str">
        <f t="shared" si="144"/>
        <v/>
      </c>
      <c r="AG183" s="16" t="str">
        <f t="shared" si="153"/>
        <v/>
      </c>
      <c r="AH183" s="16" t="str">
        <f t="shared" si="154"/>
        <v/>
      </c>
      <c r="AI183" s="29" t="str">
        <f t="shared" si="145"/>
        <v/>
      </c>
      <c r="AJ183" s="29" t="str">
        <f t="shared" si="146"/>
        <v/>
      </c>
      <c r="AK183" s="2"/>
      <c r="AL183" s="2"/>
      <c r="AM183" s="2"/>
      <c r="AN183" s="2"/>
      <c r="AO183" s="2"/>
      <c r="AP183" s="2"/>
      <c r="AQ183" s="2"/>
      <c r="AR183" s="2"/>
      <c r="AS183" s="2"/>
      <c r="AT183" s="2"/>
      <c r="AU183" s="2"/>
      <c r="AV183" s="2"/>
      <c r="AW183" s="2"/>
      <c r="AX183" s="2"/>
      <c r="AY183" s="2"/>
      <c r="AZ183" s="2"/>
      <c r="BA183" s="2"/>
      <c r="BB183" s="2"/>
      <c r="BC183" s="2"/>
    </row>
    <row r="184" spans="1:55" x14ac:dyDescent="0.25">
      <c r="A184" s="260" t="str">
        <f t="shared" si="157"/>
        <v>#5:</v>
      </c>
      <c r="B184" s="147">
        <f t="shared" si="158"/>
        <v>80.252525252524805</v>
      </c>
      <c r="C184" s="148">
        <f t="shared" si="159"/>
        <v>1.8027756377319946</v>
      </c>
      <c r="D184" s="261" t="str">
        <f t="shared" si="160"/>
        <v/>
      </c>
      <c r="E184" s="147" t="str">
        <f t="shared" si="161"/>
        <v/>
      </c>
      <c r="F184" s="148" t="str">
        <f t="shared" si="162"/>
        <v/>
      </c>
      <c r="G184" s="261" t="str">
        <f t="shared" si="163"/>
        <v/>
      </c>
      <c r="H184" s="147" t="str">
        <f t="shared" si="164"/>
        <v/>
      </c>
      <c r="I184" s="148" t="str">
        <f t="shared" si="165"/>
        <v/>
      </c>
      <c r="J184" s="261" t="str">
        <f t="shared" si="166"/>
        <v/>
      </c>
      <c r="K184" s="147" t="str">
        <f t="shared" si="167"/>
        <v/>
      </c>
      <c r="L184" s="148" t="str">
        <f t="shared" si="168"/>
        <v/>
      </c>
      <c r="M184" s="261" t="str">
        <f t="shared" si="169"/>
        <v/>
      </c>
      <c r="N184" s="147" t="str">
        <f t="shared" si="170"/>
        <v/>
      </c>
      <c r="O184" s="148" t="str">
        <f t="shared" si="171"/>
        <v/>
      </c>
      <c r="P184" s="261" t="str">
        <f t="shared" si="172"/>
        <v/>
      </c>
      <c r="Q184" s="147" t="str">
        <f t="shared" si="173"/>
        <v/>
      </c>
      <c r="R184" s="148" t="str">
        <f t="shared" si="174"/>
        <v/>
      </c>
      <c r="S184" s="261" t="str">
        <f t="shared" si="175"/>
        <v/>
      </c>
      <c r="T184" s="147" t="str">
        <f t="shared" si="176"/>
        <v/>
      </c>
      <c r="U184" s="148" t="str">
        <f t="shared" si="177"/>
        <v/>
      </c>
      <c r="V184" s="261" t="str">
        <f t="shared" si="178"/>
        <v/>
      </c>
      <c r="W184" s="147" t="str">
        <f t="shared" si="179"/>
        <v/>
      </c>
      <c r="X184" s="148" t="str">
        <f t="shared" si="180"/>
        <v/>
      </c>
      <c r="Y184" s="259"/>
      <c r="Z184" s="2"/>
      <c r="AA184" s="264">
        <v>180</v>
      </c>
      <c r="AB184" s="16" t="str">
        <f t="shared" si="151"/>
        <v/>
      </c>
      <c r="AC184" s="16" t="str">
        <f t="shared" si="152"/>
        <v/>
      </c>
      <c r="AD184" s="16" t="str">
        <f t="shared" si="142"/>
        <v/>
      </c>
      <c r="AE184" s="16" t="str">
        <f t="shared" si="143"/>
        <v/>
      </c>
      <c r="AF184" s="16" t="str">
        <f t="shared" si="144"/>
        <v/>
      </c>
      <c r="AG184" s="16" t="str">
        <f t="shared" si="153"/>
        <v/>
      </c>
      <c r="AH184" s="16" t="str">
        <f t="shared" si="154"/>
        <v/>
      </c>
      <c r="AI184" s="29" t="str">
        <f t="shared" si="145"/>
        <v/>
      </c>
      <c r="AJ184" s="29" t="str">
        <f t="shared" si="146"/>
        <v/>
      </c>
      <c r="AK184" s="2"/>
      <c r="AL184" s="2"/>
      <c r="AM184" s="2"/>
      <c r="AN184" s="2"/>
      <c r="AO184" s="2"/>
      <c r="AP184" s="2"/>
      <c r="AQ184" s="2"/>
      <c r="AR184" s="2"/>
      <c r="AS184" s="2"/>
      <c r="AT184" s="2"/>
      <c r="AU184" s="2"/>
      <c r="AV184" s="2"/>
      <c r="AW184" s="2"/>
      <c r="AX184" s="2"/>
      <c r="AY184" s="2"/>
      <c r="AZ184" s="2"/>
      <c r="BA184" s="2"/>
      <c r="BB184" s="2"/>
      <c r="BC184" s="2"/>
    </row>
    <row r="185" spans="1:55" x14ac:dyDescent="0.25">
      <c r="A185" s="260" t="str">
        <f t="shared" si="157"/>
        <v>#6:</v>
      </c>
      <c r="B185" s="147">
        <f t="shared" si="158"/>
        <v>79.747474747474314</v>
      </c>
      <c r="C185" s="148">
        <f t="shared" si="159"/>
        <v>1.8027756377319946</v>
      </c>
      <c r="D185" s="261" t="str">
        <f t="shared" si="160"/>
        <v/>
      </c>
      <c r="E185" s="147" t="str">
        <f t="shared" si="161"/>
        <v/>
      </c>
      <c r="F185" s="148" t="str">
        <f t="shared" si="162"/>
        <v/>
      </c>
      <c r="G185" s="261" t="str">
        <f t="shared" si="163"/>
        <v/>
      </c>
      <c r="H185" s="147" t="str">
        <f t="shared" si="164"/>
        <v/>
      </c>
      <c r="I185" s="148" t="str">
        <f t="shared" si="165"/>
        <v/>
      </c>
      <c r="J185" s="261" t="str">
        <f t="shared" si="166"/>
        <v/>
      </c>
      <c r="K185" s="147" t="str">
        <f t="shared" si="167"/>
        <v/>
      </c>
      <c r="L185" s="148" t="str">
        <f t="shared" si="168"/>
        <v/>
      </c>
      <c r="M185" s="261" t="str">
        <f t="shared" si="169"/>
        <v/>
      </c>
      <c r="N185" s="147" t="str">
        <f t="shared" si="170"/>
        <v/>
      </c>
      <c r="O185" s="148" t="str">
        <f t="shared" si="171"/>
        <v/>
      </c>
      <c r="P185" s="261" t="str">
        <f t="shared" si="172"/>
        <v/>
      </c>
      <c r="Q185" s="147" t="str">
        <f t="shared" si="173"/>
        <v/>
      </c>
      <c r="R185" s="148" t="str">
        <f t="shared" si="174"/>
        <v/>
      </c>
      <c r="S185" s="261" t="str">
        <f t="shared" si="175"/>
        <v/>
      </c>
      <c r="T185" s="147" t="str">
        <f t="shared" si="176"/>
        <v/>
      </c>
      <c r="U185" s="148" t="str">
        <f t="shared" si="177"/>
        <v/>
      </c>
      <c r="V185" s="261" t="str">
        <f t="shared" si="178"/>
        <v/>
      </c>
      <c r="W185" s="147" t="str">
        <f t="shared" si="179"/>
        <v/>
      </c>
      <c r="X185" s="148" t="str">
        <f t="shared" si="180"/>
        <v/>
      </c>
      <c r="Y185" s="259"/>
      <c r="Z185" s="2"/>
      <c r="AA185" s="264">
        <v>181</v>
      </c>
      <c r="AB185" s="16" t="str">
        <f t="shared" si="151"/>
        <v/>
      </c>
      <c r="AC185" s="16" t="str">
        <f t="shared" si="152"/>
        <v/>
      </c>
      <c r="AD185" s="16" t="str">
        <f t="shared" si="142"/>
        <v/>
      </c>
      <c r="AE185" s="16" t="str">
        <f t="shared" si="143"/>
        <v/>
      </c>
      <c r="AF185" s="16" t="str">
        <f t="shared" si="144"/>
        <v/>
      </c>
      <c r="AG185" s="16" t="str">
        <f t="shared" si="153"/>
        <v/>
      </c>
      <c r="AH185" s="16" t="str">
        <f t="shared" si="154"/>
        <v/>
      </c>
      <c r="AI185" s="29" t="str">
        <f t="shared" si="145"/>
        <v/>
      </c>
      <c r="AJ185" s="29" t="str">
        <f t="shared" si="146"/>
        <v/>
      </c>
      <c r="AK185" s="2"/>
      <c r="AL185" s="2"/>
      <c r="AM185" s="2"/>
      <c r="AN185" s="2"/>
      <c r="AO185" s="2"/>
      <c r="AP185" s="2"/>
      <c r="AQ185" s="2"/>
      <c r="AR185" s="2"/>
      <c r="AS185" s="2"/>
      <c r="AT185" s="2"/>
      <c r="AU185" s="2"/>
      <c r="AV185" s="2"/>
      <c r="AW185" s="2"/>
      <c r="AX185" s="2"/>
      <c r="AY185" s="2"/>
      <c r="AZ185" s="2"/>
      <c r="BA185" s="2"/>
      <c r="BB185" s="2"/>
      <c r="BC185" s="2"/>
    </row>
    <row r="186" spans="1:55" x14ac:dyDescent="0.25">
      <c r="A186" s="260" t="str">
        <f t="shared" si="157"/>
        <v>#7:</v>
      </c>
      <c r="B186" s="147">
        <f t="shared" si="158"/>
        <v>79.242424242423809</v>
      </c>
      <c r="C186" s="148">
        <f t="shared" si="159"/>
        <v>1.8027756377319946</v>
      </c>
      <c r="D186" s="261" t="str">
        <f t="shared" si="160"/>
        <v/>
      </c>
      <c r="E186" s="147" t="str">
        <f t="shared" si="161"/>
        <v/>
      </c>
      <c r="F186" s="148" t="str">
        <f t="shared" si="162"/>
        <v/>
      </c>
      <c r="G186" s="261" t="str">
        <f t="shared" si="163"/>
        <v/>
      </c>
      <c r="H186" s="147" t="str">
        <f t="shared" si="164"/>
        <v/>
      </c>
      <c r="I186" s="148" t="str">
        <f t="shared" si="165"/>
        <v/>
      </c>
      <c r="J186" s="261" t="str">
        <f t="shared" si="166"/>
        <v/>
      </c>
      <c r="K186" s="147" t="str">
        <f t="shared" si="167"/>
        <v/>
      </c>
      <c r="L186" s="148" t="str">
        <f t="shared" si="168"/>
        <v/>
      </c>
      <c r="M186" s="261" t="str">
        <f t="shared" si="169"/>
        <v/>
      </c>
      <c r="N186" s="147" t="str">
        <f t="shared" si="170"/>
        <v/>
      </c>
      <c r="O186" s="148" t="str">
        <f t="shared" si="171"/>
        <v/>
      </c>
      <c r="P186" s="261" t="str">
        <f t="shared" si="172"/>
        <v/>
      </c>
      <c r="Q186" s="147" t="str">
        <f t="shared" si="173"/>
        <v/>
      </c>
      <c r="R186" s="148" t="str">
        <f t="shared" si="174"/>
        <v/>
      </c>
      <c r="S186" s="261" t="str">
        <f t="shared" si="175"/>
        <v/>
      </c>
      <c r="T186" s="147" t="str">
        <f t="shared" si="176"/>
        <v/>
      </c>
      <c r="U186" s="148" t="str">
        <f t="shared" si="177"/>
        <v/>
      </c>
      <c r="V186" s="261" t="str">
        <f t="shared" si="178"/>
        <v/>
      </c>
      <c r="W186" s="147" t="str">
        <f t="shared" si="179"/>
        <v/>
      </c>
      <c r="X186" s="148" t="str">
        <f t="shared" si="180"/>
        <v/>
      </c>
      <c r="Y186" s="259"/>
      <c r="Z186" s="2"/>
      <c r="AA186" s="264">
        <v>182</v>
      </c>
      <c r="AB186" s="16" t="str">
        <f t="shared" si="151"/>
        <v/>
      </c>
      <c r="AC186" s="16" t="str">
        <f t="shared" si="152"/>
        <v/>
      </c>
      <c r="AD186" s="16" t="str">
        <f t="shared" si="142"/>
        <v/>
      </c>
      <c r="AE186" s="16" t="str">
        <f t="shared" si="143"/>
        <v/>
      </c>
      <c r="AF186" s="16" t="str">
        <f t="shared" si="144"/>
        <v/>
      </c>
      <c r="AG186" s="16" t="str">
        <f t="shared" si="153"/>
        <v/>
      </c>
      <c r="AH186" s="16" t="str">
        <f t="shared" si="154"/>
        <v/>
      </c>
      <c r="AI186" s="29" t="str">
        <f t="shared" si="145"/>
        <v/>
      </c>
      <c r="AJ186" s="29" t="str">
        <f t="shared" si="146"/>
        <v/>
      </c>
      <c r="AK186" s="2"/>
      <c r="AL186" s="2"/>
      <c r="AM186" s="2"/>
      <c r="AN186" s="2"/>
      <c r="AO186" s="2"/>
      <c r="AP186" s="2"/>
      <c r="AQ186" s="2"/>
      <c r="AR186" s="2"/>
      <c r="AS186" s="2"/>
      <c r="AT186" s="2"/>
      <c r="AU186" s="2"/>
      <c r="AV186" s="2"/>
      <c r="AW186" s="2"/>
      <c r="AX186" s="2"/>
      <c r="AY186" s="2"/>
      <c r="AZ186" s="2"/>
      <c r="BA186" s="2"/>
      <c r="BB186" s="2"/>
      <c r="BC186" s="2"/>
    </row>
    <row r="187" spans="1:55" x14ac:dyDescent="0.25">
      <c r="A187" s="260" t="str">
        <f t="shared" si="157"/>
        <v>#8:</v>
      </c>
      <c r="B187" s="147">
        <f t="shared" si="158"/>
        <v>78.737373737373318</v>
      </c>
      <c r="C187" s="148">
        <f t="shared" si="159"/>
        <v>1.8027756377319946</v>
      </c>
      <c r="D187" s="261" t="str">
        <f t="shared" si="160"/>
        <v/>
      </c>
      <c r="E187" s="147" t="str">
        <f t="shared" si="161"/>
        <v/>
      </c>
      <c r="F187" s="148" t="str">
        <f t="shared" si="162"/>
        <v/>
      </c>
      <c r="G187" s="261" t="str">
        <f t="shared" si="163"/>
        <v/>
      </c>
      <c r="H187" s="147" t="str">
        <f t="shared" si="164"/>
        <v/>
      </c>
      <c r="I187" s="148" t="str">
        <f t="shared" si="165"/>
        <v/>
      </c>
      <c r="J187" s="261" t="str">
        <f t="shared" si="166"/>
        <v/>
      </c>
      <c r="K187" s="147" t="str">
        <f t="shared" si="167"/>
        <v/>
      </c>
      <c r="L187" s="148" t="str">
        <f t="shared" si="168"/>
        <v/>
      </c>
      <c r="M187" s="261" t="str">
        <f t="shared" si="169"/>
        <v/>
      </c>
      <c r="N187" s="147" t="str">
        <f t="shared" si="170"/>
        <v/>
      </c>
      <c r="O187" s="148" t="str">
        <f t="shared" si="171"/>
        <v/>
      </c>
      <c r="P187" s="261" t="str">
        <f t="shared" si="172"/>
        <v/>
      </c>
      <c r="Q187" s="147" t="str">
        <f t="shared" si="173"/>
        <v/>
      </c>
      <c r="R187" s="148" t="str">
        <f t="shared" si="174"/>
        <v/>
      </c>
      <c r="S187" s="261" t="str">
        <f t="shared" si="175"/>
        <v/>
      </c>
      <c r="T187" s="147" t="str">
        <f t="shared" si="176"/>
        <v/>
      </c>
      <c r="U187" s="148" t="str">
        <f t="shared" si="177"/>
        <v/>
      </c>
      <c r="V187" s="261" t="str">
        <f t="shared" si="178"/>
        <v/>
      </c>
      <c r="W187" s="147" t="str">
        <f t="shared" si="179"/>
        <v/>
      </c>
      <c r="X187" s="148" t="str">
        <f t="shared" si="180"/>
        <v/>
      </c>
      <c r="Y187" s="259"/>
      <c r="Z187" s="2"/>
      <c r="AA187" s="264">
        <v>183</v>
      </c>
      <c r="AB187" s="16" t="str">
        <f t="shared" ref="AB187:AB204" si="181">IF($C$9&gt;=$AA187,$L45+0.000001-$AB$410,"")</f>
        <v/>
      </c>
      <c r="AC187" s="16" t="str">
        <f t="shared" ref="AC187:AC204" si="182">IF($C$9&gt;=$AA187,$K45+0.000001-$AB$409,"")</f>
        <v/>
      </c>
      <c r="AD187" s="16" t="str">
        <f t="shared" si="142"/>
        <v/>
      </c>
      <c r="AE187" s="16" t="str">
        <f t="shared" si="143"/>
        <v/>
      </c>
      <c r="AF187" s="16" t="str">
        <f t="shared" si="144"/>
        <v/>
      </c>
      <c r="AG187" s="16" t="str">
        <f t="shared" ref="AG187:AG204" si="183">IF($C$9&gt;=$AA187,$K45-$AB$409,"")</f>
        <v/>
      </c>
      <c r="AH187" s="16" t="str">
        <f t="shared" ref="AH187:AH204" si="184">IF($C$9&gt;=$AA187,$L45-$AB$410,"")</f>
        <v/>
      </c>
      <c r="AI187" s="29" t="str">
        <f t="shared" si="145"/>
        <v/>
      </c>
      <c r="AJ187" s="29" t="str">
        <f t="shared" si="146"/>
        <v/>
      </c>
      <c r="AK187" s="2"/>
      <c r="AL187" s="2"/>
      <c r="AM187" s="2"/>
      <c r="AN187" s="2"/>
      <c r="AO187" s="2"/>
      <c r="AP187" s="2"/>
      <c r="AQ187" s="2"/>
      <c r="AR187" s="2"/>
      <c r="AS187" s="2"/>
      <c r="AT187" s="2"/>
      <c r="AU187" s="2"/>
      <c r="AV187" s="2"/>
      <c r="AW187" s="2"/>
      <c r="AX187" s="2"/>
      <c r="AY187" s="2"/>
      <c r="AZ187" s="2"/>
      <c r="BA187" s="2"/>
      <c r="BB187" s="2"/>
      <c r="BC187" s="2"/>
    </row>
    <row r="188" spans="1:55" x14ac:dyDescent="0.25">
      <c r="A188" s="260" t="str">
        <f t="shared" si="157"/>
        <v>#9:</v>
      </c>
      <c r="B188" s="147">
        <f t="shared" si="158"/>
        <v>78.232323232322813</v>
      </c>
      <c r="C188" s="148">
        <f t="shared" si="159"/>
        <v>1.8027756377319946</v>
      </c>
      <c r="D188" s="261" t="str">
        <f t="shared" si="160"/>
        <v/>
      </c>
      <c r="E188" s="147" t="str">
        <f t="shared" si="161"/>
        <v/>
      </c>
      <c r="F188" s="148" t="str">
        <f t="shared" si="162"/>
        <v/>
      </c>
      <c r="G188" s="261" t="str">
        <f t="shared" si="163"/>
        <v/>
      </c>
      <c r="H188" s="147" t="str">
        <f t="shared" si="164"/>
        <v/>
      </c>
      <c r="I188" s="148" t="str">
        <f t="shared" si="165"/>
        <v/>
      </c>
      <c r="J188" s="261" t="str">
        <f t="shared" si="166"/>
        <v/>
      </c>
      <c r="K188" s="147" t="str">
        <f t="shared" si="167"/>
        <v/>
      </c>
      <c r="L188" s="148" t="str">
        <f t="shared" si="168"/>
        <v/>
      </c>
      <c r="M188" s="261" t="str">
        <f t="shared" si="169"/>
        <v/>
      </c>
      <c r="N188" s="147" t="str">
        <f t="shared" si="170"/>
        <v/>
      </c>
      <c r="O188" s="148" t="str">
        <f t="shared" si="171"/>
        <v/>
      </c>
      <c r="P188" s="261" t="str">
        <f t="shared" si="172"/>
        <v/>
      </c>
      <c r="Q188" s="147" t="str">
        <f t="shared" si="173"/>
        <v/>
      </c>
      <c r="R188" s="148" t="str">
        <f t="shared" si="174"/>
        <v/>
      </c>
      <c r="S188" s="261" t="str">
        <f t="shared" si="175"/>
        <v/>
      </c>
      <c r="T188" s="147" t="str">
        <f t="shared" si="176"/>
        <v/>
      </c>
      <c r="U188" s="148" t="str">
        <f t="shared" si="177"/>
        <v/>
      </c>
      <c r="V188" s="261" t="str">
        <f t="shared" si="178"/>
        <v/>
      </c>
      <c r="W188" s="147" t="str">
        <f t="shared" si="179"/>
        <v/>
      </c>
      <c r="X188" s="148" t="str">
        <f t="shared" si="180"/>
        <v/>
      </c>
      <c r="Y188" s="259"/>
      <c r="Z188" s="2"/>
      <c r="AA188" s="264">
        <v>184</v>
      </c>
      <c r="AB188" s="16" t="str">
        <f t="shared" si="181"/>
        <v/>
      </c>
      <c r="AC188" s="16" t="str">
        <f t="shared" si="182"/>
        <v/>
      </c>
      <c r="AD188" s="16" t="str">
        <f t="shared" si="142"/>
        <v/>
      </c>
      <c r="AE188" s="16" t="str">
        <f t="shared" si="143"/>
        <v/>
      </c>
      <c r="AF188" s="16" t="str">
        <f t="shared" si="144"/>
        <v/>
      </c>
      <c r="AG188" s="16" t="str">
        <f t="shared" si="183"/>
        <v/>
      </c>
      <c r="AH188" s="16" t="str">
        <f t="shared" si="184"/>
        <v/>
      </c>
      <c r="AI188" s="29" t="str">
        <f t="shared" si="145"/>
        <v/>
      </c>
      <c r="AJ188" s="29" t="str">
        <f t="shared" si="146"/>
        <v/>
      </c>
      <c r="AK188" s="2"/>
      <c r="AL188" s="2"/>
      <c r="AM188" s="2"/>
      <c r="AN188" s="2"/>
      <c r="AO188" s="2"/>
      <c r="AP188" s="2"/>
      <c r="AQ188" s="2"/>
      <c r="AR188" s="2"/>
      <c r="AS188" s="2"/>
      <c r="AT188" s="2"/>
      <c r="AU188" s="2"/>
      <c r="AV188" s="2"/>
      <c r="AW188" s="2"/>
      <c r="AX188" s="2"/>
      <c r="AY188" s="2"/>
      <c r="AZ188" s="2"/>
      <c r="BA188" s="2"/>
      <c r="BB188" s="2"/>
      <c r="BC188" s="2"/>
    </row>
    <row r="189" spans="1:55" x14ac:dyDescent="0.25">
      <c r="A189" s="260" t="str">
        <f t="shared" si="157"/>
        <v>#10:</v>
      </c>
      <c r="B189" s="147">
        <f t="shared" si="158"/>
        <v>77.727272727272322</v>
      </c>
      <c r="C189" s="148">
        <f t="shared" si="159"/>
        <v>1.8027756377319946</v>
      </c>
      <c r="D189" s="261" t="str">
        <f t="shared" si="160"/>
        <v/>
      </c>
      <c r="E189" s="147" t="str">
        <f t="shared" si="161"/>
        <v/>
      </c>
      <c r="F189" s="148" t="str">
        <f t="shared" si="162"/>
        <v/>
      </c>
      <c r="G189" s="261" t="str">
        <f t="shared" si="163"/>
        <v/>
      </c>
      <c r="H189" s="147" t="str">
        <f t="shared" si="164"/>
        <v/>
      </c>
      <c r="I189" s="148" t="str">
        <f t="shared" si="165"/>
        <v/>
      </c>
      <c r="J189" s="261" t="str">
        <f t="shared" si="166"/>
        <v/>
      </c>
      <c r="K189" s="147" t="str">
        <f t="shared" si="167"/>
        <v/>
      </c>
      <c r="L189" s="148" t="str">
        <f t="shared" si="168"/>
        <v/>
      </c>
      <c r="M189" s="261" t="str">
        <f t="shared" si="169"/>
        <v/>
      </c>
      <c r="N189" s="147" t="str">
        <f t="shared" si="170"/>
        <v/>
      </c>
      <c r="O189" s="148" t="str">
        <f t="shared" si="171"/>
        <v/>
      </c>
      <c r="P189" s="261" t="str">
        <f t="shared" si="172"/>
        <v/>
      </c>
      <c r="Q189" s="147" t="str">
        <f t="shared" si="173"/>
        <v/>
      </c>
      <c r="R189" s="148" t="str">
        <f t="shared" si="174"/>
        <v/>
      </c>
      <c r="S189" s="261" t="str">
        <f t="shared" si="175"/>
        <v/>
      </c>
      <c r="T189" s="147" t="str">
        <f t="shared" si="176"/>
        <v/>
      </c>
      <c r="U189" s="148" t="str">
        <f t="shared" si="177"/>
        <v/>
      </c>
      <c r="V189" s="261" t="str">
        <f t="shared" si="178"/>
        <v/>
      </c>
      <c r="W189" s="147" t="str">
        <f t="shared" si="179"/>
        <v/>
      </c>
      <c r="X189" s="148" t="str">
        <f t="shared" si="180"/>
        <v/>
      </c>
      <c r="Y189" s="259"/>
      <c r="Z189" s="2"/>
      <c r="AA189" s="264">
        <v>185</v>
      </c>
      <c r="AB189" s="16" t="str">
        <f t="shared" si="181"/>
        <v/>
      </c>
      <c r="AC189" s="16" t="str">
        <f t="shared" si="182"/>
        <v/>
      </c>
      <c r="AD189" s="16" t="str">
        <f t="shared" si="142"/>
        <v/>
      </c>
      <c r="AE189" s="16" t="str">
        <f t="shared" si="143"/>
        <v/>
      </c>
      <c r="AF189" s="16" t="str">
        <f t="shared" si="144"/>
        <v/>
      </c>
      <c r="AG189" s="16" t="str">
        <f t="shared" si="183"/>
        <v/>
      </c>
      <c r="AH189" s="16" t="str">
        <f t="shared" si="184"/>
        <v/>
      </c>
      <c r="AI189" s="29" t="str">
        <f t="shared" si="145"/>
        <v/>
      </c>
      <c r="AJ189" s="29" t="str">
        <f t="shared" si="146"/>
        <v/>
      </c>
      <c r="AK189" s="2"/>
      <c r="AL189" s="2"/>
      <c r="AM189" s="2"/>
      <c r="AN189" s="2"/>
      <c r="AO189" s="2"/>
      <c r="AP189" s="2"/>
      <c r="AQ189" s="2"/>
      <c r="AR189" s="2"/>
      <c r="AS189" s="2"/>
      <c r="AT189" s="2"/>
      <c r="AU189" s="2"/>
      <c r="AV189" s="2"/>
      <c r="AW189" s="2"/>
      <c r="AX189" s="2"/>
      <c r="AY189" s="2"/>
      <c r="AZ189" s="2"/>
      <c r="BA189" s="2"/>
      <c r="BB189" s="2"/>
      <c r="BC189" s="2"/>
    </row>
    <row r="190" spans="1:55" x14ac:dyDescent="0.25">
      <c r="A190" s="260" t="str">
        <f t="shared" si="157"/>
        <v>#11:</v>
      </c>
      <c r="B190" s="147">
        <f t="shared" si="158"/>
        <v>78.939393939393753</v>
      </c>
      <c r="C190" s="148">
        <f t="shared" si="159"/>
        <v>1.8027756377319946</v>
      </c>
      <c r="D190" s="261" t="str">
        <f t="shared" si="160"/>
        <v/>
      </c>
      <c r="E190" s="147" t="str">
        <f t="shared" si="161"/>
        <v/>
      </c>
      <c r="F190" s="148" t="str">
        <f t="shared" si="162"/>
        <v/>
      </c>
      <c r="G190" s="261" t="str">
        <f t="shared" si="163"/>
        <v/>
      </c>
      <c r="H190" s="147" t="str">
        <f t="shared" si="164"/>
        <v/>
      </c>
      <c r="I190" s="148" t="str">
        <f t="shared" si="165"/>
        <v/>
      </c>
      <c r="J190" s="261" t="str">
        <f t="shared" si="166"/>
        <v/>
      </c>
      <c r="K190" s="147" t="str">
        <f t="shared" si="167"/>
        <v/>
      </c>
      <c r="L190" s="148" t="str">
        <f t="shared" si="168"/>
        <v/>
      </c>
      <c r="M190" s="261" t="str">
        <f t="shared" si="169"/>
        <v/>
      </c>
      <c r="N190" s="147" t="str">
        <f t="shared" si="170"/>
        <v/>
      </c>
      <c r="O190" s="148" t="str">
        <f t="shared" si="171"/>
        <v/>
      </c>
      <c r="P190" s="261" t="str">
        <f t="shared" si="172"/>
        <v/>
      </c>
      <c r="Q190" s="147" t="str">
        <f t="shared" si="173"/>
        <v/>
      </c>
      <c r="R190" s="148" t="str">
        <f t="shared" si="174"/>
        <v/>
      </c>
      <c r="S190" s="261" t="str">
        <f t="shared" si="175"/>
        <v/>
      </c>
      <c r="T190" s="147" t="str">
        <f t="shared" si="176"/>
        <v/>
      </c>
      <c r="U190" s="148" t="str">
        <f t="shared" si="177"/>
        <v/>
      </c>
      <c r="V190" s="261" t="str">
        <f t="shared" si="178"/>
        <v/>
      </c>
      <c r="W190" s="147" t="str">
        <f t="shared" si="179"/>
        <v/>
      </c>
      <c r="X190" s="148" t="str">
        <f t="shared" si="180"/>
        <v/>
      </c>
      <c r="Y190" s="259"/>
      <c r="Z190" s="2"/>
      <c r="AA190" s="264">
        <v>186</v>
      </c>
      <c r="AB190" s="16" t="str">
        <f t="shared" si="181"/>
        <v/>
      </c>
      <c r="AC190" s="16" t="str">
        <f t="shared" si="182"/>
        <v/>
      </c>
      <c r="AD190" s="16" t="str">
        <f t="shared" si="142"/>
        <v/>
      </c>
      <c r="AE190" s="16" t="str">
        <f t="shared" si="143"/>
        <v/>
      </c>
      <c r="AF190" s="16" t="str">
        <f t="shared" si="144"/>
        <v/>
      </c>
      <c r="AG190" s="16" t="str">
        <f t="shared" si="183"/>
        <v/>
      </c>
      <c r="AH190" s="16" t="str">
        <f t="shared" si="184"/>
        <v/>
      </c>
      <c r="AI190" s="29" t="str">
        <f t="shared" si="145"/>
        <v/>
      </c>
      <c r="AJ190" s="29" t="str">
        <f t="shared" si="146"/>
        <v/>
      </c>
      <c r="AK190" s="2"/>
      <c r="AL190" s="2"/>
      <c r="AM190" s="2"/>
      <c r="AN190" s="2"/>
      <c r="AO190" s="2"/>
      <c r="AP190" s="2"/>
      <c r="AQ190" s="2"/>
      <c r="AR190" s="2"/>
      <c r="AS190" s="2"/>
      <c r="AT190" s="2"/>
      <c r="AU190" s="2"/>
      <c r="AV190" s="2"/>
      <c r="AW190" s="2"/>
      <c r="AX190" s="2"/>
      <c r="AY190" s="2"/>
      <c r="AZ190" s="2"/>
      <c r="BA190" s="2"/>
      <c r="BB190" s="2"/>
      <c r="BC190" s="2"/>
    </row>
    <row r="191" spans="1:55" x14ac:dyDescent="0.25">
      <c r="A191" s="260" t="str">
        <f t="shared" si="157"/>
        <v>#12:</v>
      </c>
      <c r="B191" s="147">
        <f t="shared" si="158"/>
        <v>78.434343434343262</v>
      </c>
      <c r="C191" s="148">
        <f t="shared" si="159"/>
        <v>1.8027756377319946</v>
      </c>
      <c r="D191" s="261" t="str">
        <f t="shared" si="160"/>
        <v/>
      </c>
      <c r="E191" s="147" t="str">
        <f t="shared" si="161"/>
        <v/>
      </c>
      <c r="F191" s="148" t="str">
        <f t="shared" si="162"/>
        <v/>
      </c>
      <c r="G191" s="261" t="str">
        <f t="shared" si="163"/>
        <v/>
      </c>
      <c r="H191" s="147" t="str">
        <f t="shared" si="164"/>
        <v/>
      </c>
      <c r="I191" s="148" t="str">
        <f t="shared" si="165"/>
        <v/>
      </c>
      <c r="J191" s="261" t="str">
        <f t="shared" si="166"/>
        <v/>
      </c>
      <c r="K191" s="147" t="str">
        <f t="shared" si="167"/>
        <v/>
      </c>
      <c r="L191" s="148" t="str">
        <f t="shared" si="168"/>
        <v/>
      </c>
      <c r="M191" s="261" t="str">
        <f t="shared" si="169"/>
        <v/>
      </c>
      <c r="N191" s="147" t="str">
        <f t="shared" si="170"/>
        <v/>
      </c>
      <c r="O191" s="148" t="str">
        <f t="shared" si="171"/>
        <v/>
      </c>
      <c r="P191" s="261" t="str">
        <f t="shared" si="172"/>
        <v/>
      </c>
      <c r="Q191" s="147" t="str">
        <f t="shared" si="173"/>
        <v/>
      </c>
      <c r="R191" s="148" t="str">
        <f t="shared" si="174"/>
        <v/>
      </c>
      <c r="S191" s="261" t="str">
        <f t="shared" si="175"/>
        <v/>
      </c>
      <c r="T191" s="147" t="str">
        <f t="shared" si="176"/>
        <v/>
      </c>
      <c r="U191" s="148" t="str">
        <f t="shared" si="177"/>
        <v/>
      </c>
      <c r="V191" s="261" t="str">
        <f t="shared" si="178"/>
        <v/>
      </c>
      <c r="W191" s="147" t="str">
        <f t="shared" si="179"/>
        <v/>
      </c>
      <c r="X191" s="148" t="str">
        <f t="shared" si="180"/>
        <v/>
      </c>
      <c r="Y191" s="259"/>
      <c r="Z191" s="2"/>
      <c r="AA191" s="264">
        <v>187</v>
      </c>
      <c r="AB191" s="16" t="str">
        <f t="shared" si="181"/>
        <v/>
      </c>
      <c r="AC191" s="16" t="str">
        <f t="shared" si="182"/>
        <v/>
      </c>
      <c r="AD191" s="16" t="str">
        <f t="shared" si="142"/>
        <v/>
      </c>
      <c r="AE191" s="16" t="str">
        <f t="shared" si="143"/>
        <v/>
      </c>
      <c r="AF191" s="16" t="str">
        <f t="shared" si="144"/>
        <v/>
      </c>
      <c r="AG191" s="16" t="str">
        <f t="shared" si="183"/>
        <v/>
      </c>
      <c r="AH191" s="16" t="str">
        <f t="shared" si="184"/>
        <v/>
      </c>
      <c r="AI191" s="29" t="str">
        <f t="shared" si="145"/>
        <v/>
      </c>
      <c r="AJ191" s="29" t="str">
        <f t="shared" si="146"/>
        <v/>
      </c>
      <c r="AK191" s="2"/>
      <c r="AL191" s="2"/>
      <c r="AM191" s="2"/>
      <c r="AN191" s="2"/>
      <c r="AO191" s="2"/>
      <c r="AP191" s="2"/>
      <c r="AQ191" s="2"/>
      <c r="AR191" s="2"/>
      <c r="AS191" s="2"/>
      <c r="AT191" s="2"/>
      <c r="AU191" s="2"/>
      <c r="AV191" s="2"/>
      <c r="AW191" s="2"/>
      <c r="AX191" s="2"/>
      <c r="AY191" s="2"/>
      <c r="AZ191" s="2"/>
      <c r="BA191" s="2"/>
      <c r="BB191" s="2"/>
      <c r="BC191" s="2"/>
    </row>
    <row r="192" spans="1:55" x14ac:dyDescent="0.25">
      <c r="A192" s="260" t="str">
        <f t="shared" si="157"/>
        <v>#13:</v>
      </c>
      <c r="B192" s="147">
        <f t="shared" si="158"/>
        <v>77.929292929292757</v>
      </c>
      <c r="C192" s="148">
        <f t="shared" si="159"/>
        <v>1.8027756377319946</v>
      </c>
      <c r="D192" s="261" t="str">
        <f t="shared" si="160"/>
        <v/>
      </c>
      <c r="E192" s="147" t="str">
        <f t="shared" si="161"/>
        <v/>
      </c>
      <c r="F192" s="148" t="str">
        <f t="shared" si="162"/>
        <v/>
      </c>
      <c r="G192" s="261" t="str">
        <f t="shared" si="163"/>
        <v/>
      </c>
      <c r="H192" s="147" t="str">
        <f t="shared" si="164"/>
        <v/>
      </c>
      <c r="I192" s="148" t="str">
        <f t="shared" si="165"/>
        <v/>
      </c>
      <c r="J192" s="261" t="str">
        <f t="shared" si="166"/>
        <v/>
      </c>
      <c r="K192" s="147" t="str">
        <f t="shared" si="167"/>
        <v/>
      </c>
      <c r="L192" s="148" t="str">
        <f t="shared" si="168"/>
        <v/>
      </c>
      <c r="M192" s="261" t="str">
        <f t="shared" si="169"/>
        <v/>
      </c>
      <c r="N192" s="147" t="str">
        <f t="shared" si="170"/>
        <v/>
      </c>
      <c r="O192" s="148" t="str">
        <f t="shared" si="171"/>
        <v/>
      </c>
      <c r="P192" s="261" t="str">
        <f t="shared" si="172"/>
        <v/>
      </c>
      <c r="Q192" s="147" t="str">
        <f t="shared" si="173"/>
        <v/>
      </c>
      <c r="R192" s="148" t="str">
        <f t="shared" si="174"/>
        <v/>
      </c>
      <c r="S192" s="261" t="str">
        <f t="shared" si="175"/>
        <v/>
      </c>
      <c r="T192" s="147" t="str">
        <f t="shared" si="176"/>
        <v/>
      </c>
      <c r="U192" s="148" t="str">
        <f t="shared" si="177"/>
        <v/>
      </c>
      <c r="V192" s="261" t="str">
        <f t="shared" si="178"/>
        <v/>
      </c>
      <c r="W192" s="147" t="str">
        <f t="shared" si="179"/>
        <v/>
      </c>
      <c r="X192" s="148" t="str">
        <f t="shared" si="180"/>
        <v/>
      </c>
      <c r="Y192" s="259"/>
      <c r="Z192" s="2"/>
      <c r="AA192" s="264">
        <v>188</v>
      </c>
      <c r="AB192" s="16" t="str">
        <f t="shared" si="181"/>
        <v/>
      </c>
      <c r="AC192" s="16" t="str">
        <f t="shared" si="182"/>
        <v/>
      </c>
      <c r="AD192" s="16" t="str">
        <f t="shared" si="142"/>
        <v/>
      </c>
      <c r="AE192" s="16" t="str">
        <f t="shared" si="143"/>
        <v/>
      </c>
      <c r="AF192" s="16" t="str">
        <f t="shared" si="144"/>
        <v/>
      </c>
      <c r="AG192" s="16" t="str">
        <f t="shared" si="183"/>
        <v/>
      </c>
      <c r="AH192" s="16" t="str">
        <f t="shared" si="184"/>
        <v/>
      </c>
      <c r="AI192" s="29" t="str">
        <f t="shared" si="145"/>
        <v/>
      </c>
      <c r="AJ192" s="29" t="str">
        <f t="shared" si="146"/>
        <v/>
      </c>
      <c r="AK192" s="2"/>
      <c r="AL192" s="2"/>
      <c r="AM192" s="2"/>
      <c r="AN192" s="2"/>
      <c r="AO192" s="2"/>
      <c r="AP192" s="2"/>
      <c r="AQ192" s="2"/>
      <c r="AR192" s="2"/>
      <c r="AS192" s="2"/>
      <c r="AT192" s="2"/>
      <c r="AU192" s="2"/>
      <c r="AV192" s="2"/>
      <c r="AW192" s="2"/>
      <c r="AX192" s="2"/>
      <c r="AY192" s="2"/>
      <c r="AZ192" s="2"/>
      <c r="BA192" s="2"/>
      <c r="BB192" s="2"/>
      <c r="BC192" s="2"/>
    </row>
    <row r="193" spans="1:55" x14ac:dyDescent="0.25">
      <c r="A193" s="260" t="str">
        <f t="shared" si="157"/>
        <v>#14:</v>
      </c>
      <c r="B193" s="147">
        <f t="shared" si="158"/>
        <v>77.424242424242266</v>
      </c>
      <c r="C193" s="148">
        <f t="shared" si="159"/>
        <v>1.8027756377319946</v>
      </c>
      <c r="D193" s="261" t="str">
        <f t="shared" si="160"/>
        <v/>
      </c>
      <c r="E193" s="147" t="str">
        <f t="shared" si="161"/>
        <v/>
      </c>
      <c r="F193" s="148" t="str">
        <f t="shared" si="162"/>
        <v/>
      </c>
      <c r="G193" s="261" t="str">
        <f t="shared" si="163"/>
        <v/>
      </c>
      <c r="H193" s="147" t="str">
        <f t="shared" si="164"/>
        <v/>
      </c>
      <c r="I193" s="148" t="str">
        <f t="shared" si="165"/>
        <v/>
      </c>
      <c r="J193" s="261" t="str">
        <f t="shared" si="166"/>
        <v/>
      </c>
      <c r="K193" s="147" t="str">
        <f t="shared" si="167"/>
        <v/>
      </c>
      <c r="L193" s="148" t="str">
        <f t="shared" si="168"/>
        <v/>
      </c>
      <c r="M193" s="261" t="str">
        <f t="shared" si="169"/>
        <v/>
      </c>
      <c r="N193" s="147" t="str">
        <f t="shared" si="170"/>
        <v/>
      </c>
      <c r="O193" s="148" t="str">
        <f t="shared" si="171"/>
        <v/>
      </c>
      <c r="P193" s="261" t="str">
        <f t="shared" si="172"/>
        <v/>
      </c>
      <c r="Q193" s="147" t="str">
        <f t="shared" si="173"/>
        <v/>
      </c>
      <c r="R193" s="148" t="str">
        <f t="shared" si="174"/>
        <v/>
      </c>
      <c r="S193" s="261" t="str">
        <f t="shared" si="175"/>
        <v/>
      </c>
      <c r="T193" s="147" t="str">
        <f t="shared" si="176"/>
        <v/>
      </c>
      <c r="U193" s="148" t="str">
        <f t="shared" si="177"/>
        <v/>
      </c>
      <c r="V193" s="261" t="str">
        <f t="shared" si="178"/>
        <v/>
      </c>
      <c r="W193" s="147" t="str">
        <f t="shared" si="179"/>
        <v/>
      </c>
      <c r="X193" s="148" t="str">
        <f t="shared" si="180"/>
        <v/>
      </c>
      <c r="Y193" s="259"/>
      <c r="Z193" s="2"/>
      <c r="AA193" s="264">
        <v>189</v>
      </c>
      <c r="AB193" s="16" t="str">
        <f t="shared" si="181"/>
        <v/>
      </c>
      <c r="AC193" s="16" t="str">
        <f t="shared" si="182"/>
        <v/>
      </c>
      <c r="AD193" s="16" t="str">
        <f t="shared" si="142"/>
        <v/>
      </c>
      <c r="AE193" s="16" t="str">
        <f t="shared" si="143"/>
        <v/>
      </c>
      <c r="AF193" s="16" t="str">
        <f t="shared" si="144"/>
        <v/>
      </c>
      <c r="AG193" s="16" t="str">
        <f t="shared" si="183"/>
        <v/>
      </c>
      <c r="AH193" s="16" t="str">
        <f t="shared" si="184"/>
        <v/>
      </c>
      <c r="AI193" s="29" t="str">
        <f t="shared" si="145"/>
        <v/>
      </c>
      <c r="AJ193" s="29" t="str">
        <f t="shared" si="146"/>
        <v/>
      </c>
      <c r="AK193" s="2"/>
      <c r="AL193" s="2"/>
      <c r="AM193" s="2"/>
      <c r="AN193" s="2"/>
      <c r="AO193" s="2"/>
      <c r="AP193" s="2"/>
      <c r="AQ193" s="2"/>
      <c r="AR193" s="2"/>
      <c r="AS193" s="2"/>
      <c r="AT193" s="2"/>
      <c r="AU193" s="2"/>
      <c r="AV193" s="2"/>
      <c r="AW193" s="2"/>
      <c r="AX193" s="2"/>
      <c r="AY193" s="2"/>
      <c r="AZ193" s="2"/>
      <c r="BA193" s="2"/>
      <c r="BB193" s="2"/>
      <c r="BC193" s="2"/>
    </row>
    <row r="194" spans="1:55" x14ac:dyDescent="0.25">
      <c r="A194" s="260" t="str">
        <f t="shared" si="157"/>
        <v>#15:</v>
      </c>
      <c r="B194" s="147">
        <f t="shared" si="158"/>
        <v>76.919191919191761</v>
      </c>
      <c r="C194" s="148">
        <f t="shared" si="159"/>
        <v>1.8027756377319946</v>
      </c>
      <c r="D194" s="261" t="str">
        <f t="shared" si="160"/>
        <v/>
      </c>
      <c r="E194" s="147" t="str">
        <f t="shared" si="161"/>
        <v/>
      </c>
      <c r="F194" s="148" t="str">
        <f t="shared" si="162"/>
        <v/>
      </c>
      <c r="G194" s="261" t="str">
        <f t="shared" si="163"/>
        <v/>
      </c>
      <c r="H194" s="147" t="str">
        <f t="shared" si="164"/>
        <v/>
      </c>
      <c r="I194" s="148" t="str">
        <f t="shared" si="165"/>
        <v/>
      </c>
      <c r="J194" s="261" t="str">
        <f t="shared" si="166"/>
        <v/>
      </c>
      <c r="K194" s="147" t="str">
        <f t="shared" si="167"/>
        <v/>
      </c>
      <c r="L194" s="148" t="str">
        <f t="shared" si="168"/>
        <v/>
      </c>
      <c r="M194" s="261" t="str">
        <f t="shared" si="169"/>
        <v/>
      </c>
      <c r="N194" s="147" t="str">
        <f t="shared" si="170"/>
        <v/>
      </c>
      <c r="O194" s="148" t="str">
        <f t="shared" si="171"/>
        <v/>
      </c>
      <c r="P194" s="261" t="str">
        <f t="shared" si="172"/>
        <v/>
      </c>
      <c r="Q194" s="147" t="str">
        <f t="shared" si="173"/>
        <v/>
      </c>
      <c r="R194" s="148" t="str">
        <f t="shared" si="174"/>
        <v/>
      </c>
      <c r="S194" s="261" t="str">
        <f t="shared" si="175"/>
        <v/>
      </c>
      <c r="T194" s="147" t="str">
        <f t="shared" si="176"/>
        <v/>
      </c>
      <c r="U194" s="148" t="str">
        <f t="shared" si="177"/>
        <v/>
      </c>
      <c r="V194" s="261" t="str">
        <f t="shared" si="178"/>
        <v/>
      </c>
      <c r="W194" s="147" t="str">
        <f t="shared" si="179"/>
        <v/>
      </c>
      <c r="X194" s="148" t="str">
        <f t="shared" si="180"/>
        <v/>
      </c>
      <c r="Y194" s="259"/>
      <c r="Z194" s="2"/>
      <c r="AA194" s="264">
        <v>190</v>
      </c>
      <c r="AB194" s="16" t="str">
        <f t="shared" si="181"/>
        <v/>
      </c>
      <c r="AC194" s="16" t="str">
        <f t="shared" si="182"/>
        <v/>
      </c>
      <c r="AD194" s="16" t="str">
        <f t="shared" si="142"/>
        <v/>
      </c>
      <c r="AE194" s="16" t="str">
        <f t="shared" si="143"/>
        <v/>
      </c>
      <c r="AF194" s="16" t="str">
        <f t="shared" si="144"/>
        <v/>
      </c>
      <c r="AG194" s="16" t="str">
        <f t="shared" si="183"/>
        <v/>
      </c>
      <c r="AH194" s="16" t="str">
        <f t="shared" si="184"/>
        <v/>
      </c>
      <c r="AI194" s="29" t="str">
        <f t="shared" si="145"/>
        <v/>
      </c>
      <c r="AJ194" s="29" t="str">
        <f t="shared" si="146"/>
        <v/>
      </c>
      <c r="AK194" s="2"/>
      <c r="AL194" s="2"/>
      <c r="AM194" s="2"/>
      <c r="AN194" s="2"/>
      <c r="AO194" s="2"/>
      <c r="AP194" s="2"/>
      <c r="AQ194" s="2"/>
      <c r="AR194" s="2"/>
      <c r="AS194" s="2"/>
      <c r="AT194" s="2"/>
      <c r="AU194" s="2"/>
      <c r="AV194" s="2"/>
      <c r="AW194" s="2"/>
      <c r="AX194" s="2"/>
      <c r="AY194" s="2"/>
      <c r="AZ194" s="2"/>
      <c r="BA194" s="2"/>
      <c r="BB194" s="2"/>
      <c r="BC194" s="2"/>
    </row>
    <row r="195" spans="1:55" x14ac:dyDescent="0.25">
      <c r="A195" s="260" t="str">
        <f t="shared" si="157"/>
        <v>#16:</v>
      </c>
      <c r="B195" s="147">
        <f t="shared" si="158"/>
        <v>76.41414141414127</v>
      </c>
      <c r="C195" s="148">
        <f t="shared" si="159"/>
        <v>1.8027756377319946</v>
      </c>
      <c r="D195" s="261" t="str">
        <f t="shared" si="160"/>
        <v/>
      </c>
      <c r="E195" s="147" t="str">
        <f t="shared" si="161"/>
        <v/>
      </c>
      <c r="F195" s="148" t="str">
        <f t="shared" si="162"/>
        <v/>
      </c>
      <c r="G195" s="261" t="str">
        <f t="shared" si="163"/>
        <v/>
      </c>
      <c r="H195" s="147" t="str">
        <f t="shared" si="164"/>
        <v/>
      </c>
      <c r="I195" s="148" t="str">
        <f t="shared" si="165"/>
        <v/>
      </c>
      <c r="J195" s="261" t="str">
        <f t="shared" si="166"/>
        <v/>
      </c>
      <c r="K195" s="147" t="str">
        <f t="shared" si="167"/>
        <v/>
      </c>
      <c r="L195" s="148" t="str">
        <f t="shared" si="168"/>
        <v/>
      </c>
      <c r="M195" s="261" t="str">
        <f t="shared" si="169"/>
        <v/>
      </c>
      <c r="N195" s="147" t="str">
        <f t="shared" si="170"/>
        <v/>
      </c>
      <c r="O195" s="148" t="str">
        <f t="shared" si="171"/>
        <v/>
      </c>
      <c r="P195" s="261" t="str">
        <f t="shared" si="172"/>
        <v/>
      </c>
      <c r="Q195" s="147" t="str">
        <f t="shared" si="173"/>
        <v/>
      </c>
      <c r="R195" s="148" t="str">
        <f t="shared" si="174"/>
        <v/>
      </c>
      <c r="S195" s="261" t="str">
        <f t="shared" si="175"/>
        <v/>
      </c>
      <c r="T195" s="147" t="str">
        <f t="shared" si="176"/>
        <v/>
      </c>
      <c r="U195" s="148" t="str">
        <f t="shared" si="177"/>
        <v/>
      </c>
      <c r="V195" s="261" t="str">
        <f t="shared" si="178"/>
        <v/>
      </c>
      <c r="W195" s="147" t="str">
        <f t="shared" si="179"/>
        <v/>
      </c>
      <c r="X195" s="148" t="str">
        <f t="shared" si="180"/>
        <v/>
      </c>
      <c r="Y195" s="259"/>
      <c r="Z195" s="2"/>
      <c r="AA195" s="264">
        <v>191</v>
      </c>
      <c r="AB195" s="16" t="str">
        <f t="shared" si="181"/>
        <v/>
      </c>
      <c r="AC195" s="16" t="str">
        <f t="shared" si="182"/>
        <v/>
      </c>
      <c r="AD195" s="16" t="str">
        <f t="shared" si="142"/>
        <v/>
      </c>
      <c r="AE195" s="16" t="str">
        <f t="shared" si="143"/>
        <v/>
      </c>
      <c r="AF195" s="16" t="str">
        <f t="shared" si="144"/>
        <v/>
      </c>
      <c r="AG195" s="16" t="str">
        <f t="shared" si="183"/>
        <v/>
      </c>
      <c r="AH195" s="16" t="str">
        <f t="shared" si="184"/>
        <v/>
      </c>
      <c r="AI195" s="29" t="str">
        <f t="shared" si="145"/>
        <v/>
      </c>
      <c r="AJ195" s="29" t="str">
        <f t="shared" si="146"/>
        <v/>
      </c>
      <c r="AK195" s="2"/>
      <c r="AL195" s="2"/>
      <c r="AM195" s="2"/>
      <c r="AN195" s="2"/>
      <c r="AO195" s="2"/>
      <c r="AP195" s="2"/>
      <c r="AQ195" s="2"/>
      <c r="AR195" s="2"/>
      <c r="AS195" s="2"/>
      <c r="AT195" s="2"/>
      <c r="AU195" s="2"/>
      <c r="AV195" s="2"/>
      <c r="AW195" s="2"/>
      <c r="AX195" s="2"/>
      <c r="AY195" s="2"/>
      <c r="AZ195" s="2"/>
      <c r="BA195" s="2"/>
      <c r="BB195" s="2"/>
      <c r="BC195" s="2"/>
    </row>
    <row r="196" spans="1:55" x14ac:dyDescent="0.25">
      <c r="A196" s="260" t="str">
        <f t="shared" si="157"/>
        <v>#17:</v>
      </c>
      <c r="B196" s="147">
        <f t="shared" si="158"/>
        <v>75.909090909090764</v>
      </c>
      <c r="C196" s="148">
        <f t="shared" si="159"/>
        <v>1.8027756377319946</v>
      </c>
      <c r="D196" s="261" t="str">
        <f t="shared" si="160"/>
        <v/>
      </c>
      <c r="E196" s="147" t="str">
        <f t="shared" si="161"/>
        <v/>
      </c>
      <c r="F196" s="148" t="str">
        <f t="shared" si="162"/>
        <v/>
      </c>
      <c r="G196" s="261" t="str">
        <f t="shared" si="163"/>
        <v/>
      </c>
      <c r="H196" s="147" t="str">
        <f t="shared" si="164"/>
        <v/>
      </c>
      <c r="I196" s="148" t="str">
        <f t="shared" si="165"/>
        <v/>
      </c>
      <c r="J196" s="261" t="str">
        <f t="shared" si="166"/>
        <v/>
      </c>
      <c r="K196" s="147" t="str">
        <f t="shared" si="167"/>
        <v/>
      </c>
      <c r="L196" s="148" t="str">
        <f t="shared" si="168"/>
        <v/>
      </c>
      <c r="M196" s="261" t="str">
        <f t="shared" si="169"/>
        <v/>
      </c>
      <c r="N196" s="147" t="str">
        <f t="shared" si="170"/>
        <v/>
      </c>
      <c r="O196" s="148" t="str">
        <f t="shared" si="171"/>
        <v/>
      </c>
      <c r="P196" s="261" t="str">
        <f t="shared" si="172"/>
        <v/>
      </c>
      <c r="Q196" s="147" t="str">
        <f t="shared" si="173"/>
        <v/>
      </c>
      <c r="R196" s="148" t="str">
        <f t="shared" si="174"/>
        <v/>
      </c>
      <c r="S196" s="261" t="str">
        <f t="shared" si="175"/>
        <v/>
      </c>
      <c r="T196" s="147" t="str">
        <f t="shared" si="176"/>
        <v/>
      </c>
      <c r="U196" s="148" t="str">
        <f t="shared" si="177"/>
        <v/>
      </c>
      <c r="V196" s="261" t="str">
        <f t="shared" si="178"/>
        <v/>
      </c>
      <c r="W196" s="147" t="str">
        <f t="shared" si="179"/>
        <v/>
      </c>
      <c r="X196" s="148" t="str">
        <f t="shared" si="180"/>
        <v/>
      </c>
      <c r="Y196" s="259"/>
      <c r="Z196" s="2"/>
      <c r="AA196" s="264">
        <v>192</v>
      </c>
      <c r="AB196" s="16" t="str">
        <f t="shared" si="181"/>
        <v/>
      </c>
      <c r="AC196" s="16" t="str">
        <f t="shared" si="182"/>
        <v/>
      </c>
      <c r="AD196" s="16" t="str">
        <f t="shared" si="142"/>
        <v/>
      </c>
      <c r="AE196" s="16" t="str">
        <f t="shared" si="143"/>
        <v/>
      </c>
      <c r="AF196" s="16" t="str">
        <f t="shared" si="144"/>
        <v/>
      </c>
      <c r="AG196" s="16" t="str">
        <f t="shared" si="183"/>
        <v/>
      </c>
      <c r="AH196" s="16" t="str">
        <f t="shared" si="184"/>
        <v/>
      </c>
      <c r="AI196" s="29" t="str">
        <f t="shared" si="145"/>
        <v/>
      </c>
      <c r="AJ196" s="29" t="str">
        <f t="shared" si="146"/>
        <v/>
      </c>
      <c r="AK196" s="2"/>
      <c r="AL196" s="2"/>
      <c r="AM196" s="2"/>
      <c r="AN196" s="2"/>
      <c r="AO196" s="2"/>
      <c r="AP196" s="2"/>
      <c r="AQ196" s="2"/>
      <c r="AR196" s="2"/>
      <c r="AS196" s="2"/>
      <c r="AT196" s="2"/>
      <c r="AU196" s="2"/>
      <c r="AV196" s="2"/>
      <c r="AW196" s="2"/>
      <c r="AX196" s="2"/>
      <c r="AY196" s="2"/>
      <c r="AZ196" s="2"/>
      <c r="BA196" s="2"/>
      <c r="BB196" s="2"/>
      <c r="BC196" s="2"/>
    </row>
    <row r="197" spans="1:55" x14ac:dyDescent="0.25">
      <c r="A197" s="260" t="str">
        <f t="shared" si="157"/>
        <v>#18:</v>
      </c>
      <c r="B197" s="147">
        <f t="shared" si="158"/>
        <v>75.404040404040273</v>
      </c>
      <c r="C197" s="148">
        <f t="shared" si="159"/>
        <v>1.8027756377319946</v>
      </c>
      <c r="D197" s="261" t="str">
        <f t="shared" si="160"/>
        <v/>
      </c>
      <c r="E197" s="147" t="str">
        <f t="shared" si="161"/>
        <v/>
      </c>
      <c r="F197" s="148" t="str">
        <f t="shared" si="162"/>
        <v/>
      </c>
      <c r="G197" s="261" t="str">
        <f t="shared" si="163"/>
        <v/>
      </c>
      <c r="H197" s="147" t="str">
        <f t="shared" si="164"/>
        <v/>
      </c>
      <c r="I197" s="148" t="str">
        <f t="shared" si="165"/>
        <v/>
      </c>
      <c r="J197" s="261" t="str">
        <f t="shared" si="166"/>
        <v/>
      </c>
      <c r="K197" s="147" t="str">
        <f t="shared" si="167"/>
        <v/>
      </c>
      <c r="L197" s="148" t="str">
        <f t="shared" si="168"/>
        <v/>
      </c>
      <c r="M197" s="261" t="str">
        <f t="shared" si="169"/>
        <v/>
      </c>
      <c r="N197" s="147" t="str">
        <f t="shared" si="170"/>
        <v/>
      </c>
      <c r="O197" s="148" t="str">
        <f t="shared" si="171"/>
        <v/>
      </c>
      <c r="P197" s="261" t="str">
        <f t="shared" si="172"/>
        <v/>
      </c>
      <c r="Q197" s="147" t="str">
        <f t="shared" si="173"/>
        <v/>
      </c>
      <c r="R197" s="148" t="str">
        <f t="shared" si="174"/>
        <v/>
      </c>
      <c r="S197" s="261" t="str">
        <f t="shared" si="175"/>
        <v/>
      </c>
      <c r="T197" s="147" t="str">
        <f t="shared" si="176"/>
        <v/>
      </c>
      <c r="U197" s="148" t="str">
        <f t="shared" si="177"/>
        <v/>
      </c>
      <c r="V197" s="261" t="str">
        <f t="shared" si="178"/>
        <v/>
      </c>
      <c r="W197" s="147" t="str">
        <f t="shared" si="179"/>
        <v/>
      </c>
      <c r="X197" s="148" t="str">
        <f t="shared" si="180"/>
        <v/>
      </c>
      <c r="Y197" s="259"/>
      <c r="Z197" s="2"/>
      <c r="AA197" s="264">
        <v>193</v>
      </c>
      <c r="AB197" s="16" t="str">
        <f t="shared" si="181"/>
        <v/>
      </c>
      <c r="AC197" s="16" t="str">
        <f t="shared" si="182"/>
        <v/>
      </c>
      <c r="AD197" s="16" t="str">
        <f t="shared" ref="AD197:AD260" si="185">IF($C$9&gt;=$AA197,$AB197^2,"")</f>
        <v/>
      </c>
      <c r="AE197" s="16" t="str">
        <f t="shared" ref="AE197:AE260" si="186">IF($C$9&gt;=$AA197,$AC197^2,"")</f>
        <v/>
      </c>
      <c r="AF197" s="16" t="str">
        <f t="shared" ref="AF197:AF260" si="187">IF($C$9&gt;=$AA197,$AB197*$AC197,"")</f>
        <v/>
      </c>
      <c r="AG197" s="16" t="str">
        <f t="shared" si="183"/>
        <v/>
      </c>
      <c r="AH197" s="16" t="str">
        <f t="shared" si="184"/>
        <v/>
      </c>
      <c r="AI197" s="29" t="str">
        <f t="shared" ref="AI197:AI260" si="188">IF($C$9&gt;=$AA197,(-$AF$418/$C$9+($AF$422*$AB$411--$AF$421*$AB$414)/($AB$411*$AB$412-$AB$414^2)*$AG197+(-$AF$421*$AB$412-$AF$422*$AB$414)/($AB$411*$AB$412-$AB$414^2)*$AH197),"")</f>
        <v/>
      </c>
      <c r="AJ197" s="29" t="str">
        <f t="shared" ref="AJ197:AJ260" si="189">IF($C$9&gt;=$AA197,((($AF$419/$C$9+$AF$423*-$AH197/$AB$413)^2+($AF$420/$C$9+$AF$423*$AG197/$AB$413)^2)^(1/2)),"")</f>
        <v/>
      </c>
      <c r="AK197" s="2"/>
      <c r="AL197" s="2"/>
      <c r="AM197" s="2"/>
      <c r="AN197" s="2"/>
      <c r="AO197" s="2"/>
      <c r="AP197" s="2"/>
      <c r="AQ197" s="2"/>
      <c r="AR197" s="2"/>
      <c r="AS197" s="2"/>
      <c r="AT197" s="2"/>
      <c r="AU197" s="2"/>
      <c r="AV197" s="2"/>
      <c r="AW197" s="2"/>
      <c r="AX197" s="2"/>
      <c r="AY197" s="2"/>
      <c r="AZ197" s="2"/>
      <c r="BA197" s="2"/>
      <c r="BB197" s="2"/>
      <c r="BC197" s="2"/>
    </row>
    <row r="198" spans="1:55" x14ac:dyDescent="0.25">
      <c r="A198" s="260" t="str">
        <f t="shared" si="157"/>
        <v>#19:</v>
      </c>
      <c r="B198" s="147">
        <f t="shared" si="158"/>
        <v>74.898989898989768</v>
      </c>
      <c r="C198" s="148">
        <f t="shared" si="159"/>
        <v>1.8027756377319946</v>
      </c>
      <c r="D198" s="261" t="str">
        <f t="shared" si="160"/>
        <v/>
      </c>
      <c r="E198" s="147" t="str">
        <f t="shared" si="161"/>
        <v/>
      </c>
      <c r="F198" s="148" t="str">
        <f t="shared" si="162"/>
        <v/>
      </c>
      <c r="G198" s="261" t="str">
        <f t="shared" si="163"/>
        <v/>
      </c>
      <c r="H198" s="147" t="str">
        <f t="shared" si="164"/>
        <v/>
      </c>
      <c r="I198" s="148" t="str">
        <f t="shared" si="165"/>
        <v/>
      </c>
      <c r="J198" s="261" t="str">
        <f t="shared" si="166"/>
        <v/>
      </c>
      <c r="K198" s="147" t="str">
        <f t="shared" si="167"/>
        <v/>
      </c>
      <c r="L198" s="148" t="str">
        <f t="shared" si="168"/>
        <v/>
      </c>
      <c r="M198" s="261" t="str">
        <f t="shared" si="169"/>
        <v/>
      </c>
      <c r="N198" s="147" t="str">
        <f t="shared" si="170"/>
        <v/>
      </c>
      <c r="O198" s="148" t="str">
        <f t="shared" si="171"/>
        <v/>
      </c>
      <c r="P198" s="261" t="str">
        <f t="shared" si="172"/>
        <v/>
      </c>
      <c r="Q198" s="147" t="str">
        <f t="shared" si="173"/>
        <v/>
      </c>
      <c r="R198" s="148" t="str">
        <f t="shared" si="174"/>
        <v/>
      </c>
      <c r="S198" s="261" t="str">
        <f t="shared" si="175"/>
        <v/>
      </c>
      <c r="T198" s="147" t="str">
        <f t="shared" si="176"/>
        <v/>
      </c>
      <c r="U198" s="148" t="str">
        <f t="shared" si="177"/>
        <v/>
      </c>
      <c r="V198" s="261" t="str">
        <f t="shared" si="178"/>
        <v/>
      </c>
      <c r="W198" s="147" t="str">
        <f t="shared" si="179"/>
        <v/>
      </c>
      <c r="X198" s="148" t="str">
        <f t="shared" si="180"/>
        <v/>
      </c>
      <c r="Y198" s="259"/>
      <c r="Z198" s="2"/>
      <c r="AA198" s="264">
        <v>194</v>
      </c>
      <c r="AB198" s="16" t="str">
        <f t="shared" si="181"/>
        <v/>
      </c>
      <c r="AC198" s="16" t="str">
        <f t="shared" si="182"/>
        <v/>
      </c>
      <c r="AD198" s="16" t="str">
        <f t="shared" si="185"/>
        <v/>
      </c>
      <c r="AE198" s="16" t="str">
        <f t="shared" si="186"/>
        <v/>
      </c>
      <c r="AF198" s="16" t="str">
        <f t="shared" si="187"/>
        <v/>
      </c>
      <c r="AG198" s="16" t="str">
        <f t="shared" si="183"/>
        <v/>
      </c>
      <c r="AH198" s="16" t="str">
        <f t="shared" si="184"/>
        <v/>
      </c>
      <c r="AI198" s="29" t="str">
        <f t="shared" si="188"/>
        <v/>
      </c>
      <c r="AJ198" s="29" t="str">
        <f t="shared" si="189"/>
        <v/>
      </c>
      <c r="AK198" s="2"/>
      <c r="AL198" s="2"/>
      <c r="AM198" s="2"/>
      <c r="AN198" s="2"/>
      <c r="AO198" s="2"/>
      <c r="AP198" s="2"/>
      <c r="AQ198" s="2"/>
      <c r="AR198" s="2"/>
      <c r="AS198" s="2"/>
      <c r="AT198" s="2"/>
      <c r="AU198" s="2"/>
      <c r="AV198" s="2"/>
      <c r="AW198" s="2"/>
      <c r="AX198" s="2"/>
      <c r="AY198" s="2"/>
      <c r="AZ198" s="2"/>
      <c r="BA198" s="2"/>
      <c r="BB198" s="2"/>
      <c r="BC198" s="2"/>
    </row>
    <row r="199" spans="1:55" x14ac:dyDescent="0.25">
      <c r="A199" s="260" t="str">
        <f t="shared" si="157"/>
        <v>#20:</v>
      </c>
      <c r="B199" s="147">
        <f t="shared" si="158"/>
        <v>74.393939393939277</v>
      </c>
      <c r="C199" s="148">
        <f t="shared" si="159"/>
        <v>1.8027756377319946</v>
      </c>
      <c r="D199" s="261" t="str">
        <f t="shared" si="160"/>
        <v/>
      </c>
      <c r="E199" s="147" t="str">
        <f t="shared" si="161"/>
        <v/>
      </c>
      <c r="F199" s="148" t="str">
        <f t="shared" si="162"/>
        <v/>
      </c>
      <c r="G199" s="261" t="str">
        <f t="shared" si="163"/>
        <v/>
      </c>
      <c r="H199" s="147" t="str">
        <f t="shared" si="164"/>
        <v/>
      </c>
      <c r="I199" s="148" t="str">
        <f t="shared" si="165"/>
        <v/>
      </c>
      <c r="J199" s="261" t="str">
        <f t="shared" si="166"/>
        <v/>
      </c>
      <c r="K199" s="147" t="str">
        <f t="shared" si="167"/>
        <v/>
      </c>
      <c r="L199" s="148" t="str">
        <f t="shared" si="168"/>
        <v/>
      </c>
      <c r="M199" s="261" t="str">
        <f t="shared" si="169"/>
        <v/>
      </c>
      <c r="N199" s="147" t="str">
        <f t="shared" si="170"/>
        <v/>
      </c>
      <c r="O199" s="148" t="str">
        <f t="shared" si="171"/>
        <v/>
      </c>
      <c r="P199" s="261" t="str">
        <f t="shared" si="172"/>
        <v/>
      </c>
      <c r="Q199" s="147" t="str">
        <f t="shared" si="173"/>
        <v/>
      </c>
      <c r="R199" s="148" t="str">
        <f t="shared" si="174"/>
        <v/>
      </c>
      <c r="S199" s="261" t="str">
        <f t="shared" si="175"/>
        <v/>
      </c>
      <c r="T199" s="147" t="str">
        <f t="shared" si="176"/>
        <v/>
      </c>
      <c r="U199" s="148" t="str">
        <f t="shared" si="177"/>
        <v/>
      </c>
      <c r="V199" s="261" t="str">
        <f t="shared" si="178"/>
        <v/>
      </c>
      <c r="W199" s="147" t="str">
        <f t="shared" si="179"/>
        <v/>
      </c>
      <c r="X199" s="148" t="str">
        <f t="shared" si="180"/>
        <v/>
      </c>
      <c r="Y199" s="259"/>
      <c r="Z199" s="2"/>
      <c r="AA199" s="264">
        <v>195</v>
      </c>
      <c r="AB199" s="16" t="str">
        <f t="shared" si="181"/>
        <v/>
      </c>
      <c r="AC199" s="16" t="str">
        <f t="shared" si="182"/>
        <v/>
      </c>
      <c r="AD199" s="16" t="str">
        <f t="shared" si="185"/>
        <v/>
      </c>
      <c r="AE199" s="16" t="str">
        <f t="shared" si="186"/>
        <v/>
      </c>
      <c r="AF199" s="16" t="str">
        <f t="shared" si="187"/>
        <v/>
      </c>
      <c r="AG199" s="16" t="str">
        <f t="shared" si="183"/>
        <v/>
      </c>
      <c r="AH199" s="16" t="str">
        <f t="shared" si="184"/>
        <v/>
      </c>
      <c r="AI199" s="29" t="str">
        <f t="shared" si="188"/>
        <v/>
      </c>
      <c r="AJ199" s="29" t="str">
        <f t="shared" si="189"/>
        <v/>
      </c>
      <c r="AK199" s="2"/>
      <c r="AL199" s="2"/>
      <c r="AM199" s="2"/>
      <c r="AN199" s="2"/>
      <c r="AO199" s="2"/>
      <c r="AP199" s="2"/>
      <c r="AQ199" s="2"/>
      <c r="AR199" s="2"/>
      <c r="AS199" s="2"/>
      <c r="AT199" s="2"/>
      <c r="AU199" s="2"/>
      <c r="AV199" s="2"/>
      <c r="AW199" s="2"/>
      <c r="AX199" s="2"/>
      <c r="AY199" s="2"/>
      <c r="AZ199" s="2"/>
      <c r="BA199" s="2"/>
      <c r="BB199" s="2"/>
      <c r="BC199" s="2"/>
    </row>
    <row r="200" spans="1:55" x14ac:dyDescent="0.25">
      <c r="A200" s="260" t="str">
        <f t="shared" si="157"/>
        <v>#21:</v>
      </c>
      <c r="B200" s="147">
        <f t="shared" si="158"/>
        <v>75.606060606060723</v>
      </c>
      <c r="C200" s="148">
        <f t="shared" si="159"/>
        <v>1.8027756377319946</v>
      </c>
      <c r="D200" s="261" t="str">
        <f t="shared" si="160"/>
        <v/>
      </c>
      <c r="E200" s="147" t="str">
        <f t="shared" si="161"/>
        <v/>
      </c>
      <c r="F200" s="148" t="str">
        <f t="shared" si="162"/>
        <v/>
      </c>
      <c r="G200" s="261" t="str">
        <f t="shared" si="163"/>
        <v/>
      </c>
      <c r="H200" s="147" t="str">
        <f t="shared" si="164"/>
        <v/>
      </c>
      <c r="I200" s="148" t="str">
        <f t="shared" si="165"/>
        <v/>
      </c>
      <c r="J200" s="261" t="str">
        <f t="shared" si="166"/>
        <v/>
      </c>
      <c r="K200" s="147" t="str">
        <f t="shared" si="167"/>
        <v/>
      </c>
      <c r="L200" s="148" t="str">
        <f t="shared" si="168"/>
        <v/>
      </c>
      <c r="M200" s="261" t="str">
        <f t="shared" si="169"/>
        <v/>
      </c>
      <c r="N200" s="147" t="str">
        <f t="shared" si="170"/>
        <v/>
      </c>
      <c r="O200" s="148" t="str">
        <f t="shared" si="171"/>
        <v/>
      </c>
      <c r="P200" s="261" t="str">
        <f t="shared" si="172"/>
        <v/>
      </c>
      <c r="Q200" s="147" t="str">
        <f t="shared" si="173"/>
        <v/>
      </c>
      <c r="R200" s="148" t="str">
        <f t="shared" si="174"/>
        <v/>
      </c>
      <c r="S200" s="261" t="str">
        <f t="shared" si="175"/>
        <v/>
      </c>
      <c r="T200" s="147" t="str">
        <f t="shared" si="176"/>
        <v/>
      </c>
      <c r="U200" s="148" t="str">
        <f t="shared" si="177"/>
        <v/>
      </c>
      <c r="V200" s="261" t="str">
        <f t="shared" si="178"/>
        <v/>
      </c>
      <c r="W200" s="147" t="str">
        <f t="shared" si="179"/>
        <v/>
      </c>
      <c r="X200" s="148" t="str">
        <f t="shared" si="180"/>
        <v/>
      </c>
      <c r="Y200" s="259"/>
      <c r="Z200" s="2"/>
      <c r="AA200" s="264">
        <v>196</v>
      </c>
      <c r="AB200" s="16" t="str">
        <f t="shared" si="181"/>
        <v/>
      </c>
      <c r="AC200" s="16" t="str">
        <f t="shared" si="182"/>
        <v/>
      </c>
      <c r="AD200" s="16" t="str">
        <f t="shared" si="185"/>
        <v/>
      </c>
      <c r="AE200" s="16" t="str">
        <f t="shared" si="186"/>
        <v/>
      </c>
      <c r="AF200" s="16" t="str">
        <f t="shared" si="187"/>
        <v/>
      </c>
      <c r="AG200" s="16" t="str">
        <f t="shared" si="183"/>
        <v/>
      </c>
      <c r="AH200" s="16" t="str">
        <f t="shared" si="184"/>
        <v/>
      </c>
      <c r="AI200" s="29" t="str">
        <f t="shared" si="188"/>
        <v/>
      </c>
      <c r="AJ200" s="29" t="str">
        <f t="shared" si="189"/>
        <v/>
      </c>
      <c r="AK200" s="2"/>
      <c r="AL200" s="2"/>
      <c r="AM200" s="2"/>
      <c r="AN200" s="2"/>
      <c r="AO200" s="2"/>
      <c r="AP200" s="2"/>
      <c r="AQ200" s="2"/>
      <c r="AR200" s="2"/>
      <c r="AS200" s="2"/>
      <c r="AT200" s="2"/>
      <c r="AU200" s="2"/>
      <c r="AV200" s="2"/>
      <c r="AW200" s="2"/>
      <c r="AX200" s="2"/>
      <c r="AY200" s="2"/>
      <c r="AZ200" s="2"/>
      <c r="BA200" s="2"/>
      <c r="BB200" s="2"/>
      <c r="BC200" s="2"/>
    </row>
    <row r="201" spans="1:55" x14ac:dyDescent="0.25">
      <c r="A201" s="260" t="str">
        <f t="shared" si="157"/>
        <v>#22:</v>
      </c>
      <c r="B201" s="147">
        <f t="shared" si="158"/>
        <v>75.101010101010232</v>
      </c>
      <c r="C201" s="148">
        <f t="shared" si="159"/>
        <v>1.8027756377319946</v>
      </c>
      <c r="D201" s="261" t="str">
        <f t="shared" si="160"/>
        <v/>
      </c>
      <c r="E201" s="147" t="str">
        <f t="shared" si="161"/>
        <v/>
      </c>
      <c r="F201" s="148" t="str">
        <f t="shared" si="162"/>
        <v/>
      </c>
      <c r="G201" s="261" t="str">
        <f t="shared" si="163"/>
        <v/>
      </c>
      <c r="H201" s="147" t="str">
        <f t="shared" si="164"/>
        <v/>
      </c>
      <c r="I201" s="148" t="str">
        <f t="shared" si="165"/>
        <v/>
      </c>
      <c r="J201" s="261" t="str">
        <f t="shared" si="166"/>
        <v/>
      </c>
      <c r="K201" s="147" t="str">
        <f t="shared" si="167"/>
        <v/>
      </c>
      <c r="L201" s="148" t="str">
        <f t="shared" si="168"/>
        <v/>
      </c>
      <c r="M201" s="261" t="str">
        <f t="shared" si="169"/>
        <v/>
      </c>
      <c r="N201" s="147" t="str">
        <f t="shared" si="170"/>
        <v/>
      </c>
      <c r="O201" s="148" t="str">
        <f t="shared" si="171"/>
        <v/>
      </c>
      <c r="P201" s="261" t="str">
        <f t="shared" si="172"/>
        <v/>
      </c>
      <c r="Q201" s="147" t="str">
        <f t="shared" si="173"/>
        <v/>
      </c>
      <c r="R201" s="148" t="str">
        <f t="shared" si="174"/>
        <v/>
      </c>
      <c r="S201" s="261" t="str">
        <f t="shared" si="175"/>
        <v/>
      </c>
      <c r="T201" s="147" t="str">
        <f t="shared" si="176"/>
        <v/>
      </c>
      <c r="U201" s="148" t="str">
        <f t="shared" si="177"/>
        <v/>
      </c>
      <c r="V201" s="261" t="str">
        <f t="shared" si="178"/>
        <v/>
      </c>
      <c r="W201" s="147" t="str">
        <f t="shared" si="179"/>
        <v/>
      </c>
      <c r="X201" s="148" t="str">
        <f t="shared" si="180"/>
        <v/>
      </c>
      <c r="Y201" s="259"/>
      <c r="Z201" s="2"/>
      <c r="AA201" s="264">
        <v>197</v>
      </c>
      <c r="AB201" s="16" t="str">
        <f t="shared" si="181"/>
        <v/>
      </c>
      <c r="AC201" s="16" t="str">
        <f t="shared" si="182"/>
        <v/>
      </c>
      <c r="AD201" s="16" t="str">
        <f t="shared" si="185"/>
        <v/>
      </c>
      <c r="AE201" s="16" t="str">
        <f t="shared" si="186"/>
        <v/>
      </c>
      <c r="AF201" s="16" t="str">
        <f t="shared" si="187"/>
        <v/>
      </c>
      <c r="AG201" s="16" t="str">
        <f t="shared" si="183"/>
        <v/>
      </c>
      <c r="AH201" s="16" t="str">
        <f t="shared" si="184"/>
        <v/>
      </c>
      <c r="AI201" s="29" t="str">
        <f t="shared" si="188"/>
        <v/>
      </c>
      <c r="AJ201" s="29" t="str">
        <f t="shared" si="189"/>
        <v/>
      </c>
      <c r="AK201" s="2"/>
      <c r="AL201" s="2"/>
      <c r="AM201" s="2"/>
      <c r="AN201" s="2"/>
      <c r="AO201" s="2"/>
      <c r="AP201" s="2"/>
      <c r="AQ201" s="2"/>
      <c r="AR201" s="2"/>
      <c r="AS201" s="2"/>
      <c r="AT201" s="2"/>
      <c r="AU201" s="2"/>
      <c r="AV201" s="2"/>
      <c r="AW201" s="2"/>
      <c r="AX201" s="2"/>
      <c r="AY201" s="2"/>
      <c r="AZ201" s="2"/>
      <c r="BA201" s="2"/>
      <c r="BB201" s="2"/>
      <c r="BC201" s="2"/>
    </row>
    <row r="202" spans="1:55" x14ac:dyDescent="0.25">
      <c r="A202" s="260" t="str">
        <f t="shared" si="157"/>
        <v>#23:</v>
      </c>
      <c r="B202" s="147">
        <f t="shared" si="158"/>
        <v>74.595959595959727</v>
      </c>
      <c r="C202" s="148">
        <f t="shared" si="159"/>
        <v>1.8027756377319946</v>
      </c>
      <c r="D202" s="261" t="str">
        <f t="shared" si="160"/>
        <v/>
      </c>
      <c r="E202" s="147" t="str">
        <f t="shared" si="161"/>
        <v/>
      </c>
      <c r="F202" s="148" t="str">
        <f t="shared" si="162"/>
        <v/>
      </c>
      <c r="G202" s="261" t="str">
        <f t="shared" si="163"/>
        <v/>
      </c>
      <c r="H202" s="147" t="str">
        <f t="shared" si="164"/>
        <v/>
      </c>
      <c r="I202" s="148" t="str">
        <f t="shared" si="165"/>
        <v/>
      </c>
      <c r="J202" s="261" t="str">
        <f t="shared" si="166"/>
        <v/>
      </c>
      <c r="K202" s="147" t="str">
        <f t="shared" si="167"/>
        <v/>
      </c>
      <c r="L202" s="148" t="str">
        <f t="shared" si="168"/>
        <v/>
      </c>
      <c r="M202" s="261" t="str">
        <f t="shared" si="169"/>
        <v/>
      </c>
      <c r="N202" s="147" t="str">
        <f t="shared" si="170"/>
        <v/>
      </c>
      <c r="O202" s="148" t="str">
        <f t="shared" si="171"/>
        <v/>
      </c>
      <c r="P202" s="261" t="str">
        <f t="shared" si="172"/>
        <v/>
      </c>
      <c r="Q202" s="147" t="str">
        <f t="shared" si="173"/>
        <v/>
      </c>
      <c r="R202" s="148" t="str">
        <f t="shared" si="174"/>
        <v/>
      </c>
      <c r="S202" s="261" t="str">
        <f t="shared" si="175"/>
        <v/>
      </c>
      <c r="T202" s="147" t="str">
        <f t="shared" si="176"/>
        <v/>
      </c>
      <c r="U202" s="148" t="str">
        <f t="shared" si="177"/>
        <v/>
      </c>
      <c r="V202" s="261" t="str">
        <f t="shared" si="178"/>
        <v/>
      </c>
      <c r="W202" s="147" t="str">
        <f t="shared" si="179"/>
        <v/>
      </c>
      <c r="X202" s="148" t="str">
        <f t="shared" si="180"/>
        <v/>
      </c>
      <c r="Y202" s="259"/>
      <c r="Z202" s="2"/>
      <c r="AA202" s="264">
        <v>198</v>
      </c>
      <c r="AB202" s="16" t="str">
        <f t="shared" si="181"/>
        <v/>
      </c>
      <c r="AC202" s="16" t="str">
        <f t="shared" si="182"/>
        <v/>
      </c>
      <c r="AD202" s="16" t="str">
        <f t="shared" si="185"/>
        <v/>
      </c>
      <c r="AE202" s="16" t="str">
        <f t="shared" si="186"/>
        <v/>
      </c>
      <c r="AF202" s="16" t="str">
        <f t="shared" si="187"/>
        <v/>
      </c>
      <c r="AG202" s="16" t="str">
        <f t="shared" si="183"/>
        <v/>
      </c>
      <c r="AH202" s="16" t="str">
        <f t="shared" si="184"/>
        <v/>
      </c>
      <c r="AI202" s="29" t="str">
        <f t="shared" si="188"/>
        <v/>
      </c>
      <c r="AJ202" s="29" t="str">
        <f t="shared" si="189"/>
        <v/>
      </c>
      <c r="AK202" s="2"/>
      <c r="AL202" s="2"/>
      <c r="AM202" s="2"/>
      <c r="AN202" s="2"/>
      <c r="AO202" s="2"/>
      <c r="AP202" s="2"/>
      <c r="AQ202" s="2"/>
      <c r="AR202" s="2"/>
      <c r="AS202" s="2"/>
      <c r="AT202" s="2"/>
      <c r="AU202" s="2"/>
      <c r="AV202" s="2"/>
      <c r="AW202" s="2"/>
      <c r="AX202" s="2"/>
      <c r="AY202" s="2"/>
      <c r="AZ202" s="2"/>
      <c r="BA202" s="2"/>
      <c r="BB202" s="2"/>
      <c r="BC202" s="2"/>
    </row>
    <row r="203" spans="1:55" x14ac:dyDescent="0.25">
      <c r="A203" s="260" t="str">
        <f t="shared" si="157"/>
        <v>#24:</v>
      </c>
      <c r="B203" s="147">
        <f t="shared" si="158"/>
        <v>74.090909090909236</v>
      </c>
      <c r="C203" s="148">
        <f t="shared" si="159"/>
        <v>1.8027756377319946</v>
      </c>
      <c r="D203" s="261" t="str">
        <f t="shared" si="160"/>
        <v/>
      </c>
      <c r="E203" s="147" t="str">
        <f t="shared" si="161"/>
        <v/>
      </c>
      <c r="F203" s="148" t="str">
        <f t="shared" si="162"/>
        <v/>
      </c>
      <c r="G203" s="261" t="str">
        <f t="shared" si="163"/>
        <v/>
      </c>
      <c r="H203" s="147" t="str">
        <f t="shared" si="164"/>
        <v/>
      </c>
      <c r="I203" s="148" t="str">
        <f t="shared" si="165"/>
        <v/>
      </c>
      <c r="J203" s="261" t="str">
        <f t="shared" si="166"/>
        <v/>
      </c>
      <c r="K203" s="147" t="str">
        <f t="shared" si="167"/>
        <v/>
      </c>
      <c r="L203" s="148" t="str">
        <f t="shared" si="168"/>
        <v/>
      </c>
      <c r="M203" s="261" t="str">
        <f t="shared" si="169"/>
        <v/>
      </c>
      <c r="N203" s="147" t="str">
        <f t="shared" si="170"/>
        <v/>
      </c>
      <c r="O203" s="148" t="str">
        <f t="shared" si="171"/>
        <v/>
      </c>
      <c r="P203" s="261" t="str">
        <f t="shared" si="172"/>
        <v/>
      </c>
      <c r="Q203" s="147" t="str">
        <f t="shared" si="173"/>
        <v/>
      </c>
      <c r="R203" s="148" t="str">
        <f t="shared" si="174"/>
        <v/>
      </c>
      <c r="S203" s="261" t="str">
        <f t="shared" si="175"/>
        <v/>
      </c>
      <c r="T203" s="147" t="str">
        <f t="shared" si="176"/>
        <v/>
      </c>
      <c r="U203" s="148" t="str">
        <f t="shared" si="177"/>
        <v/>
      </c>
      <c r="V203" s="261" t="str">
        <f t="shared" si="178"/>
        <v/>
      </c>
      <c r="W203" s="147" t="str">
        <f t="shared" si="179"/>
        <v/>
      </c>
      <c r="X203" s="148" t="str">
        <f t="shared" si="180"/>
        <v/>
      </c>
      <c r="Y203" s="259"/>
      <c r="Z203" s="2"/>
      <c r="AA203" s="264">
        <v>199</v>
      </c>
      <c r="AB203" s="16" t="str">
        <f t="shared" si="181"/>
        <v/>
      </c>
      <c r="AC203" s="16" t="str">
        <f t="shared" si="182"/>
        <v/>
      </c>
      <c r="AD203" s="16" t="str">
        <f t="shared" si="185"/>
        <v/>
      </c>
      <c r="AE203" s="16" t="str">
        <f t="shared" si="186"/>
        <v/>
      </c>
      <c r="AF203" s="16" t="str">
        <f t="shared" si="187"/>
        <v/>
      </c>
      <c r="AG203" s="16" t="str">
        <f t="shared" si="183"/>
        <v/>
      </c>
      <c r="AH203" s="16" t="str">
        <f t="shared" si="184"/>
        <v/>
      </c>
      <c r="AI203" s="29" t="str">
        <f t="shared" si="188"/>
        <v/>
      </c>
      <c r="AJ203" s="29" t="str">
        <f t="shared" si="189"/>
        <v/>
      </c>
      <c r="AK203" s="2"/>
      <c r="AL203" s="2"/>
      <c r="AM203" s="2"/>
      <c r="AN203" s="2"/>
      <c r="AO203" s="2"/>
      <c r="AP203" s="2"/>
      <c r="AQ203" s="2"/>
      <c r="AR203" s="2"/>
      <c r="AS203" s="2"/>
      <c r="AT203" s="2"/>
      <c r="AU203" s="2"/>
      <c r="AV203" s="2"/>
      <c r="AW203" s="2"/>
      <c r="AX203" s="2"/>
      <c r="AY203" s="2"/>
      <c r="AZ203" s="2"/>
      <c r="BA203" s="2"/>
      <c r="BB203" s="2"/>
      <c r="BC203" s="2"/>
    </row>
    <row r="204" spans="1:55" x14ac:dyDescent="0.25">
      <c r="A204" s="260" t="str">
        <f t="shared" si="157"/>
        <v>#25:</v>
      </c>
      <c r="B204" s="147">
        <f t="shared" si="158"/>
        <v>73.58585858585873</v>
      </c>
      <c r="C204" s="148">
        <f t="shared" si="159"/>
        <v>1.8027756377319946</v>
      </c>
      <c r="D204" s="261" t="str">
        <f t="shared" si="160"/>
        <v/>
      </c>
      <c r="E204" s="147" t="str">
        <f t="shared" si="161"/>
        <v/>
      </c>
      <c r="F204" s="148" t="str">
        <f t="shared" si="162"/>
        <v/>
      </c>
      <c r="G204" s="261" t="str">
        <f t="shared" si="163"/>
        <v/>
      </c>
      <c r="H204" s="147" t="str">
        <f t="shared" si="164"/>
        <v/>
      </c>
      <c r="I204" s="148" t="str">
        <f t="shared" si="165"/>
        <v/>
      </c>
      <c r="J204" s="261" t="str">
        <f t="shared" si="166"/>
        <v/>
      </c>
      <c r="K204" s="147" t="str">
        <f t="shared" si="167"/>
        <v/>
      </c>
      <c r="L204" s="148" t="str">
        <f t="shared" si="168"/>
        <v/>
      </c>
      <c r="M204" s="261" t="str">
        <f t="shared" si="169"/>
        <v/>
      </c>
      <c r="N204" s="147" t="str">
        <f t="shared" si="170"/>
        <v/>
      </c>
      <c r="O204" s="148" t="str">
        <f t="shared" si="171"/>
        <v/>
      </c>
      <c r="P204" s="261" t="str">
        <f t="shared" si="172"/>
        <v/>
      </c>
      <c r="Q204" s="147" t="str">
        <f t="shared" si="173"/>
        <v/>
      </c>
      <c r="R204" s="148" t="str">
        <f t="shared" si="174"/>
        <v/>
      </c>
      <c r="S204" s="261" t="str">
        <f t="shared" si="175"/>
        <v/>
      </c>
      <c r="T204" s="147" t="str">
        <f t="shared" si="176"/>
        <v/>
      </c>
      <c r="U204" s="148" t="str">
        <f t="shared" si="177"/>
        <v/>
      </c>
      <c r="V204" s="261" t="str">
        <f t="shared" si="178"/>
        <v/>
      </c>
      <c r="W204" s="147" t="str">
        <f t="shared" si="179"/>
        <v/>
      </c>
      <c r="X204" s="148" t="str">
        <f t="shared" si="180"/>
        <v/>
      </c>
      <c r="Y204" s="259"/>
      <c r="Z204" s="2"/>
      <c r="AA204" s="264">
        <v>200</v>
      </c>
      <c r="AB204" s="16" t="str">
        <f t="shared" si="181"/>
        <v/>
      </c>
      <c r="AC204" s="16" t="str">
        <f t="shared" si="182"/>
        <v/>
      </c>
      <c r="AD204" s="16" t="str">
        <f t="shared" si="185"/>
        <v/>
      </c>
      <c r="AE204" s="16" t="str">
        <f t="shared" si="186"/>
        <v/>
      </c>
      <c r="AF204" s="16" t="str">
        <f t="shared" si="187"/>
        <v/>
      </c>
      <c r="AG204" s="16" t="str">
        <f t="shared" si="183"/>
        <v/>
      </c>
      <c r="AH204" s="16" t="str">
        <f t="shared" si="184"/>
        <v/>
      </c>
      <c r="AI204" s="29" t="str">
        <f t="shared" si="188"/>
        <v/>
      </c>
      <c r="AJ204" s="29" t="str">
        <f t="shared" si="189"/>
        <v/>
      </c>
      <c r="AK204" s="2"/>
      <c r="AL204" s="2"/>
      <c r="AM204" s="2"/>
      <c r="AN204" s="2"/>
      <c r="AO204" s="2"/>
      <c r="AP204" s="2"/>
      <c r="AQ204" s="2"/>
      <c r="AR204" s="2"/>
      <c r="AS204" s="2"/>
      <c r="AT204" s="2"/>
      <c r="AU204" s="2"/>
      <c r="AV204" s="2"/>
      <c r="AW204" s="2"/>
      <c r="AX204" s="2"/>
      <c r="AY204" s="2"/>
      <c r="AZ204" s="2"/>
      <c r="BA204" s="2"/>
      <c r="BB204" s="2"/>
      <c r="BC204" s="2"/>
    </row>
    <row r="205" spans="1:55" x14ac:dyDescent="0.25">
      <c r="A205" s="260" t="str">
        <f t="shared" si="157"/>
        <v>#26:</v>
      </c>
      <c r="B205" s="147">
        <f t="shared" si="158"/>
        <v>73.080808080808239</v>
      </c>
      <c r="C205" s="148">
        <f t="shared" si="159"/>
        <v>1.8027756377319946</v>
      </c>
      <c r="D205" s="261" t="str">
        <f t="shared" si="160"/>
        <v/>
      </c>
      <c r="E205" s="147" t="str">
        <f t="shared" si="161"/>
        <v/>
      </c>
      <c r="F205" s="148" t="str">
        <f t="shared" si="162"/>
        <v/>
      </c>
      <c r="G205" s="261" t="str">
        <f t="shared" si="163"/>
        <v/>
      </c>
      <c r="H205" s="147" t="str">
        <f t="shared" si="164"/>
        <v/>
      </c>
      <c r="I205" s="148" t="str">
        <f t="shared" si="165"/>
        <v/>
      </c>
      <c r="J205" s="261" t="str">
        <f t="shared" si="166"/>
        <v/>
      </c>
      <c r="K205" s="147" t="str">
        <f t="shared" si="167"/>
        <v/>
      </c>
      <c r="L205" s="148" t="str">
        <f t="shared" si="168"/>
        <v/>
      </c>
      <c r="M205" s="261" t="str">
        <f t="shared" si="169"/>
        <v/>
      </c>
      <c r="N205" s="147" t="str">
        <f t="shared" si="170"/>
        <v/>
      </c>
      <c r="O205" s="148" t="str">
        <f t="shared" si="171"/>
        <v/>
      </c>
      <c r="P205" s="261" t="str">
        <f t="shared" si="172"/>
        <v/>
      </c>
      <c r="Q205" s="147" t="str">
        <f t="shared" si="173"/>
        <v/>
      </c>
      <c r="R205" s="148" t="str">
        <f t="shared" si="174"/>
        <v/>
      </c>
      <c r="S205" s="261" t="str">
        <f t="shared" si="175"/>
        <v/>
      </c>
      <c r="T205" s="147" t="str">
        <f t="shared" si="176"/>
        <v/>
      </c>
      <c r="U205" s="148" t="str">
        <f t="shared" si="177"/>
        <v/>
      </c>
      <c r="V205" s="261" t="str">
        <f t="shared" si="178"/>
        <v/>
      </c>
      <c r="W205" s="147" t="str">
        <f t="shared" si="179"/>
        <v/>
      </c>
      <c r="X205" s="148" t="str">
        <f t="shared" si="180"/>
        <v/>
      </c>
      <c r="Y205" s="259"/>
      <c r="Z205" s="2"/>
      <c r="AA205" s="264">
        <v>201</v>
      </c>
      <c r="AB205" s="16" t="str">
        <f t="shared" ref="AB205:AB236" si="190">IF($C$9&gt;=$AA205,$O13+0.000001-$AB$410,"")</f>
        <v/>
      </c>
      <c r="AC205" s="16" t="str">
        <f t="shared" ref="AC205:AC236" si="191">IF($C$9&gt;=$AA205,$N13+0.000001-$AB$409,"")</f>
        <v/>
      </c>
      <c r="AD205" s="16" t="str">
        <f t="shared" si="185"/>
        <v/>
      </c>
      <c r="AE205" s="16" t="str">
        <f t="shared" si="186"/>
        <v/>
      </c>
      <c r="AF205" s="16" t="str">
        <f t="shared" si="187"/>
        <v/>
      </c>
      <c r="AG205" s="16" t="str">
        <f t="shared" ref="AG205:AG236" si="192">IF($C$9&gt;=$AA205,$N13-$AB$409,"")</f>
        <v/>
      </c>
      <c r="AH205" s="16" t="str">
        <f t="shared" ref="AH205:AH236" si="193">IF($C$9&gt;=$AA205,$O13-$AB$410,"")</f>
        <v/>
      </c>
      <c r="AI205" s="29" t="str">
        <f t="shared" si="188"/>
        <v/>
      </c>
      <c r="AJ205" s="29" t="str">
        <f t="shared" si="189"/>
        <v/>
      </c>
      <c r="AK205" s="2"/>
      <c r="AL205" s="2"/>
      <c r="AM205" s="2"/>
      <c r="AN205" s="2"/>
      <c r="AO205" s="2"/>
      <c r="AP205" s="2"/>
      <c r="AQ205" s="2"/>
      <c r="AR205" s="2"/>
      <c r="AS205" s="2"/>
      <c r="AT205" s="2"/>
      <c r="AU205" s="2"/>
      <c r="AV205" s="2"/>
      <c r="AW205" s="2"/>
      <c r="AX205" s="2"/>
      <c r="AY205" s="2"/>
      <c r="AZ205" s="2"/>
      <c r="BA205" s="2"/>
      <c r="BB205" s="2"/>
      <c r="BC205" s="2"/>
    </row>
    <row r="206" spans="1:55" x14ac:dyDescent="0.25">
      <c r="A206" s="260" t="str">
        <f t="shared" si="157"/>
        <v>#27:</v>
      </c>
      <c r="B206" s="147">
        <f t="shared" si="158"/>
        <v>72.575757575757734</v>
      </c>
      <c r="C206" s="148">
        <f t="shared" si="159"/>
        <v>1.8027756377319946</v>
      </c>
      <c r="D206" s="261" t="str">
        <f t="shared" si="160"/>
        <v/>
      </c>
      <c r="E206" s="147" t="str">
        <f t="shared" si="161"/>
        <v/>
      </c>
      <c r="F206" s="148" t="str">
        <f t="shared" si="162"/>
        <v/>
      </c>
      <c r="G206" s="261" t="str">
        <f t="shared" si="163"/>
        <v/>
      </c>
      <c r="H206" s="147" t="str">
        <f t="shared" si="164"/>
        <v/>
      </c>
      <c r="I206" s="148" t="str">
        <f t="shared" si="165"/>
        <v/>
      </c>
      <c r="J206" s="261" t="str">
        <f t="shared" si="166"/>
        <v/>
      </c>
      <c r="K206" s="147" t="str">
        <f t="shared" si="167"/>
        <v/>
      </c>
      <c r="L206" s="148" t="str">
        <f t="shared" si="168"/>
        <v/>
      </c>
      <c r="M206" s="261" t="str">
        <f t="shared" si="169"/>
        <v/>
      </c>
      <c r="N206" s="147" t="str">
        <f t="shared" si="170"/>
        <v/>
      </c>
      <c r="O206" s="148" t="str">
        <f t="shared" si="171"/>
        <v/>
      </c>
      <c r="P206" s="261" t="str">
        <f t="shared" si="172"/>
        <v/>
      </c>
      <c r="Q206" s="147" t="str">
        <f t="shared" si="173"/>
        <v/>
      </c>
      <c r="R206" s="148" t="str">
        <f t="shared" si="174"/>
        <v/>
      </c>
      <c r="S206" s="261" t="str">
        <f t="shared" si="175"/>
        <v/>
      </c>
      <c r="T206" s="147" t="str">
        <f t="shared" si="176"/>
        <v/>
      </c>
      <c r="U206" s="148" t="str">
        <f t="shared" si="177"/>
        <v/>
      </c>
      <c r="V206" s="261" t="str">
        <f t="shared" si="178"/>
        <v/>
      </c>
      <c r="W206" s="147" t="str">
        <f t="shared" si="179"/>
        <v/>
      </c>
      <c r="X206" s="148" t="str">
        <f t="shared" si="180"/>
        <v/>
      </c>
      <c r="Y206" s="259"/>
      <c r="Z206" s="2"/>
      <c r="AA206" s="264">
        <v>202</v>
      </c>
      <c r="AB206" s="16" t="str">
        <f t="shared" si="190"/>
        <v/>
      </c>
      <c r="AC206" s="16" t="str">
        <f t="shared" si="191"/>
        <v/>
      </c>
      <c r="AD206" s="16" t="str">
        <f t="shared" si="185"/>
        <v/>
      </c>
      <c r="AE206" s="16" t="str">
        <f t="shared" si="186"/>
        <v/>
      </c>
      <c r="AF206" s="16" t="str">
        <f t="shared" si="187"/>
        <v/>
      </c>
      <c r="AG206" s="16" t="str">
        <f t="shared" si="192"/>
        <v/>
      </c>
      <c r="AH206" s="16" t="str">
        <f t="shared" si="193"/>
        <v/>
      </c>
      <c r="AI206" s="29" t="str">
        <f t="shared" si="188"/>
        <v/>
      </c>
      <c r="AJ206" s="29" t="str">
        <f t="shared" si="189"/>
        <v/>
      </c>
      <c r="AK206" s="2"/>
      <c r="AL206" s="2"/>
      <c r="AM206" s="2"/>
      <c r="AN206" s="2"/>
      <c r="AO206" s="2"/>
      <c r="AP206" s="2"/>
      <c r="AQ206" s="2"/>
      <c r="AR206" s="2"/>
      <c r="AS206" s="2"/>
      <c r="AT206" s="2"/>
      <c r="AU206" s="2"/>
      <c r="AV206" s="2"/>
      <c r="AW206" s="2"/>
      <c r="AX206" s="2"/>
      <c r="AY206" s="2"/>
      <c r="AZ206" s="2"/>
      <c r="BA206" s="2"/>
      <c r="BB206" s="2"/>
      <c r="BC206" s="2"/>
    </row>
    <row r="207" spans="1:55" x14ac:dyDescent="0.25">
      <c r="A207" s="260" t="str">
        <f t="shared" si="157"/>
        <v>#28:</v>
      </c>
      <c r="B207" s="147">
        <f t="shared" si="158"/>
        <v>72.070707070707243</v>
      </c>
      <c r="C207" s="148">
        <f t="shared" si="159"/>
        <v>1.8027756377319946</v>
      </c>
      <c r="D207" s="261" t="str">
        <f t="shared" si="160"/>
        <v/>
      </c>
      <c r="E207" s="147" t="str">
        <f t="shared" si="161"/>
        <v/>
      </c>
      <c r="F207" s="148" t="str">
        <f t="shared" si="162"/>
        <v/>
      </c>
      <c r="G207" s="261" t="str">
        <f t="shared" si="163"/>
        <v/>
      </c>
      <c r="H207" s="147" t="str">
        <f t="shared" si="164"/>
        <v/>
      </c>
      <c r="I207" s="148" t="str">
        <f t="shared" si="165"/>
        <v/>
      </c>
      <c r="J207" s="261" t="str">
        <f t="shared" si="166"/>
        <v/>
      </c>
      <c r="K207" s="147" t="str">
        <f t="shared" si="167"/>
        <v/>
      </c>
      <c r="L207" s="148" t="str">
        <f t="shared" si="168"/>
        <v/>
      </c>
      <c r="M207" s="261" t="str">
        <f t="shared" si="169"/>
        <v/>
      </c>
      <c r="N207" s="147" t="str">
        <f t="shared" si="170"/>
        <v/>
      </c>
      <c r="O207" s="148" t="str">
        <f t="shared" si="171"/>
        <v/>
      </c>
      <c r="P207" s="261" t="str">
        <f t="shared" si="172"/>
        <v/>
      </c>
      <c r="Q207" s="147" t="str">
        <f t="shared" si="173"/>
        <v/>
      </c>
      <c r="R207" s="148" t="str">
        <f t="shared" si="174"/>
        <v/>
      </c>
      <c r="S207" s="261" t="str">
        <f t="shared" si="175"/>
        <v/>
      </c>
      <c r="T207" s="147" t="str">
        <f t="shared" si="176"/>
        <v/>
      </c>
      <c r="U207" s="148" t="str">
        <f t="shared" si="177"/>
        <v/>
      </c>
      <c r="V207" s="261" t="str">
        <f t="shared" si="178"/>
        <v/>
      </c>
      <c r="W207" s="147" t="str">
        <f t="shared" si="179"/>
        <v/>
      </c>
      <c r="X207" s="148" t="str">
        <f t="shared" si="180"/>
        <v/>
      </c>
      <c r="Y207" s="259"/>
      <c r="Z207" s="2"/>
      <c r="AA207" s="264">
        <v>203</v>
      </c>
      <c r="AB207" s="16" t="str">
        <f t="shared" si="190"/>
        <v/>
      </c>
      <c r="AC207" s="16" t="str">
        <f t="shared" si="191"/>
        <v/>
      </c>
      <c r="AD207" s="16" t="str">
        <f t="shared" si="185"/>
        <v/>
      </c>
      <c r="AE207" s="16" t="str">
        <f t="shared" si="186"/>
        <v/>
      </c>
      <c r="AF207" s="16" t="str">
        <f t="shared" si="187"/>
        <v/>
      </c>
      <c r="AG207" s="16" t="str">
        <f t="shared" si="192"/>
        <v/>
      </c>
      <c r="AH207" s="16" t="str">
        <f t="shared" si="193"/>
        <v/>
      </c>
      <c r="AI207" s="29" t="str">
        <f t="shared" si="188"/>
        <v/>
      </c>
      <c r="AJ207" s="29" t="str">
        <f t="shared" si="189"/>
        <v/>
      </c>
      <c r="AK207" s="2"/>
      <c r="AL207" s="2"/>
      <c r="AM207" s="2"/>
      <c r="AN207" s="2"/>
      <c r="AO207" s="2"/>
      <c r="AP207" s="2"/>
      <c r="AQ207" s="2"/>
      <c r="AR207" s="2"/>
      <c r="AS207" s="2"/>
      <c r="AT207" s="2"/>
      <c r="AU207" s="2"/>
      <c r="AV207" s="2"/>
      <c r="AW207" s="2"/>
      <c r="AX207" s="2"/>
      <c r="AY207" s="2"/>
      <c r="AZ207" s="2"/>
      <c r="BA207" s="2"/>
      <c r="BB207" s="2"/>
      <c r="BC207" s="2"/>
    </row>
    <row r="208" spans="1:55" x14ac:dyDescent="0.25">
      <c r="A208" s="260" t="str">
        <f t="shared" si="157"/>
        <v>#29:</v>
      </c>
      <c r="B208" s="147">
        <f t="shared" si="158"/>
        <v>71.565656565656738</v>
      </c>
      <c r="C208" s="148">
        <f t="shared" si="159"/>
        <v>1.8027756377319946</v>
      </c>
      <c r="D208" s="261" t="str">
        <f t="shared" si="160"/>
        <v/>
      </c>
      <c r="E208" s="147" t="str">
        <f t="shared" si="161"/>
        <v/>
      </c>
      <c r="F208" s="148" t="str">
        <f t="shared" si="162"/>
        <v/>
      </c>
      <c r="G208" s="261" t="str">
        <f t="shared" si="163"/>
        <v/>
      </c>
      <c r="H208" s="147" t="str">
        <f t="shared" si="164"/>
        <v/>
      </c>
      <c r="I208" s="148" t="str">
        <f t="shared" si="165"/>
        <v/>
      </c>
      <c r="J208" s="261" t="str">
        <f t="shared" si="166"/>
        <v/>
      </c>
      <c r="K208" s="147" t="str">
        <f t="shared" si="167"/>
        <v/>
      </c>
      <c r="L208" s="148" t="str">
        <f t="shared" si="168"/>
        <v/>
      </c>
      <c r="M208" s="261" t="str">
        <f t="shared" si="169"/>
        <v/>
      </c>
      <c r="N208" s="147" t="str">
        <f t="shared" si="170"/>
        <v/>
      </c>
      <c r="O208" s="148" t="str">
        <f t="shared" si="171"/>
        <v/>
      </c>
      <c r="P208" s="261" t="str">
        <f t="shared" si="172"/>
        <v/>
      </c>
      <c r="Q208" s="147" t="str">
        <f t="shared" si="173"/>
        <v/>
      </c>
      <c r="R208" s="148" t="str">
        <f t="shared" si="174"/>
        <v/>
      </c>
      <c r="S208" s="261" t="str">
        <f t="shared" si="175"/>
        <v/>
      </c>
      <c r="T208" s="147" t="str">
        <f t="shared" si="176"/>
        <v/>
      </c>
      <c r="U208" s="148" t="str">
        <f t="shared" si="177"/>
        <v/>
      </c>
      <c r="V208" s="261" t="str">
        <f t="shared" si="178"/>
        <v/>
      </c>
      <c r="W208" s="147" t="str">
        <f t="shared" si="179"/>
        <v/>
      </c>
      <c r="X208" s="148" t="str">
        <f t="shared" si="180"/>
        <v/>
      </c>
      <c r="Y208" s="259"/>
      <c r="Z208" s="2"/>
      <c r="AA208" s="264">
        <v>204</v>
      </c>
      <c r="AB208" s="16" t="str">
        <f t="shared" si="190"/>
        <v/>
      </c>
      <c r="AC208" s="16" t="str">
        <f t="shared" si="191"/>
        <v/>
      </c>
      <c r="AD208" s="16" t="str">
        <f t="shared" si="185"/>
        <v/>
      </c>
      <c r="AE208" s="16" t="str">
        <f t="shared" si="186"/>
        <v/>
      </c>
      <c r="AF208" s="16" t="str">
        <f t="shared" si="187"/>
        <v/>
      </c>
      <c r="AG208" s="16" t="str">
        <f t="shared" si="192"/>
        <v/>
      </c>
      <c r="AH208" s="16" t="str">
        <f t="shared" si="193"/>
        <v/>
      </c>
      <c r="AI208" s="29" t="str">
        <f t="shared" si="188"/>
        <v/>
      </c>
      <c r="AJ208" s="29" t="str">
        <f t="shared" si="189"/>
        <v/>
      </c>
      <c r="AK208" s="2"/>
      <c r="AL208" s="2"/>
      <c r="AM208" s="2"/>
      <c r="AN208" s="2"/>
      <c r="AO208" s="2"/>
      <c r="AP208" s="2"/>
      <c r="AQ208" s="2"/>
      <c r="AR208" s="2"/>
      <c r="AS208" s="2"/>
      <c r="AT208" s="2"/>
      <c r="AU208" s="2"/>
      <c r="AV208" s="2"/>
      <c r="AW208" s="2"/>
      <c r="AX208" s="2"/>
      <c r="AY208" s="2"/>
      <c r="AZ208" s="2"/>
      <c r="BA208" s="2"/>
      <c r="BB208" s="2"/>
      <c r="BC208" s="2"/>
    </row>
    <row r="209" spans="1:55" x14ac:dyDescent="0.25">
      <c r="A209" s="260" t="str">
        <f t="shared" si="157"/>
        <v>#30:</v>
      </c>
      <c r="B209" s="147">
        <f t="shared" si="158"/>
        <v>71.060606060606247</v>
      </c>
      <c r="C209" s="148">
        <f t="shared" si="159"/>
        <v>1.8027756377319946</v>
      </c>
      <c r="D209" s="261" t="str">
        <f t="shared" si="160"/>
        <v/>
      </c>
      <c r="E209" s="147" t="str">
        <f t="shared" si="161"/>
        <v/>
      </c>
      <c r="F209" s="148" t="str">
        <f t="shared" si="162"/>
        <v/>
      </c>
      <c r="G209" s="261" t="str">
        <f t="shared" si="163"/>
        <v/>
      </c>
      <c r="H209" s="147" t="str">
        <f t="shared" si="164"/>
        <v/>
      </c>
      <c r="I209" s="148" t="str">
        <f t="shared" si="165"/>
        <v/>
      </c>
      <c r="J209" s="261" t="str">
        <f t="shared" si="166"/>
        <v/>
      </c>
      <c r="K209" s="147" t="str">
        <f t="shared" si="167"/>
        <v/>
      </c>
      <c r="L209" s="148" t="str">
        <f t="shared" si="168"/>
        <v/>
      </c>
      <c r="M209" s="261" t="str">
        <f t="shared" si="169"/>
        <v/>
      </c>
      <c r="N209" s="147" t="str">
        <f t="shared" si="170"/>
        <v/>
      </c>
      <c r="O209" s="148" t="str">
        <f t="shared" si="171"/>
        <v/>
      </c>
      <c r="P209" s="261" t="str">
        <f t="shared" si="172"/>
        <v/>
      </c>
      <c r="Q209" s="147" t="str">
        <f t="shared" si="173"/>
        <v/>
      </c>
      <c r="R209" s="148" t="str">
        <f t="shared" si="174"/>
        <v/>
      </c>
      <c r="S209" s="261" t="str">
        <f t="shared" si="175"/>
        <v/>
      </c>
      <c r="T209" s="147" t="str">
        <f t="shared" si="176"/>
        <v/>
      </c>
      <c r="U209" s="148" t="str">
        <f t="shared" si="177"/>
        <v/>
      </c>
      <c r="V209" s="261" t="str">
        <f t="shared" si="178"/>
        <v/>
      </c>
      <c r="W209" s="147" t="str">
        <f t="shared" si="179"/>
        <v/>
      </c>
      <c r="X209" s="148" t="str">
        <f t="shared" si="180"/>
        <v/>
      </c>
      <c r="Y209" s="259"/>
      <c r="Z209" s="2"/>
      <c r="AA209" s="264">
        <v>205</v>
      </c>
      <c r="AB209" s="16" t="str">
        <f t="shared" si="190"/>
        <v/>
      </c>
      <c r="AC209" s="16" t="str">
        <f t="shared" si="191"/>
        <v/>
      </c>
      <c r="AD209" s="16" t="str">
        <f t="shared" si="185"/>
        <v/>
      </c>
      <c r="AE209" s="16" t="str">
        <f t="shared" si="186"/>
        <v/>
      </c>
      <c r="AF209" s="16" t="str">
        <f t="shared" si="187"/>
        <v/>
      </c>
      <c r="AG209" s="16" t="str">
        <f t="shared" si="192"/>
        <v/>
      </c>
      <c r="AH209" s="16" t="str">
        <f t="shared" si="193"/>
        <v/>
      </c>
      <c r="AI209" s="29" t="str">
        <f t="shared" si="188"/>
        <v/>
      </c>
      <c r="AJ209" s="29" t="str">
        <f t="shared" si="189"/>
        <v/>
      </c>
      <c r="AK209" s="2"/>
      <c r="AL209" s="2"/>
      <c r="AM209" s="2"/>
      <c r="AN209" s="2"/>
      <c r="AO209" s="2"/>
      <c r="AP209" s="2"/>
      <c r="AQ209" s="2"/>
      <c r="AR209" s="2"/>
      <c r="AS209" s="2"/>
      <c r="AT209" s="2"/>
      <c r="AU209" s="2"/>
      <c r="AV209" s="2"/>
      <c r="AW209" s="2"/>
      <c r="AX209" s="2"/>
      <c r="AY209" s="2"/>
      <c r="AZ209" s="2"/>
      <c r="BA209" s="2"/>
      <c r="BB209" s="2"/>
      <c r="BC209" s="2"/>
    </row>
    <row r="210" spans="1:55" x14ac:dyDescent="0.25">
      <c r="A210" s="260" t="str">
        <f t="shared" si="157"/>
        <v>#31:</v>
      </c>
      <c r="B210" s="147">
        <f t="shared" si="158"/>
        <v>72.272727272727678</v>
      </c>
      <c r="C210" s="148">
        <f t="shared" si="159"/>
        <v>1.8027756377319946</v>
      </c>
      <c r="D210" s="261" t="str">
        <f t="shared" si="160"/>
        <v/>
      </c>
      <c r="E210" s="147" t="str">
        <f t="shared" si="161"/>
        <v/>
      </c>
      <c r="F210" s="148" t="str">
        <f t="shared" si="162"/>
        <v/>
      </c>
      <c r="G210" s="261" t="str">
        <f t="shared" si="163"/>
        <v/>
      </c>
      <c r="H210" s="147" t="str">
        <f t="shared" si="164"/>
        <v/>
      </c>
      <c r="I210" s="148" t="str">
        <f t="shared" si="165"/>
        <v/>
      </c>
      <c r="J210" s="261" t="str">
        <f t="shared" si="166"/>
        <v/>
      </c>
      <c r="K210" s="147" t="str">
        <f t="shared" si="167"/>
        <v/>
      </c>
      <c r="L210" s="148" t="str">
        <f t="shared" si="168"/>
        <v/>
      </c>
      <c r="M210" s="261" t="str">
        <f t="shared" si="169"/>
        <v/>
      </c>
      <c r="N210" s="147" t="str">
        <f t="shared" si="170"/>
        <v/>
      </c>
      <c r="O210" s="148" t="str">
        <f t="shared" si="171"/>
        <v/>
      </c>
      <c r="P210" s="261" t="str">
        <f t="shared" si="172"/>
        <v/>
      </c>
      <c r="Q210" s="147" t="str">
        <f t="shared" si="173"/>
        <v/>
      </c>
      <c r="R210" s="148" t="str">
        <f t="shared" si="174"/>
        <v/>
      </c>
      <c r="S210" s="261" t="str">
        <f t="shared" si="175"/>
        <v/>
      </c>
      <c r="T210" s="147" t="str">
        <f t="shared" si="176"/>
        <v/>
      </c>
      <c r="U210" s="148" t="str">
        <f t="shared" si="177"/>
        <v/>
      </c>
      <c r="V210" s="261" t="str">
        <f t="shared" si="178"/>
        <v/>
      </c>
      <c r="W210" s="147" t="str">
        <f t="shared" si="179"/>
        <v/>
      </c>
      <c r="X210" s="148" t="str">
        <f t="shared" si="180"/>
        <v/>
      </c>
      <c r="Y210" s="259"/>
      <c r="Z210" s="2"/>
      <c r="AA210" s="264">
        <v>206</v>
      </c>
      <c r="AB210" s="16" t="str">
        <f t="shared" si="190"/>
        <v/>
      </c>
      <c r="AC210" s="16" t="str">
        <f t="shared" si="191"/>
        <v/>
      </c>
      <c r="AD210" s="16" t="str">
        <f t="shared" si="185"/>
        <v/>
      </c>
      <c r="AE210" s="16" t="str">
        <f t="shared" si="186"/>
        <v/>
      </c>
      <c r="AF210" s="16" t="str">
        <f t="shared" si="187"/>
        <v/>
      </c>
      <c r="AG210" s="16" t="str">
        <f t="shared" si="192"/>
        <v/>
      </c>
      <c r="AH210" s="16" t="str">
        <f t="shared" si="193"/>
        <v/>
      </c>
      <c r="AI210" s="29" t="str">
        <f t="shared" si="188"/>
        <v/>
      </c>
      <c r="AJ210" s="29" t="str">
        <f t="shared" si="189"/>
        <v/>
      </c>
      <c r="AK210" s="2"/>
      <c r="AL210" s="2"/>
      <c r="AM210" s="2"/>
      <c r="AN210" s="2"/>
      <c r="AO210" s="2"/>
      <c r="AP210" s="2"/>
      <c r="AQ210" s="2"/>
      <c r="AR210" s="2"/>
      <c r="AS210" s="2"/>
      <c r="AT210" s="2"/>
      <c r="AU210" s="2"/>
      <c r="AV210" s="2"/>
      <c r="AW210" s="2"/>
      <c r="AX210" s="2"/>
      <c r="AY210" s="2"/>
      <c r="AZ210" s="2"/>
      <c r="BA210" s="2"/>
      <c r="BB210" s="2"/>
      <c r="BC210" s="2"/>
    </row>
    <row r="211" spans="1:55" x14ac:dyDescent="0.25">
      <c r="A211" s="260" t="str">
        <f t="shared" si="157"/>
        <v>#32:</v>
      </c>
      <c r="B211" s="147">
        <f t="shared" si="158"/>
        <v>71.767676767677187</v>
      </c>
      <c r="C211" s="148">
        <f t="shared" si="159"/>
        <v>1.8027756377319946</v>
      </c>
      <c r="D211" s="261" t="str">
        <f t="shared" si="160"/>
        <v/>
      </c>
      <c r="E211" s="147" t="str">
        <f t="shared" si="161"/>
        <v/>
      </c>
      <c r="F211" s="148" t="str">
        <f t="shared" si="162"/>
        <v/>
      </c>
      <c r="G211" s="261" t="str">
        <f t="shared" si="163"/>
        <v/>
      </c>
      <c r="H211" s="147" t="str">
        <f t="shared" si="164"/>
        <v/>
      </c>
      <c r="I211" s="148" t="str">
        <f t="shared" si="165"/>
        <v/>
      </c>
      <c r="J211" s="261" t="str">
        <f t="shared" si="166"/>
        <v/>
      </c>
      <c r="K211" s="147" t="str">
        <f t="shared" si="167"/>
        <v/>
      </c>
      <c r="L211" s="148" t="str">
        <f t="shared" si="168"/>
        <v/>
      </c>
      <c r="M211" s="261" t="str">
        <f t="shared" si="169"/>
        <v/>
      </c>
      <c r="N211" s="147" t="str">
        <f t="shared" si="170"/>
        <v/>
      </c>
      <c r="O211" s="148" t="str">
        <f t="shared" si="171"/>
        <v/>
      </c>
      <c r="P211" s="261" t="str">
        <f t="shared" si="172"/>
        <v/>
      </c>
      <c r="Q211" s="147" t="str">
        <f t="shared" si="173"/>
        <v/>
      </c>
      <c r="R211" s="148" t="str">
        <f t="shared" si="174"/>
        <v/>
      </c>
      <c r="S211" s="261" t="str">
        <f t="shared" si="175"/>
        <v/>
      </c>
      <c r="T211" s="147" t="str">
        <f t="shared" si="176"/>
        <v/>
      </c>
      <c r="U211" s="148" t="str">
        <f t="shared" si="177"/>
        <v/>
      </c>
      <c r="V211" s="261" t="str">
        <f t="shared" si="178"/>
        <v/>
      </c>
      <c r="W211" s="147" t="str">
        <f t="shared" si="179"/>
        <v/>
      </c>
      <c r="X211" s="148" t="str">
        <f t="shared" si="180"/>
        <v/>
      </c>
      <c r="Y211" s="259"/>
      <c r="Z211" s="2"/>
      <c r="AA211" s="264">
        <v>207</v>
      </c>
      <c r="AB211" s="16" t="str">
        <f t="shared" si="190"/>
        <v/>
      </c>
      <c r="AC211" s="16" t="str">
        <f t="shared" si="191"/>
        <v/>
      </c>
      <c r="AD211" s="16" t="str">
        <f t="shared" si="185"/>
        <v/>
      </c>
      <c r="AE211" s="16" t="str">
        <f t="shared" si="186"/>
        <v/>
      </c>
      <c r="AF211" s="16" t="str">
        <f t="shared" si="187"/>
        <v/>
      </c>
      <c r="AG211" s="16" t="str">
        <f t="shared" si="192"/>
        <v/>
      </c>
      <c r="AH211" s="16" t="str">
        <f t="shared" si="193"/>
        <v/>
      </c>
      <c r="AI211" s="29" t="str">
        <f t="shared" si="188"/>
        <v/>
      </c>
      <c r="AJ211" s="29" t="str">
        <f t="shared" si="189"/>
        <v/>
      </c>
      <c r="AK211" s="2"/>
      <c r="AL211" s="2"/>
      <c r="AM211" s="2"/>
      <c r="AN211" s="2"/>
      <c r="AO211" s="2"/>
      <c r="AP211" s="2"/>
      <c r="AQ211" s="2"/>
      <c r="AR211" s="2"/>
      <c r="AS211" s="2"/>
      <c r="AT211" s="2"/>
      <c r="AU211" s="2"/>
      <c r="AV211" s="2"/>
      <c r="AW211" s="2"/>
      <c r="AX211" s="2"/>
      <c r="AY211" s="2"/>
      <c r="AZ211" s="2"/>
      <c r="BA211" s="2"/>
      <c r="BB211" s="2"/>
      <c r="BC211" s="2"/>
    </row>
    <row r="212" spans="1:55" x14ac:dyDescent="0.25">
      <c r="A212" s="260" t="str">
        <f t="shared" ref="A212:A229" si="194">IF($C$9&gt;=$AA37,"#"&amp;$AA37&amp;":","")</f>
        <v>#33:</v>
      </c>
      <c r="B212" s="147">
        <f t="shared" ref="B212:B229" si="195">$AI37</f>
        <v>71.262626262626682</v>
      </c>
      <c r="C212" s="148">
        <f t="shared" ref="C212:C229" si="196">$AJ37</f>
        <v>1.8027756377319946</v>
      </c>
      <c r="D212" s="261" t="str">
        <f t="shared" ref="D212:D229" si="197">IF($C$9&gt;=$AA87,"#"&amp;$AA87&amp;":","")</f>
        <v/>
      </c>
      <c r="E212" s="147" t="str">
        <f t="shared" ref="E212:E229" si="198">$AI87</f>
        <v/>
      </c>
      <c r="F212" s="148" t="str">
        <f t="shared" ref="F212:F229" si="199">$AJ87</f>
        <v/>
      </c>
      <c r="G212" s="261" t="str">
        <f t="shared" ref="G212:G229" si="200">IF($C$9&gt;=$AA137,"#"&amp;$AA137&amp;":","")</f>
        <v/>
      </c>
      <c r="H212" s="147" t="str">
        <f t="shared" ref="H212:H229" si="201">$AI137</f>
        <v/>
      </c>
      <c r="I212" s="148" t="str">
        <f t="shared" ref="I212:I229" si="202">$AJ137</f>
        <v/>
      </c>
      <c r="J212" s="261" t="str">
        <f t="shared" ref="J212:J229" si="203">IF($C$9&gt;=$AA187,"#"&amp;$AA187&amp;":","")</f>
        <v/>
      </c>
      <c r="K212" s="147" t="str">
        <f t="shared" ref="K212:K229" si="204">$AI187</f>
        <v/>
      </c>
      <c r="L212" s="148" t="str">
        <f t="shared" ref="L212:L229" si="205">$AJ187</f>
        <v/>
      </c>
      <c r="M212" s="261" t="str">
        <f t="shared" ref="M212:M229" si="206">IF($C$9&gt;=$AA237,"#"&amp;$AA237&amp;":","")</f>
        <v/>
      </c>
      <c r="N212" s="147" t="str">
        <f t="shared" ref="N212:N229" si="207">$AI237</f>
        <v/>
      </c>
      <c r="O212" s="148" t="str">
        <f t="shared" ref="O212:O229" si="208">$AJ237</f>
        <v/>
      </c>
      <c r="P212" s="261" t="str">
        <f t="shared" ref="P212:P229" si="209">IF($C$9&gt;=$AA287,"#"&amp;$AA287&amp;":","")</f>
        <v/>
      </c>
      <c r="Q212" s="147" t="str">
        <f t="shared" ref="Q212:Q229" si="210">$AI287</f>
        <v/>
      </c>
      <c r="R212" s="148" t="str">
        <f t="shared" ref="R212:R229" si="211">$AJ287</f>
        <v/>
      </c>
      <c r="S212" s="261" t="str">
        <f t="shared" si="175"/>
        <v/>
      </c>
      <c r="T212" s="147" t="str">
        <f t="shared" si="176"/>
        <v/>
      </c>
      <c r="U212" s="148" t="str">
        <f t="shared" si="177"/>
        <v/>
      </c>
      <c r="V212" s="261" t="str">
        <f t="shared" si="178"/>
        <v/>
      </c>
      <c r="W212" s="147" t="str">
        <f t="shared" si="179"/>
        <v/>
      </c>
      <c r="X212" s="148" t="str">
        <f t="shared" si="180"/>
        <v/>
      </c>
      <c r="Y212" s="259"/>
      <c r="Z212" s="2"/>
      <c r="AA212" s="264">
        <v>208</v>
      </c>
      <c r="AB212" s="16" t="str">
        <f t="shared" si="190"/>
        <v/>
      </c>
      <c r="AC212" s="16" t="str">
        <f t="shared" si="191"/>
        <v/>
      </c>
      <c r="AD212" s="16" t="str">
        <f t="shared" si="185"/>
        <v/>
      </c>
      <c r="AE212" s="16" t="str">
        <f t="shared" si="186"/>
        <v/>
      </c>
      <c r="AF212" s="16" t="str">
        <f t="shared" si="187"/>
        <v/>
      </c>
      <c r="AG212" s="16" t="str">
        <f t="shared" si="192"/>
        <v/>
      </c>
      <c r="AH212" s="16" t="str">
        <f t="shared" si="193"/>
        <v/>
      </c>
      <c r="AI212" s="29" t="str">
        <f t="shared" si="188"/>
        <v/>
      </c>
      <c r="AJ212" s="29" t="str">
        <f t="shared" si="189"/>
        <v/>
      </c>
      <c r="AK212" s="2"/>
      <c r="AL212" s="2"/>
      <c r="AM212" s="2"/>
      <c r="AN212" s="2"/>
      <c r="AO212" s="2"/>
      <c r="AP212" s="2"/>
      <c r="AQ212" s="2"/>
      <c r="AR212" s="2"/>
      <c r="AS212" s="2"/>
      <c r="AT212" s="2"/>
      <c r="AU212" s="2"/>
      <c r="AV212" s="2"/>
      <c r="AW212" s="2"/>
      <c r="AX212" s="2"/>
      <c r="AY212" s="2"/>
      <c r="AZ212" s="2"/>
      <c r="BA212" s="2"/>
      <c r="BB212" s="2"/>
      <c r="BC212" s="2"/>
    </row>
    <row r="213" spans="1:55" x14ac:dyDescent="0.25">
      <c r="A213" s="260" t="str">
        <f t="shared" si="194"/>
        <v>#34:</v>
      </c>
      <c r="B213" s="147">
        <f t="shared" si="195"/>
        <v>70.757575757576191</v>
      </c>
      <c r="C213" s="148">
        <f t="shared" si="196"/>
        <v>1.8027756377319946</v>
      </c>
      <c r="D213" s="261" t="str">
        <f t="shared" si="197"/>
        <v/>
      </c>
      <c r="E213" s="147" t="str">
        <f t="shared" si="198"/>
        <v/>
      </c>
      <c r="F213" s="148" t="str">
        <f t="shared" si="199"/>
        <v/>
      </c>
      <c r="G213" s="261" t="str">
        <f t="shared" si="200"/>
        <v/>
      </c>
      <c r="H213" s="147" t="str">
        <f t="shared" si="201"/>
        <v/>
      </c>
      <c r="I213" s="148" t="str">
        <f t="shared" si="202"/>
        <v/>
      </c>
      <c r="J213" s="261" t="str">
        <f t="shared" si="203"/>
        <v/>
      </c>
      <c r="K213" s="147" t="str">
        <f t="shared" si="204"/>
        <v/>
      </c>
      <c r="L213" s="148" t="str">
        <f t="shared" si="205"/>
        <v/>
      </c>
      <c r="M213" s="261" t="str">
        <f t="shared" si="206"/>
        <v/>
      </c>
      <c r="N213" s="147" t="str">
        <f t="shared" si="207"/>
        <v/>
      </c>
      <c r="O213" s="148" t="str">
        <f t="shared" si="208"/>
        <v/>
      </c>
      <c r="P213" s="261" t="str">
        <f t="shared" si="209"/>
        <v/>
      </c>
      <c r="Q213" s="147" t="str">
        <f t="shared" si="210"/>
        <v/>
      </c>
      <c r="R213" s="148" t="str">
        <f t="shared" si="211"/>
        <v/>
      </c>
      <c r="S213" s="261" t="str">
        <f t="shared" si="175"/>
        <v/>
      </c>
      <c r="T213" s="147" t="str">
        <f t="shared" si="176"/>
        <v/>
      </c>
      <c r="U213" s="148" t="str">
        <f t="shared" si="177"/>
        <v/>
      </c>
      <c r="V213" s="261" t="str">
        <f t="shared" si="178"/>
        <v/>
      </c>
      <c r="W213" s="147" t="str">
        <f t="shared" si="179"/>
        <v/>
      </c>
      <c r="X213" s="148" t="str">
        <f t="shared" si="180"/>
        <v/>
      </c>
      <c r="Y213" s="259"/>
      <c r="Z213" s="2"/>
      <c r="AA213" s="264">
        <v>209</v>
      </c>
      <c r="AB213" s="16" t="str">
        <f t="shared" si="190"/>
        <v/>
      </c>
      <c r="AC213" s="16" t="str">
        <f t="shared" si="191"/>
        <v/>
      </c>
      <c r="AD213" s="16" t="str">
        <f t="shared" si="185"/>
        <v/>
      </c>
      <c r="AE213" s="16" t="str">
        <f t="shared" si="186"/>
        <v/>
      </c>
      <c r="AF213" s="16" t="str">
        <f t="shared" si="187"/>
        <v/>
      </c>
      <c r="AG213" s="16" t="str">
        <f t="shared" si="192"/>
        <v/>
      </c>
      <c r="AH213" s="16" t="str">
        <f t="shared" si="193"/>
        <v/>
      </c>
      <c r="AI213" s="29" t="str">
        <f t="shared" si="188"/>
        <v/>
      </c>
      <c r="AJ213" s="29" t="str">
        <f t="shared" si="189"/>
        <v/>
      </c>
      <c r="AK213" s="2"/>
      <c r="AL213" s="2"/>
      <c r="AM213" s="2"/>
      <c r="AN213" s="2"/>
      <c r="AO213" s="2"/>
      <c r="AP213" s="2"/>
      <c r="AQ213" s="2"/>
      <c r="AR213" s="2"/>
      <c r="AS213" s="2"/>
      <c r="AT213" s="2"/>
      <c r="AU213" s="2"/>
      <c r="AV213" s="2"/>
      <c r="AW213" s="2"/>
      <c r="AX213" s="2"/>
      <c r="AY213" s="2"/>
      <c r="AZ213" s="2"/>
      <c r="BA213" s="2"/>
      <c r="BB213" s="2"/>
      <c r="BC213" s="2"/>
    </row>
    <row r="214" spans="1:55" x14ac:dyDescent="0.25">
      <c r="A214" s="260" t="str">
        <f t="shared" si="194"/>
        <v>#35:</v>
      </c>
      <c r="B214" s="147">
        <f t="shared" si="195"/>
        <v>70.252525252525686</v>
      </c>
      <c r="C214" s="148">
        <f t="shared" si="196"/>
        <v>1.8027756377319946</v>
      </c>
      <c r="D214" s="261" t="str">
        <f t="shared" si="197"/>
        <v/>
      </c>
      <c r="E214" s="147" t="str">
        <f t="shared" si="198"/>
        <v/>
      </c>
      <c r="F214" s="148" t="str">
        <f t="shared" si="199"/>
        <v/>
      </c>
      <c r="G214" s="261" t="str">
        <f t="shared" si="200"/>
        <v/>
      </c>
      <c r="H214" s="147" t="str">
        <f t="shared" si="201"/>
        <v/>
      </c>
      <c r="I214" s="148" t="str">
        <f t="shared" si="202"/>
        <v/>
      </c>
      <c r="J214" s="261" t="str">
        <f t="shared" si="203"/>
        <v/>
      </c>
      <c r="K214" s="147" t="str">
        <f t="shared" si="204"/>
        <v/>
      </c>
      <c r="L214" s="148" t="str">
        <f t="shared" si="205"/>
        <v/>
      </c>
      <c r="M214" s="261" t="str">
        <f t="shared" si="206"/>
        <v/>
      </c>
      <c r="N214" s="147" t="str">
        <f t="shared" si="207"/>
        <v/>
      </c>
      <c r="O214" s="148" t="str">
        <f t="shared" si="208"/>
        <v/>
      </c>
      <c r="P214" s="261" t="str">
        <f t="shared" si="209"/>
        <v/>
      </c>
      <c r="Q214" s="147" t="str">
        <f t="shared" si="210"/>
        <v/>
      </c>
      <c r="R214" s="148" t="str">
        <f t="shared" si="211"/>
        <v/>
      </c>
      <c r="S214" s="261" t="str">
        <f t="shared" si="175"/>
        <v/>
      </c>
      <c r="T214" s="147" t="str">
        <f t="shared" si="176"/>
        <v/>
      </c>
      <c r="U214" s="148" t="str">
        <f t="shared" si="177"/>
        <v/>
      </c>
      <c r="V214" s="261" t="str">
        <f t="shared" si="178"/>
        <v/>
      </c>
      <c r="W214" s="147" t="str">
        <f t="shared" si="179"/>
        <v/>
      </c>
      <c r="X214" s="148" t="str">
        <f t="shared" si="180"/>
        <v/>
      </c>
      <c r="Y214" s="259"/>
      <c r="Z214" s="2"/>
      <c r="AA214" s="264">
        <v>210</v>
      </c>
      <c r="AB214" s="16" t="str">
        <f t="shared" si="190"/>
        <v/>
      </c>
      <c r="AC214" s="16" t="str">
        <f t="shared" si="191"/>
        <v/>
      </c>
      <c r="AD214" s="16" t="str">
        <f t="shared" si="185"/>
        <v/>
      </c>
      <c r="AE214" s="16" t="str">
        <f t="shared" si="186"/>
        <v/>
      </c>
      <c r="AF214" s="16" t="str">
        <f t="shared" si="187"/>
        <v/>
      </c>
      <c r="AG214" s="16" t="str">
        <f t="shared" si="192"/>
        <v/>
      </c>
      <c r="AH214" s="16" t="str">
        <f t="shared" si="193"/>
        <v/>
      </c>
      <c r="AI214" s="29" t="str">
        <f t="shared" si="188"/>
        <v/>
      </c>
      <c r="AJ214" s="29" t="str">
        <f t="shared" si="189"/>
        <v/>
      </c>
      <c r="AK214" s="2"/>
      <c r="AL214" s="2"/>
      <c r="AM214" s="2"/>
      <c r="AN214" s="2"/>
      <c r="AO214" s="2"/>
      <c r="AP214" s="2"/>
      <c r="AQ214" s="2"/>
      <c r="AR214" s="2"/>
      <c r="AS214" s="2"/>
      <c r="AT214" s="2"/>
      <c r="AU214" s="2"/>
      <c r="AV214" s="2"/>
      <c r="AW214" s="2"/>
      <c r="AX214" s="2"/>
      <c r="AY214" s="2"/>
      <c r="AZ214" s="2"/>
      <c r="BA214" s="2"/>
      <c r="BB214" s="2"/>
      <c r="BC214" s="2"/>
    </row>
    <row r="215" spans="1:55" x14ac:dyDescent="0.25">
      <c r="A215" s="260" t="str">
        <f t="shared" si="194"/>
        <v>#36:</v>
      </c>
      <c r="B215" s="147">
        <f t="shared" si="195"/>
        <v>69.747474747475195</v>
      </c>
      <c r="C215" s="148">
        <f t="shared" si="196"/>
        <v>1.8027756377319946</v>
      </c>
      <c r="D215" s="261" t="str">
        <f t="shared" si="197"/>
        <v/>
      </c>
      <c r="E215" s="147" t="str">
        <f t="shared" si="198"/>
        <v/>
      </c>
      <c r="F215" s="148" t="str">
        <f t="shared" si="199"/>
        <v/>
      </c>
      <c r="G215" s="261" t="str">
        <f t="shared" si="200"/>
        <v/>
      </c>
      <c r="H215" s="147" t="str">
        <f t="shared" si="201"/>
        <v/>
      </c>
      <c r="I215" s="148" t="str">
        <f t="shared" si="202"/>
        <v/>
      </c>
      <c r="J215" s="261" t="str">
        <f t="shared" si="203"/>
        <v/>
      </c>
      <c r="K215" s="147" t="str">
        <f t="shared" si="204"/>
        <v/>
      </c>
      <c r="L215" s="148" t="str">
        <f t="shared" si="205"/>
        <v/>
      </c>
      <c r="M215" s="261" t="str">
        <f t="shared" si="206"/>
        <v/>
      </c>
      <c r="N215" s="147" t="str">
        <f t="shared" si="207"/>
        <v/>
      </c>
      <c r="O215" s="148" t="str">
        <f t="shared" si="208"/>
        <v/>
      </c>
      <c r="P215" s="261" t="str">
        <f t="shared" si="209"/>
        <v/>
      </c>
      <c r="Q215" s="147" t="str">
        <f t="shared" si="210"/>
        <v/>
      </c>
      <c r="R215" s="148" t="str">
        <f t="shared" si="211"/>
        <v/>
      </c>
      <c r="S215" s="261" t="str">
        <f t="shared" si="175"/>
        <v/>
      </c>
      <c r="T215" s="147" t="str">
        <f t="shared" si="176"/>
        <v/>
      </c>
      <c r="U215" s="148" t="str">
        <f t="shared" si="177"/>
        <v/>
      </c>
      <c r="V215" s="261" t="str">
        <f t="shared" si="178"/>
        <v/>
      </c>
      <c r="W215" s="147" t="str">
        <f t="shared" si="179"/>
        <v/>
      </c>
      <c r="X215" s="148" t="str">
        <f t="shared" si="180"/>
        <v/>
      </c>
      <c r="Y215" s="259"/>
      <c r="Z215" s="2"/>
      <c r="AA215" s="264">
        <v>211</v>
      </c>
      <c r="AB215" s="16" t="str">
        <f t="shared" si="190"/>
        <v/>
      </c>
      <c r="AC215" s="16" t="str">
        <f t="shared" si="191"/>
        <v/>
      </c>
      <c r="AD215" s="16" t="str">
        <f t="shared" si="185"/>
        <v/>
      </c>
      <c r="AE215" s="16" t="str">
        <f t="shared" si="186"/>
        <v/>
      </c>
      <c r="AF215" s="16" t="str">
        <f t="shared" si="187"/>
        <v/>
      </c>
      <c r="AG215" s="16" t="str">
        <f t="shared" si="192"/>
        <v/>
      </c>
      <c r="AH215" s="16" t="str">
        <f t="shared" si="193"/>
        <v/>
      </c>
      <c r="AI215" s="29" t="str">
        <f t="shared" si="188"/>
        <v/>
      </c>
      <c r="AJ215" s="29" t="str">
        <f t="shared" si="189"/>
        <v/>
      </c>
      <c r="AK215" s="2"/>
      <c r="AL215" s="2"/>
      <c r="AM215" s="2"/>
      <c r="AN215" s="2"/>
      <c r="AO215" s="2"/>
      <c r="AP215" s="2"/>
      <c r="AQ215" s="2"/>
      <c r="AR215" s="2"/>
      <c r="AS215" s="2"/>
      <c r="AT215" s="2"/>
      <c r="AU215" s="2"/>
      <c r="AV215" s="2"/>
      <c r="AW215" s="2"/>
      <c r="AX215" s="2"/>
      <c r="AY215" s="2"/>
      <c r="AZ215" s="2"/>
      <c r="BA215" s="2"/>
      <c r="BB215" s="2"/>
      <c r="BC215" s="2"/>
    </row>
    <row r="216" spans="1:55" x14ac:dyDescent="0.25">
      <c r="A216" s="260" t="str">
        <f t="shared" si="194"/>
        <v>#37:</v>
      </c>
      <c r="B216" s="147">
        <f t="shared" si="195"/>
        <v>69.24242424242469</v>
      </c>
      <c r="C216" s="148">
        <f t="shared" si="196"/>
        <v>1.8027756377319946</v>
      </c>
      <c r="D216" s="261" t="str">
        <f t="shared" si="197"/>
        <v/>
      </c>
      <c r="E216" s="147" t="str">
        <f t="shared" si="198"/>
        <v/>
      </c>
      <c r="F216" s="148" t="str">
        <f t="shared" si="199"/>
        <v/>
      </c>
      <c r="G216" s="261" t="str">
        <f t="shared" si="200"/>
        <v/>
      </c>
      <c r="H216" s="147" t="str">
        <f t="shared" si="201"/>
        <v/>
      </c>
      <c r="I216" s="148" t="str">
        <f t="shared" si="202"/>
        <v/>
      </c>
      <c r="J216" s="261" t="str">
        <f t="shared" si="203"/>
        <v/>
      </c>
      <c r="K216" s="147" t="str">
        <f t="shared" si="204"/>
        <v/>
      </c>
      <c r="L216" s="148" t="str">
        <f t="shared" si="205"/>
        <v/>
      </c>
      <c r="M216" s="261" t="str">
        <f t="shared" si="206"/>
        <v/>
      </c>
      <c r="N216" s="147" t="str">
        <f t="shared" si="207"/>
        <v/>
      </c>
      <c r="O216" s="148" t="str">
        <f t="shared" si="208"/>
        <v/>
      </c>
      <c r="P216" s="261" t="str">
        <f t="shared" si="209"/>
        <v/>
      </c>
      <c r="Q216" s="147" t="str">
        <f t="shared" si="210"/>
        <v/>
      </c>
      <c r="R216" s="148" t="str">
        <f t="shared" si="211"/>
        <v/>
      </c>
      <c r="S216" s="261" t="str">
        <f t="shared" si="175"/>
        <v/>
      </c>
      <c r="T216" s="147" t="str">
        <f t="shared" si="176"/>
        <v/>
      </c>
      <c r="U216" s="148" t="str">
        <f t="shared" si="177"/>
        <v/>
      </c>
      <c r="V216" s="261" t="str">
        <f t="shared" si="178"/>
        <v/>
      </c>
      <c r="W216" s="147" t="str">
        <f t="shared" si="179"/>
        <v/>
      </c>
      <c r="X216" s="148" t="str">
        <f t="shared" si="180"/>
        <v/>
      </c>
      <c r="Y216" s="259"/>
      <c r="Z216" s="2"/>
      <c r="AA216" s="264">
        <v>212</v>
      </c>
      <c r="AB216" s="16" t="str">
        <f t="shared" si="190"/>
        <v/>
      </c>
      <c r="AC216" s="16" t="str">
        <f t="shared" si="191"/>
        <v/>
      </c>
      <c r="AD216" s="16" t="str">
        <f t="shared" si="185"/>
        <v/>
      </c>
      <c r="AE216" s="16" t="str">
        <f t="shared" si="186"/>
        <v/>
      </c>
      <c r="AF216" s="16" t="str">
        <f t="shared" si="187"/>
        <v/>
      </c>
      <c r="AG216" s="16" t="str">
        <f t="shared" si="192"/>
        <v/>
      </c>
      <c r="AH216" s="16" t="str">
        <f t="shared" si="193"/>
        <v/>
      </c>
      <c r="AI216" s="29" t="str">
        <f t="shared" si="188"/>
        <v/>
      </c>
      <c r="AJ216" s="29" t="str">
        <f t="shared" si="189"/>
        <v/>
      </c>
      <c r="AK216" s="2"/>
      <c r="AL216" s="2"/>
      <c r="AM216" s="2"/>
      <c r="AN216" s="2"/>
      <c r="AO216" s="2"/>
      <c r="AP216" s="2"/>
      <c r="AQ216" s="2"/>
      <c r="AR216" s="2"/>
      <c r="AS216" s="2"/>
      <c r="AT216" s="2"/>
      <c r="AU216" s="2"/>
      <c r="AV216" s="2"/>
      <c r="AW216" s="2"/>
      <c r="AX216" s="2"/>
      <c r="AY216" s="2"/>
      <c r="AZ216" s="2"/>
      <c r="BA216" s="2"/>
      <c r="BB216" s="2"/>
      <c r="BC216" s="2"/>
    </row>
    <row r="217" spans="1:55" x14ac:dyDescent="0.25">
      <c r="A217" s="260" t="str">
        <f t="shared" si="194"/>
        <v>#38:</v>
      </c>
      <c r="B217" s="147">
        <f t="shared" si="195"/>
        <v>68.737373737374199</v>
      </c>
      <c r="C217" s="148">
        <f t="shared" si="196"/>
        <v>1.8027756377319946</v>
      </c>
      <c r="D217" s="261" t="str">
        <f t="shared" si="197"/>
        <v/>
      </c>
      <c r="E217" s="147" t="str">
        <f t="shared" si="198"/>
        <v/>
      </c>
      <c r="F217" s="148" t="str">
        <f t="shared" si="199"/>
        <v/>
      </c>
      <c r="G217" s="261" t="str">
        <f t="shared" si="200"/>
        <v/>
      </c>
      <c r="H217" s="147" t="str">
        <f t="shared" si="201"/>
        <v/>
      </c>
      <c r="I217" s="148" t="str">
        <f t="shared" si="202"/>
        <v/>
      </c>
      <c r="J217" s="261" t="str">
        <f t="shared" si="203"/>
        <v/>
      </c>
      <c r="K217" s="147" t="str">
        <f t="shared" si="204"/>
        <v/>
      </c>
      <c r="L217" s="148" t="str">
        <f t="shared" si="205"/>
        <v/>
      </c>
      <c r="M217" s="261" t="str">
        <f t="shared" si="206"/>
        <v/>
      </c>
      <c r="N217" s="147" t="str">
        <f t="shared" si="207"/>
        <v/>
      </c>
      <c r="O217" s="148" t="str">
        <f t="shared" si="208"/>
        <v/>
      </c>
      <c r="P217" s="261" t="str">
        <f t="shared" si="209"/>
        <v/>
      </c>
      <c r="Q217" s="147" t="str">
        <f t="shared" si="210"/>
        <v/>
      </c>
      <c r="R217" s="148" t="str">
        <f t="shared" si="211"/>
        <v/>
      </c>
      <c r="S217" s="261" t="str">
        <f t="shared" si="175"/>
        <v/>
      </c>
      <c r="T217" s="147" t="str">
        <f t="shared" si="176"/>
        <v/>
      </c>
      <c r="U217" s="148" t="str">
        <f t="shared" si="177"/>
        <v/>
      </c>
      <c r="V217" s="261" t="str">
        <f t="shared" si="178"/>
        <v/>
      </c>
      <c r="W217" s="147" t="str">
        <f t="shared" si="179"/>
        <v/>
      </c>
      <c r="X217" s="148" t="str">
        <f t="shared" si="180"/>
        <v/>
      </c>
      <c r="Y217" s="259"/>
      <c r="Z217" s="2"/>
      <c r="AA217" s="264">
        <v>213</v>
      </c>
      <c r="AB217" s="16" t="str">
        <f t="shared" si="190"/>
        <v/>
      </c>
      <c r="AC217" s="16" t="str">
        <f t="shared" si="191"/>
        <v/>
      </c>
      <c r="AD217" s="16" t="str">
        <f t="shared" si="185"/>
        <v/>
      </c>
      <c r="AE217" s="16" t="str">
        <f t="shared" si="186"/>
        <v/>
      </c>
      <c r="AF217" s="16" t="str">
        <f t="shared" si="187"/>
        <v/>
      </c>
      <c r="AG217" s="16" t="str">
        <f t="shared" si="192"/>
        <v/>
      </c>
      <c r="AH217" s="16" t="str">
        <f t="shared" si="193"/>
        <v/>
      </c>
      <c r="AI217" s="29" t="str">
        <f t="shared" si="188"/>
        <v/>
      </c>
      <c r="AJ217" s="29" t="str">
        <f t="shared" si="189"/>
        <v/>
      </c>
      <c r="AK217" s="2"/>
      <c r="AL217" s="2"/>
      <c r="AM217" s="2"/>
      <c r="AN217" s="2"/>
      <c r="AO217" s="2"/>
      <c r="AP217" s="2"/>
      <c r="AQ217" s="2"/>
      <c r="AR217" s="2"/>
      <c r="AS217" s="2"/>
      <c r="AT217" s="2"/>
      <c r="AU217" s="2"/>
      <c r="AV217" s="2"/>
      <c r="AW217" s="2"/>
      <c r="AX217" s="2"/>
      <c r="AY217" s="2"/>
      <c r="AZ217" s="2"/>
      <c r="BA217" s="2"/>
      <c r="BB217" s="2"/>
      <c r="BC217" s="2"/>
    </row>
    <row r="218" spans="1:55" x14ac:dyDescent="0.25">
      <c r="A218" s="260" t="str">
        <f t="shared" si="194"/>
        <v>#39:</v>
      </c>
      <c r="B218" s="147">
        <f t="shared" si="195"/>
        <v>68.232323232323694</v>
      </c>
      <c r="C218" s="148">
        <f t="shared" si="196"/>
        <v>1.8027756377319946</v>
      </c>
      <c r="D218" s="261" t="str">
        <f t="shared" si="197"/>
        <v/>
      </c>
      <c r="E218" s="147" t="str">
        <f t="shared" si="198"/>
        <v/>
      </c>
      <c r="F218" s="148" t="str">
        <f t="shared" si="199"/>
        <v/>
      </c>
      <c r="G218" s="261" t="str">
        <f t="shared" si="200"/>
        <v/>
      </c>
      <c r="H218" s="147" t="str">
        <f t="shared" si="201"/>
        <v/>
      </c>
      <c r="I218" s="148" t="str">
        <f t="shared" si="202"/>
        <v/>
      </c>
      <c r="J218" s="261" t="str">
        <f t="shared" si="203"/>
        <v/>
      </c>
      <c r="K218" s="147" t="str">
        <f t="shared" si="204"/>
        <v/>
      </c>
      <c r="L218" s="148" t="str">
        <f t="shared" si="205"/>
        <v/>
      </c>
      <c r="M218" s="261" t="str">
        <f t="shared" si="206"/>
        <v/>
      </c>
      <c r="N218" s="147" t="str">
        <f t="shared" si="207"/>
        <v/>
      </c>
      <c r="O218" s="148" t="str">
        <f t="shared" si="208"/>
        <v/>
      </c>
      <c r="P218" s="261" t="str">
        <f t="shared" si="209"/>
        <v/>
      </c>
      <c r="Q218" s="147" t="str">
        <f t="shared" si="210"/>
        <v/>
      </c>
      <c r="R218" s="148" t="str">
        <f t="shared" si="211"/>
        <v/>
      </c>
      <c r="S218" s="261" t="str">
        <f t="shared" si="175"/>
        <v/>
      </c>
      <c r="T218" s="147" t="str">
        <f t="shared" si="176"/>
        <v/>
      </c>
      <c r="U218" s="148" t="str">
        <f t="shared" si="177"/>
        <v/>
      </c>
      <c r="V218" s="261" t="str">
        <f t="shared" si="178"/>
        <v/>
      </c>
      <c r="W218" s="147" t="str">
        <f t="shared" si="179"/>
        <v/>
      </c>
      <c r="X218" s="148" t="str">
        <f t="shared" si="180"/>
        <v/>
      </c>
      <c r="Y218" s="259"/>
      <c r="Z218" s="2"/>
      <c r="AA218" s="264">
        <v>214</v>
      </c>
      <c r="AB218" s="16" t="str">
        <f t="shared" si="190"/>
        <v/>
      </c>
      <c r="AC218" s="16" t="str">
        <f t="shared" si="191"/>
        <v/>
      </c>
      <c r="AD218" s="16" t="str">
        <f t="shared" si="185"/>
        <v/>
      </c>
      <c r="AE218" s="16" t="str">
        <f t="shared" si="186"/>
        <v/>
      </c>
      <c r="AF218" s="16" t="str">
        <f t="shared" si="187"/>
        <v/>
      </c>
      <c r="AG218" s="16" t="str">
        <f t="shared" si="192"/>
        <v/>
      </c>
      <c r="AH218" s="16" t="str">
        <f t="shared" si="193"/>
        <v/>
      </c>
      <c r="AI218" s="29" t="str">
        <f t="shared" si="188"/>
        <v/>
      </c>
      <c r="AJ218" s="29" t="str">
        <f t="shared" si="189"/>
        <v/>
      </c>
      <c r="AK218" s="2"/>
      <c r="AL218" s="2"/>
      <c r="AM218" s="2"/>
      <c r="AN218" s="2"/>
      <c r="AO218" s="2"/>
      <c r="AP218" s="2"/>
      <c r="AQ218" s="2"/>
      <c r="AR218" s="2"/>
      <c r="AS218" s="2"/>
      <c r="AT218" s="2"/>
      <c r="AU218" s="2"/>
      <c r="AV218" s="2"/>
      <c r="AW218" s="2"/>
      <c r="AX218" s="2"/>
      <c r="AY218" s="2"/>
      <c r="AZ218" s="2"/>
      <c r="BA218" s="2"/>
      <c r="BB218" s="2"/>
      <c r="BC218" s="2"/>
    </row>
    <row r="219" spans="1:55" x14ac:dyDescent="0.25">
      <c r="A219" s="260" t="str">
        <f t="shared" si="194"/>
        <v>#40:</v>
      </c>
      <c r="B219" s="147">
        <f t="shared" si="195"/>
        <v>67.727272727273203</v>
      </c>
      <c r="C219" s="148">
        <f t="shared" si="196"/>
        <v>1.8027756377319946</v>
      </c>
      <c r="D219" s="261" t="str">
        <f t="shared" si="197"/>
        <v/>
      </c>
      <c r="E219" s="147" t="str">
        <f t="shared" si="198"/>
        <v/>
      </c>
      <c r="F219" s="148" t="str">
        <f t="shared" si="199"/>
        <v/>
      </c>
      <c r="G219" s="261" t="str">
        <f t="shared" si="200"/>
        <v/>
      </c>
      <c r="H219" s="147" t="str">
        <f t="shared" si="201"/>
        <v/>
      </c>
      <c r="I219" s="148" t="str">
        <f t="shared" si="202"/>
        <v/>
      </c>
      <c r="J219" s="261" t="str">
        <f t="shared" si="203"/>
        <v/>
      </c>
      <c r="K219" s="147" t="str">
        <f t="shared" si="204"/>
        <v/>
      </c>
      <c r="L219" s="148" t="str">
        <f t="shared" si="205"/>
        <v/>
      </c>
      <c r="M219" s="261" t="str">
        <f t="shared" si="206"/>
        <v/>
      </c>
      <c r="N219" s="147" t="str">
        <f t="shared" si="207"/>
        <v/>
      </c>
      <c r="O219" s="148" t="str">
        <f t="shared" si="208"/>
        <v/>
      </c>
      <c r="P219" s="261" t="str">
        <f t="shared" si="209"/>
        <v/>
      </c>
      <c r="Q219" s="147" t="str">
        <f t="shared" si="210"/>
        <v/>
      </c>
      <c r="R219" s="148" t="str">
        <f t="shared" si="211"/>
        <v/>
      </c>
      <c r="S219" s="261" t="str">
        <f t="shared" si="175"/>
        <v/>
      </c>
      <c r="T219" s="147" t="str">
        <f t="shared" si="176"/>
        <v/>
      </c>
      <c r="U219" s="148" t="str">
        <f t="shared" si="177"/>
        <v/>
      </c>
      <c r="V219" s="261" t="str">
        <f t="shared" si="178"/>
        <v/>
      </c>
      <c r="W219" s="147" t="str">
        <f t="shared" si="179"/>
        <v/>
      </c>
      <c r="X219" s="148" t="str">
        <f t="shared" si="180"/>
        <v/>
      </c>
      <c r="Y219" s="259"/>
      <c r="Z219" s="2"/>
      <c r="AA219" s="264">
        <v>215</v>
      </c>
      <c r="AB219" s="16" t="str">
        <f t="shared" si="190"/>
        <v/>
      </c>
      <c r="AC219" s="16" t="str">
        <f t="shared" si="191"/>
        <v/>
      </c>
      <c r="AD219" s="16" t="str">
        <f t="shared" si="185"/>
        <v/>
      </c>
      <c r="AE219" s="16" t="str">
        <f t="shared" si="186"/>
        <v/>
      </c>
      <c r="AF219" s="16" t="str">
        <f t="shared" si="187"/>
        <v/>
      </c>
      <c r="AG219" s="16" t="str">
        <f t="shared" si="192"/>
        <v/>
      </c>
      <c r="AH219" s="16" t="str">
        <f t="shared" si="193"/>
        <v/>
      </c>
      <c r="AI219" s="29" t="str">
        <f t="shared" si="188"/>
        <v/>
      </c>
      <c r="AJ219" s="29" t="str">
        <f t="shared" si="189"/>
        <v/>
      </c>
      <c r="AK219" s="2"/>
      <c r="AL219" s="2"/>
      <c r="AM219" s="2"/>
      <c r="AN219" s="2"/>
      <c r="AO219" s="2"/>
      <c r="AP219" s="2"/>
      <c r="AQ219" s="2"/>
      <c r="AR219" s="2"/>
      <c r="AS219" s="2"/>
      <c r="AT219" s="2"/>
      <c r="AU219" s="2"/>
      <c r="AV219" s="2"/>
      <c r="AW219" s="2"/>
      <c r="AX219" s="2"/>
      <c r="AY219" s="2"/>
      <c r="AZ219" s="2"/>
      <c r="BA219" s="2"/>
      <c r="BB219" s="2"/>
      <c r="BC219" s="2"/>
    </row>
    <row r="220" spans="1:55" x14ac:dyDescent="0.25">
      <c r="A220" s="260" t="str">
        <f t="shared" si="194"/>
        <v/>
      </c>
      <c r="B220" s="147" t="str">
        <f t="shared" si="195"/>
        <v/>
      </c>
      <c r="C220" s="148" t="str">
        <f t="shared" si="196"/>
        <v/>
      </c>
      <c r="D220" s="261" t="str">
        <f t="shared" si="197"/>
        <v/>
      </c>
      <c r="E220" s="147" t="str">
        <f t="shared" si="198"/>
        <v/>
      </c>
      <c r="F220" s="148" t="str">
        <f t="shared" si="199"/>
        <v/>
      </c>
      <c r="G220" s="261" t="str">
        <f t="shared" si="200"/>
        <v/>
      </c>
      <c r="H220" s="147" t="str">
        <f t="shared" si="201"/>
        <v/>
      </c>
      <c r="I220" s="148" t="str">
        <f t="shared" si="202"/>
        <v/>
      </c>
      <c r="J220" s="261" t="str">
        <f t="shared" si="203"/>
        <v/>
      </c>
      <c r="K220" s="147" t="str">
        <f t="shared" si="204"/>
        <v/>
      </c>
      <c r="L220" s="148" t="str">
        <f t="shared" si="205"/>
        <v/>
      </c>
      <c r="M220" s="261" t="str">
        <f t="shared" si="206"/>
        <v/>
      </c>
      <c r="N220" s="147" t="str">
        <f t="shared" si="207"/>
        <v/>
      </c>
      <c r="O220" s="148" t="str">
        <f t="shared" si="208"/>
        <v/>
      </c>
      <c r="P220" s="261" t="str">
        <f t="shared" si="209"/>
        <v/>
      </c>
      <c r="Q220" s="147" t="str">
        <f t="shared" si="210"/>
        <v/>
      </c>
      <c r="R220" s="148" t="str">
        <f t="shared" si="211"/>
        <v/>
      </c>
      <c r="S220" s="261" t="str">
        <f t="shared" si="175"/>
        <v/>
      </c>
      <c r="T220" s="147" t="str">
        <f t="shared" si="176"/>
        <v/>
      </c>
      <c r="U220" s="148" t="str">
        <f t="shared" si="177"/>
        <v/>
      </c>
      <c r="V220" s="261" t="str">
        <f t="shared" si="178"/>
        <v/>
      </c>
      <c r="W220" s="147" t="str">
        <f t="shared" si="179"/>
        <v/>
      </c>
      <c r="X220" s="148" t="str">
        <f t="shared" si="180"/>
        <v/>
      </c>
      <c r="Y220" s="259"/>
      <c r="Z220" s="2"/>
      <c r="AA220" s="264">
        <v>216</v>
      </c>
      <c r="AB220" s="16" t="str">
        <f t="shared" si="190"/>
        <v/>
      </c>
      <c r="AC220" s="16" t="str">
        <f t="shared" si="191"/>
        <v/>
      </c>
      <c r="AD220" s="16" t="str">
        <f t="shared" si="185"/>
        <v/>
      </c>
      <c r="AE220" s="16" t="str">
        <f t="shared" si="186"/>
        <v/>
      </c>
      <c r="AF220" s="16" t="str">
        <f t="shared" si="187"/>
        <v/>
      </c>
      <c r="AG220" s="16" t="str">
        <f t="shared" si="192"/>
        <v/>
      </c>
      <c r="AH220" s="16" t="str">
        <f t="shared" si="193"/>
        <v/>
      </c>
      <c r="AI220" s="29" t="str">
        <f t="shared" si="188"/>
        <v/>
      </c>
      <c r="AJ220" s="29" t="str">
        <f t="shared" si="189"/>
        <v/>
      </c>
      <c r="AK220" s="2"/>
      <c r="AL220" s="2"/>
      <c r="AM220" s="2"/>
      <c r="AN220" s="2"/>
      <c r="AO220" s="2"/>
      <c r="AP220" s="2"/>
      <c r="AQ220" s="2"/>
      <c r="AR220" s="2"/>
      <c r="AS220" s="2"/>
      <c r="AT220" s="2"/>
      <c r="AU220" s="2"/>
      <c r="AV220" s="2"/>
      <c r="AW220" s="2"/>
      <c r="AX220" s="2"/>
      <c r="AY220" s="2"/>
      <c r="AZ220" s="2"/>
      <c r="BA220" s="2"/>
      <c r="BB220" s="2"/>
      <c r="BC220" s="2"/>
    </row>
    <row r="221" spans="1:55" x14ac:dyDescent="0.25">
      <c r="A221" s="260" t="str">
        <f t="shared" si="194"/>
        <v/>
      </c>
      <c r="B221" s="147" t="str">
        <f t="shared" si="195"/>
        <v/>
      </c>
      <c r="C221" s="148" t="str">
        <f t="shared" si="196"/>
        <v/>
      </c>
      <c r="D221" s="261" t="str">
        <f t="shared" si="197"/>
        <v/>
      </c>
      <c r="E221" s="147" t="str">
        <f t="shared" si="198"/>
        <v/>
      </c>
      <c r="F221" s="148" t="str">
        <f t="shared" si="199"/>
        <v/>
      </c>
      <c r="G221" s="261" t="str">
        <f t="shared" si="200"/>
        <v/>
      </c>
      <c r="H221" s="147" t="str">
        <f t="shared" si="201"/>
        <v/>
      </c>
      <c r="I221" s="148" t="str">
        <f t="shared" si="202"/>
        <v/>
      </c>
      <c r="J221" s="261" t="str">
        <f t="shared" si="203"/>
        <v/>
      </c>
      <c r="K221" s="147" t="str">
        <f t="shared" si="204"/>
        <v/>
      </c>
      <c r="L221" s="148" t="str">
        <f t="shared" si="205"/>
        <v/>
      </c>
      <c r="M221" s="261" t="str">
        <f t="shared" si="206"/>
        <v/>
      </c>
      <c r="N221" s="147" t="str">
        <f t="shared" si="207"/>
        <v/>
      </c>
      <c r="O221" s="148" t="str">
        <f t="shared" si="208"/>
        <v/>
      </c>
      <c r="P221" s="261" t="str">
        <f t="shared" si="209"/>
        <v/>
      </c>
      <c r="Q221" s="147" t="str">
        <f t="shared" si="210"/>
        <v/>
      </c>
      <c r="R221" s="148" t="str">
        <f t="shared" si="211"/>
        <v/>
      </c>
      <c r="S221" s="261" t="str">
        <f t="shared" si="175"/>
        <v/>
      </c>
      <c r="T221" s="147" t="str">
        <f t="shared" si="176"/>
        <v/>
      </c>
      <c r="U221" s="148" t="str">
        <f t="shared" si="177"/>
        <v/>
      </c>
      <c r="V221" s="261" t="str">
        <f t="shared" si="178"/>
        <v/>
      </c>
      <c r="W221" s="147" t="str">
        <f t="shared" si="179"/>
        <v/>
      </c>
      <c r="X221" s="148" t="str">
        <f t="shared" si="180"/>
        <v/>
      </c>
      <c r="Y221" s="259"/>
      <c r="Z221" s="2"/>
      <c r="AA221" s="264">
        <v>217</v>
      </c>
      <c r="AB221" s="16" t="str">
        <f t="shared" si="190"/>
        <v/>
      </c>
      <c r="AC221" s="16" t="str">
        <f t="shared" si="191"/>
        <v/>
      </c>
      <c r="AD221" s="16" t="str">
        <f t="shared" si="185"/>
        <v/>
      </c>
      <c r="AE221" s="16" t="str">
        <f t="shared" si="186"/>
        <v/>
      </c>
      <c r="AF221" s="16" t="str">
        <f t="shared" si="187"/>
        <v/>
      </c>
      <c r="AG221" s="16" t="str">
        <f t="shared" si="192"/>
        <v/>
      </c>
      <c r="AH221" s="16" t="str">
        <f t="shared" si="193"/>
        <v/>
      </c>
      <c r="AI221" s="29" t="str">
        <f t="shared" si="188"/>
        <v/>
      </c>
      <c r="AJ221" s="29" t="str">
        <f t="shared" si="189"/>
        <v/>
      </c>
      <c r="AK221" s="2"/>
      <c r="AL221" s="2"/>
      <c r="AM221" s="2"/>
      <c r="AN221" s="2"/>
      <c r="AO221" s="2"/>
      <c r="AP221" s="2"/>
      <c r="AQ221" s="2"/>
      <c r="AR221" s="2"/>
      <c r="AS221" s="2"/>
      <c r="AT221" s="2"/>
      <c r="AU221" s="2"/>
      <c r="AV221" s="2"/>
      <c r="AW221" s="2"/>
      <c r="AX221" s="2"/>
      <c r="AY221" s="2"/>
      <c r="AZ221" s="2"/>
      <c r="BA221" s="2"/>
      <c r="BB221" s="2"/>
      <c r="BC221" s="2"/>
    </row>
    <row r="222" spans="1:55" x14ac:dyDescent="0.25">
      <c r="A222" s="260" t="str">
        <f t="shared" si="194"/>
        <v/>
      </c>
      <c r="B222" s="147" t="str">
        <f t="shared" si="195"/>
        <v/>
      </c>
      <c r="C222" s="148" t="str">
        <f t="shared" si="196"/>
        <v/>
      </c>
      <c r="D222" s="261" t="str">
        <f t="shared" si="197"/>
        <v/>
      </c>
      <c r="E222" s="147" t="str">
        <f t="shared" si="198"/>
        <v/>
      </c>
      <c r="F222" s="148" t="str">
        <f t="shared" si="199"/>
        <v/>
      </c>
      <c r="G222" s="261" t="str">
        <f t="shared" si="200"/>
        <v/>
      </c>
      <c r="H222" s="147" t="str">
        <f t="shared" si="201"/>
        <v/>
      </c>
      <c r="I222" s="148" t="str">
        <f t="shared" si="202"/>
        <v/>
      </c>
      <c r="J222" s="261" t="str">
        <f t="shared" si="203"/>
        <v/>
      </c>
      <c r="K222" s="147" t="str">
        <f t="shared" si="204"/>
        <v/>
      </c>
      <c r="L222" s="148" t="str">
        <f t="shared" si="205"/>
        <v/>
      </c>
      <c r="M222" s="261" t="str">
        <f t="shared" si="206"/>
        <v/>
      </c>
      <c r="N222" s="147" t="str">
        <f t="shared" si="207"/>
        <v/>
      </c>
      <c r="O222" s="148" t="str">
        <f t="shared" si="208"/>
        <v/>
      </c>
      <c r="P222" s="261" t="str">
        <f t="shared" si="209"/>
        <v/>
      </c>
      <c r="Q222" s="147" t="str">
        <f t="shared" si="210"/>
        <v/>
      </c>
      <c r="R222" s="148" t="str">
        <f t="shared" si="211"/>
        <v/>
      </c>
      <c r="S222" s="261" t="str">
        <f t="shared" si="175"/>
        <v/>
      </c>
      <c r="T222" s="147" t="str">
        <f t="shared" si="176"/>
        <v/>
      </c>
      <c r="U222" s="148" t="str">
        <f t="shared" si="177"/>
        <v/>
      </c>
      <c r="V222" s="261" t="str">
        <f t="shared" si="178"/>
        <v/>
      </c>
      <c r="W222" s="147" t="str">
        <f t="shared" si="179"/>
        <v/>
      </c>
      <c r="X222" s="148" t="str">
        <f t="shared" si="180"/>
        <v/>
      </c>
      <c r="Y222" s="259"/>
      <c r="Z222" s="2"/>
      <c r="AA222" s="264">
        <v>218</v>
      </c>
      <c r="AB222" s="16" t="str">
        <f t="shared" si="190"/>
        <v/>
      </c>
      <c r="AC222" s="16" t="str">
        <f t="shared" si="191"/>
        <v/>
      </c>
      <c r="AD222" s="16" t="str">
        <f t="shared" si="185"/>
        <v/>
      </c>
      <c r="AE222" s="16" t="str">
        <f t="shared" si="186"/>
        <v/>
      </c>
      <c r="AF222" s="16" t="str">
        <f t="shared" si="187"/>
        <v/>
      </c>
      <c r="AG222" s="16" t="str">
        <f t="shared" si="192"/>
        <v/>
      </c>
      <c r="AH222" s="16" t="str">
        <f t="shared" si="193"/>
        <v/>
      </c>
      <c r="AI222" s="29" t="str">
        <f t="shared" si="188"/>
        <v/>
      </c>
      <c r="AJ222" s="29" t="str">
        <f t="shared" si="189"/>
        <v/>
      </c>
      <c r="AK222" s="2"/>
      <c r="AL222" s="2"/>
      <c r="AM222" s="2"/>
      <c r="AN222" s="2"/>
      <c r="AO222" s="2"/>
      <c r="AP222" s="2"/>
      <c r="AQ222" s="2"/>
      <c r="AR222" s="2"/>
      <c r="AS222" s="2"/>
      <c r="AT222" s="2"/>
      <c r="AU222" s="2"/>
      <c r="AV222" s="2"/>
      <c r="AW222" s="2"/>
      <c r="AX222" s="2"/>
      <c r="AY222" s="2"/>
      <c r="AZ222" s="2"/>
      <c r="BA222" s="2"/>
      <c r="BB222" s="2"/>
      <c r="BC222" s="2"/>
    </row>
    <row r="223" spans="1:55" x14ac:dyDescent="0.25">
      <c r="A223" s="260" t="str">
        <f t="shared" si="194"/>
        <v/>
      </c>
      <c r="B223" s="147" t="str">
        <f t="shared" si="195"/>
        <v/>
      </c>
      <c r="C223" s="148" t="str">
        <f t="shared" si="196"/>
        <v/>
      </c>
      <c r="D223" s="261" t="str">
        <f t="shared" si="197"/>
        <v/>
      </c>
      <c r="E223" s="147" t="str">
        <f t="shared" si="198"/>
        <v/>
      </c>
      <c r="F223" s="148" t="str">
        <f t="shared" si="199"/>
        <v/>
      </c>
      <c r="G223" s="261" t="str">
        <f t="shared" si="200"/>
        <v/>
      </c>
      <c r="H223" s="147" t="str">
        <f t="shared" si="201"/>
        <v/>
      </c>
      <c r="I223" s="148" t="str">
        <f t="shared" si="202"/>
        <v/>
      </c>
      <c r="J223" s="261" t="str">
        <f t="shared" si="203"/>
        <v/>
      </c>
      <c r="K223" s="147" t="str">
        <f t="shared" si="204"/>
        <v/>
      </c>
      <c r="L223" s="148" t="str">
        <f t="shared" si="205"/>
        <v/>
      </c>
      <c r="M223" s="261" t="str">
        <f t="shared" si="206"/>
        <v/>
      </c>
      <c r="N223" s="147" t="str">
        <f t="shared" si="207"/>
        <v/>
      </c>
      <c r="O223" s="148" t="str">
        <f t="shared" si="208"/>
        <v/>
      </c>
      <c r="P223" s="261" t="str">
        <f t="shared" si="209"/>
        <v/>
      </c>
      <c r="Q223" s="147" t="str">
        <f t="shared" si="210"/>
        <v/>
      </c>
      <c r="R223" s="148" t="str">
        <f t="shared" si="211"/>
        <v/>
      </c>
      <c r="S223" s="261" t="str">
        <f t="shared" si="175"/>
        <v/>
      </c>
      <c r="T223" s="147" t="str">
        <f t="shared" si="176"/>
        <v/>
      </c>
      <c r="U223" s="148" t="str">
        <f t="shared" si="177"/>
        <v/>
      </c>
      <c r="V223" s="261" t="str">
        <f t="shared" si="178"/>
        <v/>
      </c>
      <c r="W223" s="147" t="str">
        <f t="shared" si="179"/>
        <v/>
      </c>
      <c r="X223" s="148" t="str">
        <f t="shared" si="180"/>
        <v/>
      </c>
      <c r="Y223" s="259"/>
      <c r="Z223" s="2"/>
      <c r="AA223" s="264">
        <v>219</v>
      </c>
      <c r="AB223" s="16" t="str">
        <f t="shared" si="190"/>
        <v/>
      </c>
      <c r="AC223" s="16" t="str">
        <f t="shared" si="191"/>
        <v/>
      </c>
      <c r="AD223" s="16" t="str">
        <f t="shared" si="185"/>
        <v/>
      </c>
      <c r="AE223" s="16" t="str">
        <f t="shared" si="186"/>
        <v/>
      </c>
      <c r="AF223" s="16" t="str">
        <f t="shared" si="187"/>
        <v/>
      </c>
      <c r="AG223" s="16" t="str">
        <f t="shared" si="192"/>
        <v/>
      </c>
      <c r="AH223" s="16" t="str">
        <f t="shared" si="193"/>
        <v/>
      </c>
      <c r="AI223" s="29" t="str">
        <f t="shared" si="188"/>
        <v/>
      </c>
      <c r="AJ223" s="29" t="str">
        <f t="shared" si="189"/>
        <v/>
      </c>
      <c r="AK223" s="2"/>
      <c r="AL223" s="2"/>
      <c r="AM223" s="2"/>
      <c r="AN223" s="2"/>
      <c r="AO223" s="2"/>
      <c r="AP223" s="2"/>
      <c r="AQ223" s="2"/>
      <c r="AR223" s="2"/>
      <c r="AS223" s="2"/>
      <c r="AT223" s="2"/>
      <c r="AU223" s="2"/>
      <c r="AV223" s="2"/>
      <c r="AW223" s="2"/>
      <c r="AX223" s="2"/>
      <c r="AY223" s="2"/>
      <c r="AZ223" s="2"/>
      <c r="BA223" s="2"/>
      <c r="BB223" s="2"/>
      <c r="BC223" s="2"/>
    </row>
    <row r="224" spans="1:55" x14ac:dyDescent="0.25">
      <c r="A224" s="260" t="str">
        <f t="shared" si="194"/>
        <v/>
      </c>
      <c r="B224" s="147" t="str">
        <f t="shared" si="195"/>
        <v/>
      </c>
      <c r="C224" s="148" t="str">
        <f t="shared" si="196"/>
        <v/>
      </c>
      <c r="D224" s="261" t="str">
        <f t="shared" si="197"/>
        <v/>
      </c>
      <c r="E224" s="147" t="str">
        <f t="shared" si="198"/>
        <v/>
      </c>
      <c r="F224" s="148" t="str">
        <f t="shared" si="199"/>
        <v/>
      </c>
      <c r="G224" s="261" t="str">
        <f t="shared" si="200"/>
        <v/>
      </c>
      <c r="H224" s="147" t="str">
        <f t="shared" si="201"/>
        <v/>
      </c>
      <c r="I224" s="148" t="str">
        <f t="shared" si="202"/>
        <v/>
      </c>
      <c r="J224" s="261" t="str">
        <f t="shared" si="203"/>
        <v/>
      </c>
      <c r="K224" s="147" t="str">
        <f t="shared" si="204"/>
        <v/>
      </c>
      <c r="L224" s="148" t="str">
        <f t="shared" si="205"/>
        <v/>
      </c>
      <c r="M224" s="261" t="str">
        <f t="shared" si="206"/>
        <v/>
      </c>
      <c r="N224" s="147" t="str">
        <f t="shared" si="207"/>
        <v/>
      </c>
      <c r="O224" s="148" t="str">
        <f t="shared" si="208"/>
        <v/>
      </c>
      <c r="P224" s="261" t="str">
        <f t="shared" si="209"/>
        <v/>
      </c>
      <c r="Q224" s="147" t="str">
        <f t="shared" si="210"/>
        <v/>
      </c>
      <c r="R224" s="148" t="str">
        <f t="shared" si="211"/>
        <v/>
      </c>
      <c r="S224" s="261" t="str">
        <f t="shared" si="175"/>
        <v/>
      </c>
      <c r="T224" s="147" t="str">
        <f t="shared" si="176"/>
        <v/>
      </c>
      <c r="U224" s="148" t="str">
        <f t="shared" si="177"/>
        <v/>
      </c>
      <c r="V224" s="261" t="str">
        <f t="shared" si="178"/>
        <v/>
      </c>
      <c r="W224" s="147" t="str">
        <f t="shared" si="179"/>
        <v/>
      </c>
      <c r="X224" s="148" t="str">
        <f t="shared" si="180"/>
        <v/>
      </c>
      <c r="Y224" s="259"/>
      <c r="Z224" s="2"/>
      <c r="AA224" s="264">
        <v>220</v>
      </c>
      <c r="AB224" s="16" t="str">
        <f t="shared" si="190"/>
        <v/>
      </c>
      <c r="AC224" s="16" t="str">
        <f t="shared" si="191"/>
        <v/>
      </c>
      <c r="AD224" s="16" t="str">
        <f t="shared" si="185"/>
        <v/>
      </c>
      <c r="AE224" s="16" t="str">
        <f t="shared" si="186"/>
        <v/>
      </c>
      <c r="AF224" s="16" t="str">
        <f t="shared" si="187"/>
        <v/>
      </c>
      <c r="AG224" s="16" t="str">
        <f t="shared" si="192"/>
        <v/>
      </c>
      <c r="AH224" s="16" t="str">
        <f t="shared" si="193"/>
        <v/>
      </c>
      <c r="AI224" s="29" t="str">
        <f t="shared" si="188"/>
        <v/>
      </c>
      <c r="AJ224" s="29" t="str">
        <f t="shared" si="189"/>
        <v/>
      </c>
      <c r="AK224" s="2"/>
      <c r="AL224" s="2"/>
      <c r="AM224" s="2"/>
      <c r="AN224" s="2"/>
      <c r="AO224" s="2"/>
      <c r="AP224" s="2"/>
      <c r="AQ224" s="2"/>
      <c r="AR224" s="2"/>
      <c r="AS224" s="2"/>
      <c r="AT224" s="2"/>
      <c r="AU224" s="2"/>
      <c r="AV224" s="2"/>
      <c r="AW224" s="2"/>
      <c r="AX224" s="2"/>
      <c r="AY224" s="2"/>
      <c r="AZ224" s="2"/>
      <c r="BA224" s="2"/>
      <c r="BB224" s="2"/>
      <c r="BC224" s="2"/>
    </row>
    <row r="225" spans="1:55" x14ac:dyDescent="0.25">
      <c r="A225" s="260" t="str">
        <f t="shared" si="194"/>
        <v/>
      </c>
      <c r="B225" s="147" t="str">
        <f t="shared" si="195"/>
        <v/>
      </c>
      <c r="C225" s="148" t="str">
        <f t="shared" si="196"/>
        <v/>
      </c>
      <c r="D225" s="261" t="str">
        <f t="shared" si="197"/>
        <v/>
      </c>
      <c r="E225" s="147" t="str">
        <f t="shared" si="198"/>
        <v/>
      </c>
      <c r="F225" s="148" t="str">
        <f t="shared" si="199"/>
        <v/>
      </c>
      <c r="G225" s="261" t="str">
        <f t="shared" si="200"/>
        <v/>
      </c>
      <c r="H225" s="147" t="str">
        <f t="shared" si="201"/>
        <v/>
      </c>
      <c r="I225" s="148" t="str">
        <f t="shared" si="202"/>
        <v/>
      </c>
      <c r="J225" s="261" t="str">
        <f t="shared" si="203"/>
        <v/>
      </c>
      <c r="K225" s="147" t="str">
        <f t="shared" si="204"/>
        <v/>
      </c>
      <c r="L225" s="148" t="str">
        <f t="shared" si="205"/>
        <v/>
      </c>
      <c r="M225" s="261" t="str">
        <f t="shared" si="206"/>
        <v/>
      </c>
      <c r="N225" s="147" t="str">
        <f t="shared" si="207"/>
        <v/>
      </c>
      <c r="O225" s="148" t="str">
        <f t="shared" si="208"/>
        <v/>
      </c>
      <c r="P225" s="261" t="str">
        <f t="shared" si="209"/>
        <v/>
      </c>
      <c r="Q225" s="147" t="str">
        <f t="shared" si="210"/>
        <v/>
      </c>
      <c r="R225" s="148" t="str">
        <f t="shared" si="211"/>
        <v/>
      </c>
      <c r="S225" s="261" t="str">
        <f t="shared" si="175"/>
        <v/>
      </c>
      <c r="T225" s="147" t="str">
        <f t="shared" si="176"/>
        <v/>
      </c>
      <c r="U225" s="148" t="str">
        <f t="shared" si="177"/>
        <v/>
      </c>
      <c r="V225" s="261" t="str">
        <f t="shared" si="178"/>
        <v/>
      </c>
      <c r="W225" s="147" t="str">
        <f t="shared" si="179"/>
        <v/>
      </c>
      <c r="X225" s="148" t="str">
        <f t="shared" si="180"/>
        <v/>
      </c>
      <c r="Y225" s="259"/>
      <c r="Z225" s="2"/>
      <c r="AA225" s="264">
        <v>221</v>
      </c>
      <c r="AB225" s="16" t="str">
        <f t="shared" si="190"/>
        <v/>
      </c>
      <c r="AC225" s="16" t="str">
        <f t="shared" si="191"/>
        <v/>
      </c>
      <c r="AD225" s="16" t="str">
        <f t="shared" si="185"/>
        <v/>
      </c>
      <c r="AE225" s="16" t="str">
        <f t="shared" si="186"/>
        <v/>
      </c>
      <c r="AF225" s="16" t="str">
        <f t="shared" si="187"/>
        <v/>
      </c>
      <c r="AG225" s="16" t="str">
        <f t="shared" si="192"/>
        <v/>
      </c>
      <c r="AH225" s="16" t="str">
        <f t="shared" si="193"/>
        <v/>
      </c>
      <c r="AI225" s="29" t="str">
        <f t="shared" si="188"/>
        <v/>
      </c>
      <c r="AJ225" s="29" t="str">
        <f t="shared" si="189"/>
        <v/>
      </c>
      <c r="AK225" s="2"/>
      <c r="AL225" s="2"/>
      <c r="AM225" s="2"/>
      <c r="AN225" s="2"/>
      <c r="AO225" s="2"/>
      <c r="AP225" s="2"/>
      <c r="AQ225" s="2"/>
      <c r="AR225" s="2"/>
      <c r="AS225" s="2"/>
      <c r="AT225" s="2"/>
      <c r="AU225" s="2"/>
      <c r="AV225" s="2"/>
      <c r="AW225" s="2"/>
      <c r="AX225" s="2"/>
      <c r="AY225" s="2"/>
      <c r="AZ225" s="2"/>
      <c r="BA225" s="2"/>
      <c r="BB225" s="2"/>
      <c r="BC225" s="2"/>
    </row>
    <row r="226" spans="1:55" x14ac:dyDescent="0.25">
      <c r="A226" s="260" t="str">
        <f t="shared" si="194"/>
        <v/>
      </c>
      <c r="B226" s="147" t="str">
        <f t="shared" si="195"/>
        <v/>
      </c>
      <c r="C226" s="148" t="str">
        <f t="shared" si="196"/>
        <v/>
      </c>
      <c r="D226" s="261" t="str">
        <f t="shared" si="197"/>
        <v/>
      </c>
      <c r="E226" s="147" t="str">
        <f t="shared" si="198"/>
        <v/>
      </c>
      <c r="F226" s="148" t="str">
        <f t="shared" si="199"/>
        <v/>
      </c>
      <c r="G226" s="261" t="str">
        <f t="shared" si="200"/>
        <v/>
      </c>
      <c r="H226" s="147" t="str">
        <f t="shared" si="201"/>
        <v/>
      </c>
      <c r="I226" s="148" t="str">
        <f t="shared" si="202"/>
        <v/>
      </c>
      <c r="J226" s="261" t="str">
        <f t="shared" si="203"/>
        <v/>
      </c>
      <c r="K226" s="147" t="str">
        <f t="shared" si="204"/>
        <v/>
      </c>
      <c r="L226" s="148" t="str">
        <f t="shared" si="205"/>
        <v/>
      </c>
      <c r="M226" s="261" t="str">
        <f t="shared" si="206"/>
        <v/>
      </c>
      <c r="N226" s="147" t="str">
        <f t="shared" si="207"/>
        <v/>
      </c>
      <c r="O226" s="148" t="str">
        <f t="shared" si="208"/>
        <v/>
      </c>
      <c r="P226" s="261" t="str">
        <f t="shared" si="209"/>
        <v/>
      </c>
      <c r="Q226" s="147" t="str">
        <f t="shared" si="210"/>
        <v/>
      </c>
      <c r="R226" s="148" t="str">
        <f t="shared" si="211"/>
        <v/>
      </c>
      <c r="S226" s="261" t="str">
        <f t="shared" si="175"/>
        <v/>
      </c>
      <c r="T226" s="147" t="str">
        <f t="shared" si="176"/>
        <v/>
      </c>
      <c r="U226" s="148" t="str">
        <f t="shared" si="177"/>
        <v/>
      </c>
      <c r="V226" s="261" t="str">
        <f t="shared" si="178"/>
        <v/>
      </c>
      <c r="W226" s="147" t="str">
        <f t="shared" si="179"/>
        <v/>
      </c>
      <c r="X226" s="148" t="str">
        <f t="shared" si="180"/>
        <v/>
      </c>
      <c r="Y226" s="259"/>
      <c r="Z226" s="2"/>
      <c r="AA226" s="264">
        <v>222</v>
      </c>
      <c r="AB226" s="16" t="str">
        <f t="shared" si="190"/>
        <v/>
      </c>
      <c r="AC226" s="16" t="str">
        <f t="shared" si="191"/>
        <v/>
      </c>
      <c r="AD226" s="16" t="str">
        <f t="shared" si="185"/>
        <v/>
      </c>
      <c r="AE226" s="16" t="str">
        <f t="shared" si="186"/>
        <v/>
      </c>
      <c r="AF226" s="16" t="str">
        <f t="shared" si="187"/>
        <v/>
      </c>
      <c r="AG226" s="16" t="str">
        <f t="shared" si="192"/>
        <v/>
      </c>
      <c r="AH226" s="16" t="str">
        <f t="shared" si="193"/>
        <v/>
      </c>
      <c r="AI226" s="29" t="str">
        <f t="shared" si="188"/>
        <v/>
      </c>
      <c r="AJ226" s="29" t="str">
        <f t="shared" si="189"/>
        <v/>
      </c>
      <c r="AK226" s="2"/>
      <c r="AL226" s="2"/>
      <c r="AM226" s="2"/>
      <c r="AN226" s="2"/>
      <c r="AO226" s="2"/>
      <c r="AP226" s="2"/>
      <c r="AQ226" s="2"/>
      <c r="AR226" s="2"/>
      <c r="AS226" s="2"/>
      <c r="AT226" s="2"/>
      <c r="AU226" s="2"/>
      <c r="AV226" s="2"/>
      <c r="AW226" s="2"/>
      <c r="AX226" s="2"/>
      <c r="AY226" s="2"/>
      <c r="AZ226" s="2"/>
      <c r="BA226" s="2"/>
      <c r="BB226" s="2"/>
      <c r="BC226" s="2"/>
    </row>
    <row r="227" spans="1:55" x14ac:dyDescent="0.25">
      <c r="A227" s="260" t="str">
        <f t="shared" si="194"/>
        <v/>
      </c>
      <c r="B227" s="147" t="str">
        <f t="shared" si="195"/>
        <v/>
      </c>
      <c r="C227" s="148" t="str">
        <f t="shared" si="196"/>
        <v/>
      </c>
      <c r="D227" s="261" t="str">
        <f t="shared" si="197"/>
        <v/>
      </c>
      <c r="E227" s="147" t="str">
        <f t="shared" si="198"/>
        <v/>
      </c>
      <c r="F227" s="148" t="str">
        <f t="shared" si="199"/>
        <v/>
      </c>
      <c r="G227" s="261" t="str">
        <f t="shared" si="200"/>
        <v/>
      </c>
      <c r="H227" s="147" t="str">
        <f t="shared" si="201"/>
        <v/>
      </c>
      <c r="I227" s="148" t="str">
        <f t="shared" si="202"/>
        <v/>
      </c>
      <c r="J227" s="261" t="str">
        <f t="shared" si="203"/>
        <v/>
      </c>
      <c r="K227" s="147" t="str">
        <f t="shared" si="204"/>
        <v/>
      </c>
      <c r="L227" s="148" t="str">
        <f t="shared" si="205"/>
        <v/>
      </c>
      <c r="M227" s="261" t="str">
        <f t="shared" si="206"/>
        <v/>
      </c>
      <c r="N227" s="147" t="str">
        <f t="shared" si="207"/>
        <v/>
      </c>
      <c r="O227" s="148" t="str">
        <f t="shared" si="208"/>
        <v/>
      </c>
      <c r="P227" s="261" t="str">
        <f t="shared" si="209"/>
        <v/>
      </c>
      <c r="Q227" s="147" t="str">
        <f t="shared" si="210"/>
        <v/>
      </c>
      <c r="R227" s="148" t="str">
        <f t="shared" si="211"/>
        <v/>
      </c>
      <c r="S227" s="261" t="str">
        <f t="shared" si="175"/>
        <v/>
      </c>
      <c r="T227" s="147" t="str">
        <f t="shared" si="176"/>
        <v/>
      </c>
      <c r="U227" s="148" t="str">
        <f t="shared" si="177"/>
        <v/>
      </c>
      <c r="V227" s="261" t="str">
        <f t="shared" si="178"/>
        <v/>
      </c>
      <c r="W227" s="147" t="str">
        <f t="shared" si="179"/>
        <v/>
      </c>
      <c r="X227" s="148" t="str">
        <f t="shared" si="180"/>
        <v/>
      </c>
      <c r="Y227" s="259"/>
      <c r="Z227" s="2"/>
      <c r="AA227" s="264">
        <v>223</v>
      </c>
      <c r="AB227" s="16" t="str">
        <f t="shared" si="190"/>
        <v/>
      </c>
      <c r="AC227" s="16" t="str">
        <f t="shared" si="191"/>
        <v/>
      </c>
      <c r="AD227" s="16" t="str">
        <f t="shared" si="185"/>
        <v/>
      </c>
      <c r="AE227" s="16" t="str">
        <f t="shared" si="186"/>
        <v/>
      </c>
      <c r="AF227" s="16" t="str">
        <f t="shared" si="187"/>
        <v/>
      </c>
      <c r="AG227" s="16" t="str">
        <f t="shared" si="192"/>
        <v/>
      </c>
      <c r="AH227" s="16" t="str">
        <f t="shared" si="193"/>
        <v/>
      </c>
      <c r="AI227" s="29" t="str">
        <f t="shared" si="188"/>
        <v/>
      </c>
      <c r="AJ227" s="29" t="str">
        <f t="shared" si="189"/>
        <v/>
      </c>
      <c r="AK227" s="2"/>
      <c r="AL227" s="2"/>
      <c r="AM227" s="2"/>
      <c r="AN227" s="2"/>
      <c r="AO227" s="2"/>
      <c r="AP227" s="2"/>
      <c r="AQ227" s="2"/>
      <c r="AR227" s="2"/>
      <c r="AS227" s="2"/>
      <c r="AT227" s="2"/>
      <c r="AU227" s="2"/>
      <c r="AV227" s="2"/>
      <c r="AW227" s="2"/>
      <c r="AX227" s="2"/>
      <c r="AY227" s="2"/>
      <c r="AZ227" s="2"/>
      <c r="BA227" s="2"/>
      <c r="BB227" s="2"/>
      <c r="BC227" s="2"/>
    </row>
    <row r="228" spans="1:55" x14ac:dyDescent="0.25">
      <c r="A228" s="260" t="str">
        <f t="shared" si="194"/>
        <v/>
      </c>
      <c r="B228" s="147" t="str">
        <f t="shared" si="195"/>
        <v/>
      </c>
      <c r="C228" s="148" t="str">
        <f t="shared" si="196"/>
        <v/>
      </c>
      <c r="D228" s="261" t="str">
        <f t="shared" si="197"/>
        <v/>
      </c>
      <c r="E228" s="147" t="str">
        <f t="shared" si="198"/>
        <v/>
      </c>
      <c r="F228" s="148" t="str">
        <f t="shared" si="199"/>
        <v/>
      </c>
      <c r="G228" s="261" t="str">
        <f t="shared" si="200"/>
        <v/>
      </c>
      <c r="H228" s="147" t="str">
        <f t="shared" si="201"/>
        <v/>
      </c>
      <c r="I228" s="148" t="str">
        <f t="shared" si="202"/>
        <v/>
      </c>
      <c r="J228" s="261" t="str">
        <f t="shared" si="203"/>
        <v/>
      </c>
      <c r="K228" s="147" t="str">
        <f t="shared" si="204"/>
        <v/>
      </c>
      <c r="L228" s="148" t="str">
        <f t="shared" si="205"/>
        <v/>
      </c>
      <c r="M228" s="261" t="str">
        <f t="shared" si="206"/>
        <v/>
      </c>
      <c r="N228" s="147" t="str">
        <f t="shared" si="207"/>
        <v/>
      </c>
      <c r="O228" s="148" t="str">
        <f t="shared" si="208"/>
        <v/>
      </c>
      <c r="P228" s="261" t="str">
        <f t="shared" si="209"/>
        <v/>
      </c>
      <c r="Q228" s="147" t="str">
        <f t="shared" si="210"/>
        <v/>
      </c>
      <c r="R228" s="148" t="str">
        <f t="shared" si="211"/>
        <v/>
      </c>
      <c r="S228" s="261" t="str">
        <f t="shared" si="175"/>
        <v/>
      </c>
      <c r="T228" s="147" t="str">
        <f t="shared" si="176"/>
        <v/>
      </c>
      <c r="U228" s="148" t="str">
        <f t="shared" si="177"/>
        <v/>
      </c>
      <c r="V228" s="261" t="str">
        <f t="shared" si="178"/>
        <v/>
      </c>
      <c r="W228" s="147" t="str">
        <f t="shared" si="179"/>
        <v/>
      </c>
      <c r="X228" s="148" t="str">
        <f t="shared" si="180"/>
        <v/>
      </c>
      <c r="Y228" s="259"/>
      <c r="Z228" s="2"/>
      <c r="AA228" s="264">
        <v>224</v>
      </c>
      <c r="AB228" s="16" t="str">
        <f t="shared" si="190"/>
        <v/>
      </c>
      <c r="AC228" s="16" t="str">
        <f t="shared" si="191"/>
        <v/>
      </c>
      <c r="AD228" s="16" t="str">
        <f t="shared" si="185"/>
        <v/>
      </c>
      <c r="AE228" s="16" t="str">
        <f t="shared" si="186"/>
        <v/>
      </c>
      <c r="AF228" s="16" t="str">
        <f t="shared" si="187"/>
        <v/>
      </c>
      <c r="AG228" s="16" t="str">
        <f t="shared" si="192"/>
        <v/>
      </c>
      <c r="AH228" s="16" t="str">
        <f t="shared" si="193"/>
        <v/>
      </c>
      <c r="AI228" s="29" t="str">
        <f t="shared" si="188"/>
        <v/>
      </c>
      <c r="AJ228" s="29" t="str">
        <f t="shared" si="189"/>
        <v/>
      </c>
      <c r="AK228" s="2"/>
      <c r="AL228" s="2"/>
      <c r="AM228" s="2"/>
      <c r="AN228" s="2"/>
      <c r="AO228" s="2"/>
      <c r="AP228" s="2"/>
      <c r="AQ228" s="2"/>
      <c r="AR228" s="2"/>
      <c r="AS228" s="2"/>
      <c r="AT228" s="2"/>
      <c r="AU228" s="2"/>
      <c r="AV228" s="2"/>
      <c r="AW228" s="2"/>
      <c r="AX228" s="2"/>
      <c r="AY228" s="2"/>
      <c r="AZ228" s="2"/>
      <c r="BA228" s="2"/>
      <c r="BB228" s="2"/>
      <c r="BC228" s="2"/>
    </row>
    <row r="229" spans="1:55" x14ac:dyDescent="0.25">
      <c r="A229" s="260" t="str">
        <f t="shared" si="194"/>
        <v/>
      </c>
      <c r="B229" s="154" t="str">
        <f t="shared" si="195"/>
        <v/>
      </c>
      <c r="C229" s="155" t="str">
        <f t="shared" si="196"/>
        <v/>
      </c>
      <c r="D229" s="261" t="str">
        <f t="shared" si="197"/>
        <v/>
      </c>
      <c r="E229" s="154" t="str">
        <f t="shared" si="198"/>
        <v/>
      </c>
      <c r="F229" s="155" t="str">
        <f t="shared" si="199"/>
        <v/>
      </c>
      <c r="G229" s="261" t="str">
        <f t="shared" si="200"/>
        <v/>
      </c>
      <c r="H229" s="154" t="str">
        <f t="shared" si="201"/>
        <v/>
      </c>
      <c r="I229" s="155" t="str">
        <f t="shared" si="202"/>
        <v/>
      </c>
      <c r="J229" s="261" t="str">
        <f t="shared" si="203"/>
        <v/>
      </c>
      <c r="K229" s="154" t="str">
        <f t="shared" si="204"/>
        <v/>
      </c>
      <c r="L229" s="155" t="str">
        <f t="shared" si="205"/>
        <v/>
      </c>
      <c r="M229" s="261" t="str">
        <f t="shared" si="206"/>
        <v/>
      </c>
      <c r="N229" s="154" t="str">
        <f t="shared" si="207"/>
        <v/>
      </c>
      <c r="O229" s="155" t="str">
        <f t="shared" si="208"/>
        <v/>
      </c>
      <c r="P229" s="261" t="str">
        <f t="shared" si="209"/>
        <v/>
      </c>
      <c r="Q229" s="154" t="str">
        <f t="shared" si="210"/>
        <v/>
      </c>
      <c r="R229" s="155" t="str">
        <f t="shared" si="211"/>
        <v/>
      </c>
      <c r="S229" s="261" t="str">
        <f t="shared" si="175"/>
        <v/>
      </c>
      <c r="T229" s="154" t="str">
        <f t="shared" si="176"/>
        <v/>
      </c>
      <c r="U229" s="155" t="str">
        <f t="shared" si="177"/>
        <v/>
      </c>
      <c r="V229" s="261" t="str">
        <f t="shared" si="178"/>
        <v/>
      </c>
      <c r="W229" s="154" t="str">
        <f t="shared" si="179"/>
        <v/>
      </c>
      <c r="X229" s="155" t="str">
        <f t="shared" si="180"/>
        <v/>
      </c>
      <c r="Y229" s="259"/>
      <c r="Z229" s="2"/>
      <c r="AA229" s="264">
        <v>225</v>
      </c>
      <c r="AB229" s="16" t="str">
        <f t="shared" si="190"/>
        <v/>
      </c>
      <c r="AC229" s="16" t="str">
        <f t="shared" si="191"/>
        <v/>
      </c>
      <c r="AD229" s="16" t="str">
        <f t="shared" si="185"/>
        <v/>
      </c>
      <c r="AE229" s="16" t="str">
        <f t="shared" si="186"/>
        <v/>
      </c>
      <c r="AF229" s="16" t="str">
        <f t="shared" si="187"/>
        <v/>
      </c>
      <c r="AG229" s="16" t="str">
        <f t="shared" si="192"/>
        <v/>
      </c>
      <c r="AH229" s="16" t="str">
        <f t="shared" si="193"/>
        <v/>
      </c>
      <c r="AI229" s="29" t="str">
        <f t="shared" si="188"/>
        <v/>
      </c>
      <c r="AJ229" s="29" t="str">
        <f t="shared" si="189"/>
        <v/>
      </c>
      <c r="AK229" s="2"/>
      <c r="AL229" s="2"/>
      <c r="AM229" s="2"/>
      <c r="AN229" s="2"/>
      <c r="AO229" s="2"/>
      <c r="AP229" s="2"/>
      <c r="AQ229" s="2"/>
      <c r="AR229" s="2"/>
      <c r="AS229" s="2"/>
      <c r="AT229" s="2"/>
      <c r="AU229" s="2"/>
      <c r="AV229" s="2"/>
      <c r="AW229" s="2"/>
      <c r="AX229" s="2"/>
      <c r="AY229" s="2"/>
      <c r="AZ229" s="2"/>
      <c r="BA229" s="2"/>
      <c r="BB229" s="2"/>
      <c r="BC229" s="2"/>
    </row>
    <row r="230" spans="1:55" x14ac:dyDescent="0.25">
      <c r="A230" s="48"/>
      <c r="B230" s="54"/>
      <c r="C230" s="54"/>
      <c r="D230" s="54"/>
      <c r="E230" s="54"/>
      <c r="F230" s="54"/>
      <c r="G230" s="54"/>
      <c r="H230" s="54"/>
      <c r="I230" s="54"/>
      <c r="J230" s="2"/>
      <c r="K230" s="2"/>
      <c r="L230" s="2"/>
      <c r="M230" s="2"/>
      <c r="N230" s="2"/>
      <c r="O230" s="2"/>
      <c r="P230" s="2"/>
      <c r="Q230" s="2"/>
      <c r="R230" s="2"/>
      <c r="S230" s="2"/>
      <c r="T230" s="2"/>
      <c r="U230" s="2"/>
      <c r="V230" s="2"/>
      <c r="W230" s="2"/>
      <c r="X230" s="2"/>
      <c r="Y230" s="259"/>
      <c r="Z230" s="2"/>
      <c r="AA230" s="264">
        <v>226</v>
      </c>
      <c r="AB230" s="16" t="str">
        <f t="shared" si="190"/>
        <v/>
      </c>
      <c r="AC230" s="16" t="str">
        <f t="shared" si="191"/>
        <v/>
      </c>
      <c r="AD230" s="16" t="str">
        <f t="shared" si="185"/>
        <v/>
      </c>
      <c r="AE230" s="16" t="str">
        <f t="shared" si="186"/>
        <v/>
      </c>
      <c r="AF230" s="16" t="str">
        <f t="shared" si="187"/>
        <v/>
      </c>
      <c r="AG230" s="16" t="str">
        <f t="shared" si="192"/>
        <v/>
      </c>
      <c r="AH230" s="16" t="str">
        <f t="shared" si="193"/>
        <v/>
      </c>
      <c r="AI230" s="29" t="str">
        <f t="shared" si="188"/>
        <v/>
      </c>
      <c r="AJ230" s="29" t="str">
        <f t="shared" si="189"/>
        <v/>
      </c>
      <c r="AK230" s="2"/>
      <c r="AL230" s="2"/>
      <c r="AM230" s="2"/>
      <c r="AN230" s="2"/>
      <c r="AO230" s="2"/>
      <c r="AP230" s="2"/>
      <c r="AQ230" s="2"/>
      <c r="AR230" s="2"/>
      <c r="AS230" s="2"/>
      <c r="AT230" s="2"/>
      <c r="AU230" s="2"/>
      <c r="AV230" s="2"/>
      <c r="AW230" s="2"/>
      <c r="AX230" s="2"/>
      <c r="AY230" s="2"/>
      <c r="AZ230" s="2"/>
      <c r="BA230" s="2"/>
      <c r="BB230" s="2"/>
      <c r="BC230" s="2"/>
    </row>
    <row r="231" spans="1:55" x14ac:dyDescent="0.25">
      <c r="A231" s="79"/>
      <c r="B231" s="106"/>
      <c r="C231" s="106"/>
      <c r="D231" s="106"/>
      <c r="E231" s="106"/>
      <c r="F231" s="106"/>
      <c r="G231" s="106"/>
      <c r="H231" s="106"/>
      <c r="I231" s="106"/>
      <c r="J231" s="273"/>
      <c r="K231" s="273"/>
      <c r="L231" s="273"/>
      <c r="M231" s="273"/>
      <c r="N231" s="273"/>
      <c r="O231" s="273"/>
      <c r="P231" s="273"/>
      <c r="Q231" s="273"/>
      <c r="R231" s="273"/>
      <c r="S231" s="273"/>
      <c r="T231" s="273"/>
      <c r="U231" s="273"/>
      <c r="V231" s="273"/>
      <c r="W231" s="273"/>
      <c r="X231" s="273"/>
      <c r="Y231" s="274"/>
      <c r="Z231" s="2"/>
      <c r="AA231" s="264">
        <v>227</v>
      </c>
      <c r="AB231" s="16" t="str">
        <f t="shared" si="190"/>
        <v/>
      </c>
      <c r="AC231" s="16" t="str">
        <f t="shared" si="191"/>
        <v/>
      </c>
      <c r="AD231" s="16" t="str">
        <f t="shared" si="185"/>
        <v/>
      </c>
      <c r="AE231" s="16" t="str">
        <f t="shared" si="186"/>
        <v/>
      </c>
      <c r="AF231" s="16" t="str">
        <f t="shared" si="187"/>
        <v/>
      </c>
      <c r="AG231" s="16" t="str">
        <f t="shared" si="192"/>
        <v/>
      </c>
      <c r="AH231" s="16" t="str">
        <f t="shared" si="193"/>
        <v/>
      </c>
      <c r="AI231" s="29" t="str">
        <f t="shared" si="188"/>
        <v/>
      </c>
      <c r="AJ231" s="29" t="str">
        <f t="shared" si="189"/>
        <v/>
      </c>
      <c r="AK231" s="2"/>
      <c r="AL231" s="2"/>
      <c r="AM231" s="2"/>
      <c r="AN231" s="2"/>
      <c r="AO231" s="2"/>
      <c r="AP231" s="2"/>
      <c r="AQ231" s="2"/>
      <c r="AR231" s="2"/>
      <c r="AS231" s="2"/>
      <c r="AT231" s="2"/>
      <c r="AU231" s="2"/>
      <c r="AV231" s="2"/>
      <c r="AW231" s="2"/>
      <c r="AX231" s="2"/>
      <c r="AY231" s="2"/>
      <c r="AZ231" s="2"/>
      <c r="BA231" s="2"/>
      <c r="BB231" s="2"/>
      <c r="BC231" s="2"/>
    </row>
    <row r="232" spans="1:55" x14ac:dyDescent="0.25">
      <c r="D232" s="54"/>
      <c r="E232" s="54"/>
      <c r="F232" s="54"/>
      <c r="G232" s="54"/>
      <c r="H232" s="54"/>
      <c r="I232" s="54"/>
      <c r="J232" s="2"/>
      <c r="K232" s="2"/>
      <c r="L232" s="2"/>
      <c r="M232" s="2"/>
      <c r="N232" s="2"/>
      <c r="O232" s="2"/>
      <c r="P232" s="2"/>
      <c r="Q232" s="2"/>
      <c r="R232" s="2"/>
      <c r="S232" s="2"/>
      <c r="T232" s="2"/>
      <c r="U232" s="2"/>
      <c r="V232" s="2"/>
      <c r="W232" s="2"/>
      <c r="X232" s="2"/>
      <c r="Y232" s="2"/>
      <c r="Z232" s="2"/>
      <c r="AA232" s="264">
        <v>228</v>
      </c>
      <c r="AB232" s="16" t="str">
        <f t="shared" si="190"/>
        <v/>
      </c>
      <c r="AC232" s="16" t="str">
        <f t="shared" si="191"/>
        <v/>
      </c>
      <c r="AD232" s="16" t="str">
        <f t="shared" si="185"/>
        <v/>
      </c>
      <c r="AE232" s="16" t="str">
        <f t="shared" si="186"/>
        <v/>
      </c>
      <c r="AF232" s="16" t="str">
        <f t="shared" si="187"/>
        <v/>
      </c>
      <c r="AG232" s="16" t="str">
        <f t="shared" si="192"/>
        <v/>
      </c>
      <c r="AH232" s="16" t="str">
        <f t="shared" si="193"/>
        <v/>
      </c>
      <c r="AI232" s="29" t="str">
        <f t="shared" si="188"/>
        <v/>
      </c>
      <c r="AJ232" s="29" t="str">
        <f t="shared" si="189"/>
        <v/>
      </c>
      <c r="AK232" s="2"/>
      <c r="AL232" s="2"/>
      <c r="AM232" s="2"/>
      <c r="AN232" s="2"/>
      <c r="AO232" s="2"/>
      <c r="AP232" s="2"/>
      <c r="AQ232" s="2"/>
      <c r="AR232" s="2"/>
      <c r="AS232" s="2"/>
      <c r="AT232" s="2"/>
      <c r="AU232" s="2"/>
      <c r="AV232" s="2"/>
      <c r="AW232" s="2"/>
      <c r="AX232" s="2"/>
      <c r="AY232" s="2"/>
      <c r="AZ232" s="2"/>
      <c r="BA232" s="2"/>
      <c r="BB232" s="2"/>
      <c r="BC232" s="2"/>
    </row>
    <row r="233" spans="1:55" x14ac:dyDescent="0.25">
      <c r="D233" s="54"/>
      <c r="E233" s="54"/>
      <c r="F233" s="54"/>
      <c r="G233" s="54"/>
      <c r="H233" s="54"/>
      <c r="I233" s="54"/>
      <c r="J233" s="2"/>
      <c r="K233" s="2"/>
      <c r="L233" s="2"/>
      <c r="M233" s="2"/>
      <c r="N233" s="2"/>
      <c r="O233" s="2"/>
      <c r="P233" s="2"/>
      <c r="Q233" s="2"/>
      <c r="R233" s="2"/>
      <c r="S233" s="2"/>
      <c r="T233" s="2"/>
      <c r="U233" s="2"/>
      <c r="V233" s="2"/>
      <c r="W233" s="2"/>
      <c r="X233" s="2"/>
      <c r="Y233" s="2"/>
      <c r="Z233" s="2"/>
      <c r="AA233" s="264">
        <v>229</v>
      </c>
      <c r="AB233" s="16" t="str">
        <f t="shared" si="190"/>
        <v/>
      </c>
      <c r="AC233" s="16" t="str">
        <f t="shared" si="191"/>
        <v/>
      </c>
      <c r="AD233" s="16" t="str">
        <f t="shared" si="185"/>
        <v/>
      </c>
      <c r="AE233" s="16" t="str">
        <f t="shared" si="186"/>
        <v/>
      </c>
      <c r="AF233" s="16" t="str">
        <f t="shared" si="187"/>
        <v/>
      </c>
      <c r="AG233" s="16" t="str">
        <f t="shared" si="192"/>
        <v/>
      </c>
      <c r="AH233" s="16" t="str">
        <f t="shared" si="193"/>
        <v/>
      </c>
      <c r="AI233" s="29" t="str">
        <f t="shared" si="188"/>
        <v/>
      </c>
      <c r="AJ233" s="29" t="str">
        <f t="shared" si="189"/>
        <v/>
      </c>
      <c r="AK233" s="2"/>
      <c r="AL233" s="2"/>
      <c r="AM233" s="2"/>
      <c r="AN233" s="2"/>
      <c r="AO233" s="2"/>
      <c r="AP233" s="2"/>
      <c r="AQ233" s="2"/>
      <c r="AR233" s="2"/>
      <c r="AS233" s="2"/>
      <c r="AT233" s="2"/>
      <c r="AU233" s="2"/>
      <c r="AV233" s="2"/>
      <c r="AW233" s="2"/>
      <c r="AX233" s="2"/>
      <c r="AY233" s="2"/>
      <c r="AZ233" s="2"/>
      <c r="BA233" s="2"/>
      <c r="BB233" s="2"/>
      <c r="BC233" s="2"/>
    </row>
    <row r="234" spans="1:55" x14ac:dyDescent="0.25">
      <c r="D234" s="54"/>
      <c r="E234" s="54"/>
      <c r="F234" s="54"/>
      <c r="G234" s="54"/>
      <c r="H234" s="54"/>
      <c r="I234" s="54"/>
      <c r="J234" s="2"/>
      <c r="K234" s="2"/>
      <c r="L234" s="2"/>
      <c r="M234" s="2"/>
      <c r="N234" s="2"/>
      <c r="O234" s="2"/>
      <c r="P234" s="2"/>
      <c r="Q234" s="2"/>
      <c r="R234" s="2"/>
      <c r="S234" s="2"/>
      <c r="T234" s="2"/>
      <c r="U234" s="2"/>
      <c r="V234" s="2"/>
      <c r="W234" s="2"/>
      <c r="X234" s="2"/>
      <c r="Y234" s="2"/>
      <c r="Z234" s="2"/>
      <c r="AA234" s="264">
        <v>230</v>
      </c>
      <c r="AB234" s="16" t="str">
        <f t="shared" si="190"/>
        <v/>
      </c>
      <c r="AC234" s="16" t="str">
        <f t="shared" si="191"/>
        <v/>
      </c>
      <c r="AD234" s="16" t="str">
        <f t="shared" si="185"/>
        <v/>
      </c>
      <c r="AE234" s="16" t="str">
        <f t="shared" si="186"/>
        <v/>
      </c>
      <c r="AF234" s="16" t="str">
        <f t="shared" si="187"/>
        <v/>
      </c>
      <c r="AG234" s="16" t="str">
        <f t="shared" si="192"/>
        <v/>
      </c>
      <c r="AH234" s="16" t="str">
        <f t="shared" si="193"/>
        <v/>
      </c>
      <c r="AI234" s="29" t="str">
        <f t="shared" si="188"/>
        <v/>
      </c>
      <c r="AJ234" s="29" t="str">
        <f t="shared" si="189"/>
        <v/>
      </c>
      <c r="AK234" s="2"/>
      <c r="AL234" s="2"/>
      <c r="AM234" s="2"/>
      <c r="AN234" s="2"/>
      <c r="AO234" s="2"/>
      <c r="AP234" s="2"/>
      <c r="AQ234" s="2"/>
      <c r="AR234" s="2"/>
      <c r="AS234" s="2"/>
      <c r="AT234" s="2"/>
      <c r="AU234" s="2"/>
      <c r="AV234" s="2"/>
      <c r="AW234" s="2"/>
      <c r="AX234" s="2"/>
      <c r="AY234" s="2"/>
      <c r="AZ234" s="2"/>
      <c r="BA234" s="2"/>
      <c r="BB234" s="2"/>
      <c r="BC234" s="2"/>
    </row>
    <row r="235" spans="1:55" x14ac:dyDescent="0.25">
      <c r="D235" s="54"/>
      <c r="E235" s="54"/>
      <c r="F235" s="54"/>
      <c r="G235" s="54"/>
      <c r="H235" s="54"/>
      <c r="I235" s="54"/>
      <c r="J235" s="2"/>
      <c r="K235" s="2"/>
      <c r="L235" s="2"/>
      <c r="M235" s="2"/>
      <c r="N235" s="2"/>
      <c r="O235" s="2"/>
      <c r="P235" s="2"/>
      <c r="Q235" s="2"/>
      <c r="R235" s="2"/>
      <c r="S235" s="2"/>
      <c r="T235" s="2"/>
      <c r="U235" s="2"/>
      <c r="V235" s="2"/>
      <c r="W235" s="2"/>
      <c r="X235" s="2"/>
      <c r="Y235" s="2"/>
      <c r="Z235" s="2"/>
      <c r="AA235" s="264">
        <v>231</v>
      </c>
      <c r="AB235" s="16" t="str">
        <f t="shared" si="190"/>
        <v/>
      </c>
      <c r="AC235" s="16" t="str">
        <f t="shared" si="191"/>
        <v/>
      </c>
      <c r="AD235" s="16" t="str">
        <f t="shared" si="185"/>
        <v/>
      </c>
      <c r="AE235" s="16" t="str">
        <f t="shared" si="186"/>
        <v/>
      </c>
      <c r="AF235" s="16" t="str">
        <f t="shared" si="187"/>
        <v/>
      </c>
      <c r="AG235" s="16" t="str">
        <f t="shared" si="192"/>
        <v/>
      </c>
      <c r="AH235" s="16" t="str">
        <f t="shared" si="193"/>
        <v/>
      </c>
      <c r="AI235" s="29" t="str">
        <f t="shared" si="188"/>
        <v/>
      </c>
      <c r="AJ235" s="29" t="str">
        <f t="shared" si="189"/>
        <v/>
      </c>
      <c r="AK235" s="2"/>
      <c r="AL235" s="2"/>
      <c r="AM235" s="2"/>
      <c r="AN235" s="2"/>
      <c r="AO235" s="2"/>
      <c r="AP235" s="2"/>
      <c r="AQ235" s="2"/>
      <c r="AR235" s="2"/>
      <c r="AS235" s="2"/>
      <c r="AT235" s="2"/>
      <c r="AU235" s="2"/>
      <c r="AV235" s="2"/>
      <c r="AW235" s="2"/>
      <c r="AX235" s="2"/>
      <c r="AY235" s="2"/>
      <c r="AZ235" s="2"/>
      <c r="BA235" s="2"/>
      <c r="BB235" s="2"/>
      <c r="BC235" s="2"/>
    </row>
    <row r="236" spans="1:55" x14ac:dyDescent="0.25">
      <c r="D236" s="54"/>
      <c r="E236" s="54"/>
      <c r="F236" s="54"/>
      <c r="G236" s="54"/>
      <c r="H236" s="54"/>
      <c r="I236" s="54"/>
      <c r="J236" s="2"/>
      <c r="K236" s="2"/>
      <c r="L236" s="2"/>
      <c r="M236" s="2"/>
      <c r="N236" s="2"/>
      <c r="O236" s="2"/>
      <c r="P236" s="2"/>
      <c r="Q236" s="2"/>
      <c r="R236" s="2"/>
      <c r="S236" s="2"/>
      <c r="T236" s="2"/>
      <c r="U236" s="2"/>
      <c r="V236" s="2"/>
      <c r="W236" s="2"/>
      <c r="X236" s="2"/>
      <c r="Y236" s="2"/>
      <c r="Z236" s="2"/>
      <c r="AA236" s="264">
        <v>232</v>
      </c>
      <c r="AB236" s="16" t="str">
        <f t="shared" si="190"/>
        <v/>
      </c>
      <c r="AC236" s="16" t="str">
        <f t="shared" si="191"/>
        <v/>
      </c>
      <c r="AD236" s="16" t="str">
        <f t="shared" si="185"/>
        <v/>
      </c>
      <c r="AE236" s="16" t="str">
        <f t="shared" si="186"/>
        <v/>
      </c>
      <c r="AF236" s="16" t="str">
        <f t="shared" si="187"/>
        <v/>
      </c>
      <c r="AG236" s="16" t="str">
        <f t="shared" si="192"/>
        <v/>
      </c>
      <c r="AH236" s="16" t="str">
        <f t="shared" si="193"/>
        <v/>
      </c>
      <c r="AI236" s="29" t="str">
        <f t="shared" si="188"/>
        <v/>
      </c>
      <c r="AJ236" s="29" t="str">
        <f t="shared" si="189"/>
        <v/>
      </c>
      <c r="AK236" s="2"/>
      <c r="AL236" s="2"/>
      <c r="AM236" s="2"/>
      <c r="AN236" s="2"/>
      <c r="AO236" s="2"/>
      <c r="AP236" s="2"/>
      <c r="AQ236" s="2"/>
      <c r="AR236" s="2"/>
      <c r="AS236" s="2"/>
      <c r="AT236" s="2"/>
      <c r="AU236" s="2"/>
      <c r="AV236" s="2"/>
      <c r="AW236" s="2"/>
      <c r="AX236" s="2"/>
      <c r="AY236" s="2"/>
      <c r="AZ236" s="2"/>
      <c r="BA236" s="2"/>
      <c r="BB236" s="2"/>
      <c r="BC236" s="2"/>
    </row>
    <row r="237" spans="1:55" x14ac:dyDescent="0.25">
      <c r="D237" s="54"/>
      <c r="E237" s="54"/>
      <c r="F237" s="54"/>
      <c r="G237" s="54"/>
      <c r="H237" s="54"/>
      <c r="I237" s="54"/>
      <c r="J237" s="2"/>
      <c r="K237" s="2"/>
      <c r="L237" s="2"/>
      <c r="M237" s="2"/>
      <c r="N237" s="2"/>
      <c r="O237" s="2"/>
      <c r="P237" s="2"/>
      <c r="Q237" s="2"/>
      <c r="R237" s="2"/>
      <c r="S237" s="2"/>
      <c r="T237" s="2"/>
      <c r="U237" s="2"/>
      <c r="V237" s="2"/>
      <c r="W237" s="2"/>
      <c r="X237" s="2"/>
      <c r="Y237" s="2"/>
      <c r="Z237" s="2"/>
      <c r="AA237" s="264">
        <v>233</v>
      </c>
      <c r="AB237" s="16" t="str">
        <f t="shared" ref="AB237:AB254" si="212">IF($C$9&gt;=$AA237,$O45+0.000001-$AB$410,"")</f>
        <v/>
      </c>
      <c r="AC237" s="16" t="str">
        <f t="shared" ref="AC237:AC254" si="213">IF($C$9&gt;=$AA237,$N45+0.000001-$AB$409,"")</f>
        <v/>
      </c>
      <c r="AD237" s="16" t="str">
        <f t="shared" si="185"/>
        <v/>
      </c>
      <c r="AE237" s="16" t="str">
        <f t="shared" si="186"/>
        <v/>
      </c>
      <c r="AF237" s="16" t="str">
        <f t="shared" si="187"/>
        <v/>
      </c>
      <c r="AG237" s="16" t="str">
        <f t="shared" ref="AG237:AG254" si="214">IF($C$9&gt;=$AA237,$N45-$AB$409,"")</f>
        <v/>
      </c>
      <c r="AH237" s="16" t="str">
        <f t="shared" ref="AH237:AH254" si="215">IF($C$9&gt;=$AA237,$O45-$AB$410,"")</f>
        <v/>
      </c>
      <c r="AI237" s="29" t="str">
        <f t="shared" si="188"/>
        <v/>
      </c>
      <c r="AJ237" s="29" t="str">
        <f t="shared" si="189"/>
        <v/>
      </c>
      <c r="AK237" s="2"/>
      <c r="AL237" s="2"/>
      <c r="AM237" s="2"/>
      <c r="AN237" s="2"/>
      <c r="AO237" s="2"/>
      <c r="AP237" s="2"/>
      <c r="AQ237" s="2"/>
      <c r="AR237" s="2"/>
      <c r="AS237" s="2"/>
      <c r="AT237" s="2"/>
      <c r="AU237" s="2"/>
      <c r="AV237" s="2"/>
      <c r="AW237" s="2"/>
      <c r="AX237" s="2"/>
      <c r="AY237" s="2"/>
      <c r="AZ237" s="2"/>
      <c r="BA237" s="2"/>
      <c r="BB237" s="2"/>
      <c r="BC237" s="2"/>
    </row>
    <row r="238" spans="1:55" x14ac:dyDescent="0.25">
      <c r="D238" s="54"/>
      <c r="E238" s="54"/>
      <c r="F238" s="54"/>
      <c r="G238" s="54"/>
      <c r="H238" s="54"/>
      <c r="I238" s="54"/>
      <c r="J238" s="2"/>
      <c r="K238" s="2"/>
      <c r="L238" s="2"/>
      <c r="M238" s="2"/>
      <c r="N238" s="2"/>
      <c r="O238" s="2"/>
      <c r="P238" s="2"/>
      <c r="Q238" s="2"/>
      <c r="R238" s="2"/>
      <c r="S238" s="2"/>
      <c r="T238" s="2"/>
      <c r="U238" s="2"/>
      <c r="V238" s="2"/>
      <c r="W238" s="2"/>
      <c r="X238" s="2"/>
      <c r="Y238" s="2"/>
      <c r="Z238" s="2"/>
      <c r="AA238" s="264">
        <v>234</v>
      </c>
      <c r="AB238" s="16" t="str">
        <f t="shared" si="212"/>
        <v/>
      </c>
      <c r="AC238" s="16" t="str">
        <f t="shared" si="213"/>
        <v/>
      </c>
      <c r="AD238" s="16" t="str">
        <f t="shared" si="185"/>
        <v/>
      </c>
      <c r="AE238" s="16" t="str">
        <f t="shared" si="186"/>
        <v/>
      </c>
      <c r="AF238" s="16" t="str">
        <f t="shared" si="187"/>
        <v/>
      </c>
      <c r="AG238" s="16" t="str">
        <f t="shared" si="214"/>
        <v/>
      </c>
      <c r="AH238" s="16" t="str">
        <f t="shared" si="215"/>
        <v/>
      </c>
      <c r="AI238" s="29" t="str">
        <f t="shared" si="188"/>
        <v/>
      </c>
      <c r="AJ238" s="29" t="str">
        <f t="shared" si="189"/>
        <v/>
      </c>
      <c r="AK238" s="2"/>
      <c r="AL238" s="2"/>
      <c r="AM238" s="2"/>
      <c r="AN238" s="2"/>
      <c r="AO238" s="2"/>
      <c r="AP238" s="2"/>
      <c r="AQ238" s="2"/>
      <c r="AR238" s="2"/>
      <c r="AS238" s="2"/>
      <c r="AT238" s="2"/>
      <c r="AU238" s="2"/>
      <c r="AV238" s="2"/>
      <c r="AW238" s="2"/>
      <c r="AX238" s="2"/>
      <c r="AY238" s="2"/>
      <c r="AZ238" s="2"/>
      <c r="BA238" s="2"/>
      <c r="BB238" s="2"/>
      <c r="BC238" s="2"/>
    </row>
    <row r="239" spans="1:55" x14ac:dyDescent="0.25">
      <c r="D239" s="54"/>
      <c r="E239" s="54"/>
      <c r="F239" s="54"/>
      <c r="G239" s="54"/>
      <c r="H239" s="54"/>
      <c r="I239" s="54"/>
      <c r="J239" s="2"/>
      <c r="K239" s="2"/>
      <c r="L239" s="2"/>
      <c r="M239" s="2"/>
      <c r="N239" s="2"/>
      <c r="O239" s="2"/>
      <c r="P239" s="2"/>
      <c r="Q239" s="2"/>
      <c r="R239" s="2"/>
      <c r="S239" s="2"/>
      <c r="T239" s="2"/>
      <c r="U239" s="2"/>
      <c r="V239" s="2"/>
      <c r="W239" s="2"/>
      <c r="X239" s="2"/>
      <c r="Y239" s="2"/>
      <c r="Z239" s="2"/>
      <c r="AA239" s="264">
        <v>235</v>
      </c>
      <c r="AB239" s="16" t="str">
        <f t="shared" si="212"/>
        <v/>
      </c>
      <c r="AC239" s="16" t="str">
        <f t="shared" si="213"/>
        <v/>
      </c>
      <c r="AD239" s="16" t="str">
        <f t="shared" si="185"/>
        <v/>
      </c>
      <c r="AE239" s="16" t="str">
        <f t="shared" si="186"/>
        <v/>
      </c>
      <c r="AF239" s="16" t="str">
        <f t="shared" si="187"/>
        <v/>
      </c>
      <c r="AG239" s="16" t="str">
        <f t="shared" si="214"/>
        <v/>
      </c>
      <c r="AH239" s="16" t="str">
        <f t="shared" si="215"/>
        <v/>
      </c>
      <c r="AI239" s="29" t="str">
        <f t="shared" si="188"/>
        <v/>
      </c>
      <c r="AJ239" s="29" t="str">
        <f t="shared" si="189"/>
        <v/>
      </c>
      <c r="AK239" s="2"/>
      <c r="AL239" s="2"/>
      <c r="AM239" s="2"/>
      <c r="AN239" s="2"/>
      <c r="AO239" s="2"/>
      <c r="AP239" s="2"/>
      <c r="AQ239" s="2"/>
      <c r="AR239" s="2"/>
      <c r="AS239" s="2"/>
      <c r="AT239" s="2"/>
      <c r="AU239" s="2"/>
      <c r="AV239" s="2"/>
      <c r="AW239" s="2"/>
      <c r="AX239" s="2"/>
      <c r="AY239" s="2"/>
      <c r="AZ239" s="2"/>
      <c r="BA239" s="2"/>
      <c r="BB239" s="2"/>
      <c r="BC239" s="2"/>
    </row>
    <row r="240" spans="1:55" x14ac:dyDescent="0.25">
      <c r="D240" s="54"/>
      <c r="E240" s="54"/>
      <c r="F240" s="54"/>
      <c r="G240" s="54"/>
      <c r="H240" s="54"/>
      <c r="I240" s="54"/>
      <c r="J240" s="2"/>
      <c r="K240" s="2"/>
      <c r="L240" s="2"/>
      <c r="M240" s="2"/>
      <c r="N240" s="2"/>
      <c r="O240" s="2"/>
      <c r="P240" s="2"/>
      <c r="Q240" s="2"/>
      <c r="R240" s="2"/>
      <c r="S240" s="2"/>
      <c r="T240" s="2"/>
      <c r="U240" s="2"/>
      <c r="V240" s="2"/>
      <c r="W240" s="2"/>
      <c r="X240" s="2"/>
      <c r="Y240" s="2"/>
      <c r="Z240" s="2"/>
      <c r="AA240" s="264">
        <v>236</v>
      </c>
      <c r="AB240" s="16" t="str">
        <f t="shared" si="212"/>
        <v/>
      </c>
      <c r="AC240" s="16" t="str">
        <f t="shared" si="213"/>
        <v/>
      </c>
      <c r="AD240" s="16" t="str">
        <f t="shared" si="185"/>
        <v/>
      </c>
      <c r="AE240" s="16" t="str">
        <f t="shared" si="186"/>
        <v/>
      </c>
      <c r="AF240" s="16" t="str">
        <f t="shared" si="187"/>
        <v/>
      </c>
      <c r="AG240" s="16" t="str">
        <f t="shared" si="214"/>
        <v/>
      </c>
      <c r="AH240" s="16" t="str">
        <f t="shared" si="215"/>
        <v/>
      </c>
      <c r="AI240" s="29" t="str">
        <f t="shared" si="188"/>
        <v/>
      </c>
      <c r="AJ240" s="29" t="str">
        <f t="shared" si="189"/>
        <v/>
      </c>
      <c r="AK240" s="2"/>
      <c r="AL240" s="2"/>
      <c r="AM240" s="2"/>
      <c r="AN240" s="2"/>
      <c r="AO240" s="2"/>
      <c r="AP240" s="2"/>
      <c r="AQ240" s="2"/>
      <c r="AR240" s="2"/>
      <c r="AS240" s="2"/>
      <c r="AT240" s="2"/>
      <c r="AU240" s="2"/>
      <c r="AV240" s="2"/>
      <c r="AW240" s="2"/>
      <c r="AX240" s="2"/>
      <c r="AY240" s="2"/>
      <c r="AZ240" s="2"/>
      <c r="BA240" s="2"/>
      <c r="BB240" s="2"/>
      <c r="BC240" s="2"/>
    </row>
    <row r="241" spans="1:55" x14ac:dyDescent="0.25">
      <c r="D241" s="54"/>
      <c r="E241" s="54"/>
      <c r="F241" s="54"/>
      <c r="G241" s="54"/>
      <c r="H241" s="54"/>
      <c r="I241" s="54"/>
      <c r="J241" s="2"/>
      <c r="K241" s="2"/>
      <c r="L241" s="2"/>
      <c r="M241" s="2"/>
      <c r="N241" s="2"/>
      <c r="O241" s="2"/>
      <c r="P241" s="2"/>
      <c r="Q241" s="2"/>
      <c r="R241" s="2"/>
      <c r="S241" s="2"/>
      <c r="T241" s="2"/>
      <c r="U241" s="2"/>
      <c r="V241" s="2"/>
      <c r="W241" s="2"/>
      <c r="X241" s="2"/>
      <c r="Y241" s="2"/>
      <c r="Z241" s="2"/>
      <c r="AA241" s="264">
        <v>237</v>
      </c>
      <c r="AB241" s="16" t="str">
        <f t="shared" si="212"/>
        <v/>
      </c>
      <c r="AC241" s="16" t="str">
        <f t="shared" si="213"/>
        <v/>
      </c>
      <c r="AD241" s="16" t="str">
        <f t="shared" si="185"/>
        <v/>
      </c>
      <c r="AE241" s="16" t="str">
        <f t="shared" si="186"/>
        <v/>
      </c>
      <c r="AF241" s="16" t="str">
        <f t="shared" si="187"/>
        <v/>
      </c>
      <c r="AG241" s="16" t="str">
        <f t="shared" si="214"/>
        <v/>
      </c>
      <c r="AH241" s="16" t="str">
        <f t="shared" si="215"/>
        <v/>
      </c>
      <c r="AI241" s="29" t="str">
        <f t="shared" si="188"/>
        <v/>
      </c>
      <c r="AJ241" s="29" t="str">
        <f t="shared" si="189"/>
        <v/>
      </c>
      <c r="AK241" s="2"/>
      <c r="AL241" s="2"/>
      <c r="AM241" s="2"/>
      <c r="AN241" s="2"/>
      <c r="AO241" s="2"/>
      <c r="AP241" s="2"/>
      <c r="AQ241" s="2"/>
      <c r="AR241" s="2"/>
      <c r="AS241" s="2"/>
      <c r="AT241" s="2"/>
      <c r="AU241" s="2"/>
      <c r="AV241" s="2"/>
      <c r="AW241" s="2"/>
      <c r="AX241" s="2"/>
      <c r="AY241" s="2"/>
      <c r="AZ241" s="2"/>
      <c r="BA241" s="2"/>
      <c r="BB241" s="2"/>
      <c r="BC241" s="2"/>
    </row>
    <row r="242" spans="1:55" x14ac:dyDescent="0.25">
      <c r="D242" s="54"/>
      <c r="E242" s="54"/>
      <c r="F242" s="54"/>
      <c r="G242" s="54"/>
      <c r="H242" s="54"/>
      <c r="I242" s="54"/>
      <c r="J242" s="2"/>
      <c r="K242" s="2"/>
      <c r="L242" s="2"/>
      <c r="M242" s="2"/>
      <c r="N242" s="2"/>
      <c r="O242" s="2"/>
      <c r="P242" s="2"/>
      <c r="Q242" s="2"/>
      <c r="R242" s="2"/>
      <c r="S242" s="2"/>
      <c r="T242" s="2"/>
      <c r="U242" s="2"/>
      <c r="V242" s="2"/>
      <c r="W242" s="2"/>
      <c r="X242" s="2"/>
      <c r="Y242" s="2"/>
      <c r="Z242" s="2"/>
      <c r="AA242" s="264">
        <v>238</v>
      </c>
      <c r="AB242" s="16" t="str">
        <f t="shared" si="212"/>
        <v/>
      </c>
      <c r="AC242" s="16" t="str">
        <f t="shared" si="213"/>
        <v/>
      </c>
      <c r="AD242" s="16" t="str">
        <f t="shared" si="185"/>
        <v/>
      </c>
      <c r="AE242" s="16" t="str">
        <f t="shared" si="186"/>
        <v/>
      </c>
      <c r="AF242" s="16" t="str">
        <f t="shared" si="187"/>
        <v/>
      </c>
      <c r="AG242" s="16" t="str">
        <f t="shared" si="214"/>
        <v/>
      </c>
      <c r="AH242" s="16" t="str">
        <f t="shared" si="215"/>
        <v/>
      </c>
      <c r="AI242" s="29" t="str">
        <f t="shared" si="188"/>
        <v/>
      </c>
      <c r="AJ242" s="29" t="str">
        <f t="shared" si="189"/>
        <v/>
      </c>
      <c r="AK242" s="2"/>
      <c r="AL242" s="2"/>
      <c r="AM242" s="2"/>
      <c r="AN242" s="2"/>
      <c r="AO242" s="2"/>
      <c r="AP242" s="2"/>
      <c r="AQ242" s="2"/>
      <c r="AR242" s="2"/>
      <c r="AS242" s="2"/>
      <c r="AT242" s="2"/>
      <c r="AU242" s="2"/>
      <c r="AV242" s="2"/>
      <c r="AW242" s="2"/>
      <c r="AX242" s="2"/>
      <c r="AY242" s="2"/>
      <c r="AZ242" s="2"/>
      <c r="BA242" s="2"/>
      <c r="BB242" s="2"/>
      <c r="BC242" s="2"/>
    </row>
    <row r="243" spans="1:55" x14ac:dyDescent="0.25">
      <c r="D243" s="54"/>
      <c r="E243" s="54"/>
      <c r="F243" s="54"/>
      <c r="G243" s="54"/>
      <c r="H243" s="54"/>
      <c r="I243" s="54"/>
      <c r="J243" s="2"/>
      <c r="K243" s="2"/>
      <c r="L243" s="2"/>
      <c r="M243" s="2"/>
      <c r="N243" s="2"/>
      <c r="O243" s="2"/>
      <c r="P243" s="2"/>
      <c r="Q243" s="2"/>
      <c r="R243" s="2"/>
      <c r="S243" s="2"/>
      <c r="T243" s="2"/>
      <c r="U243" s="2"/>
      <c r="V243" s="2"/>
      <c r="W243" s="2"/>
      <c r="X243" s="2"/>
      <c r="Y243" s="2"/>
      <c r="Z243" s="2"/>
      <c r="AA243" s="264">
        <v>239</v>
      </c>
      <c r="AB243" s="16" t="str">
        <f t="shared" si="212"/>
        <v/>
      </c>
      <c r="AC243" s="16" t="str">
        <f t="shared" si="213"/>
        <v/>
      </c>
      <c r="AD243" s="16" t="str">
        <f t="shared" si="185"/>
        <v/>
      </c>
      <c r="AE243" s="16" t="str">
        <f t="shared" si="186"/>
        <v/>
      </c>
      <c r="AF243" s="16" t="str">
        <f t="shared" si="187"/>
        <v/>
      </c>
      <c r="AG243" s="16" t="str">
        <f t="shared" si="214"/>
        <v/>
      </c>
      <c r="AH243" s="16" t="str">
        <f t="shared" si="215"/>
        <v/>
      </c>
      <c r="AI243" s="29" t="str">
        <f t="shared" si="188"/>
        <v/>
      </c>
      <c r="AJ243" s="29" t="str">
        <f t="shared" si="189"/>
        <v/>
      </c>
      <c r="AK243" s="2"/>
      <c r="AL243" s="2"/>
      <c r="AM243" s="2"/>
      <c r="AN243" s="2"/>
      <c r="AO243" s="2"/>
      <c r="AP243" s="2"/>
      <c r="AQ243" s="2"/>
      <c r="AR243" s="2"/>
      <c r="AS243" s="2"/>
      <c r="AT243" s="2"/>
      <c r="AU243" s="2"/>
      <c r="AV243" s="2"/>
      <c r="AW243" s="2"/>
      <c r="AX243" s="2"/>
      <c r="AY243" s="2"/>
      <c r="AZ243" s="2"/>
      <c r="BA243" s="2"/>
      <c r="BB243" s="2"/>
      <c r="BC243" s="2"/>
    </row>
    <row r="244" spans="1:55" x14ac:dyDescent="0.25">
      <c r="D244" s="54"/>
      <c r="E244" s="54"/>
      <c r="F244" s="54"/>
      <c r="G244" s="54"/>
      <c r="H244" s="54"/>
      <c r="I244" s="54"/>
      <c r="J244" s="2"/>
      <c r="K244" s="2"/>
      <c r="L244" s="2"/>
      <c r="M244" s="2"/>
      <c r="N244" s="2"/>
      <c r="O244" s="2"/>
      <c r="P244" s="2"/>
      <c r="Q244" s="2"/>
      <c r="R244" s="2"/>
      <c r="S244" s="2"/>
      <c r="T244" s="2"/>
      <c r="U244" s="2"/>
      <c r="V244" s="2"/>
      <c r="W244" s="2"/>
      <c r="X244" s="2"/>
      <c r="Y244" s="2"/>
      <c r="Z244" s="2"/>
      <c r="AA244" s="264">
        <v>240</v>
      </c>
      <c r="AB244" s="16" t="str">
        <f t="shared" si="212"/>
        <v/>
      </c>
      <c r="AC244" s="16" t="str">
        <f t="shared" si="213"/>
        <v/>
      </c>
      <c r="AD244" s="16" t="str">
        <f t="shared" si="185"/>
        <v/>
      </c>
      <c r="AE244" s="16" t="str">
        <f t="shared" si="186"/>
        <v/>
      </c>
      <c r="AF244" s="16" t="str">
        <f t="shared" si="187"/>
        <v/>
      </c>
      <c r="AG244" s="16" t="str">
        <f t="shared" si="214"/>
        <v/>
      </c>
      <c r="AH244" s="16" t="str">
        <f t="shared" si="215"/>
        <v/>
      </c>
      <c r="AI244" s="29" t="str">
        <f t="shared" si="188"/>
        <v/>
      </c>
      <c r="AJ244" s="29" t="str">
        <f t="shared" si="189"/>
        <v/>
      </c>
      <c r="AK244" s="2"/>
      <c r="AL244" s="2"/>
      <c r="AM244" s="2"/>
      <c r="AN244" s="2"/>
      <c r="AO244" s="2"/>
      <c r="AP244" s="2"/>
      <c r="AQ244" s="2"/>
      <c r="AR244" s="2"/>
      <c r="AS244" s="2"/>
      <c r="AT244" s="2"/>
      <c r="AU244" s="2"/>
      <c r="AV244" s="2"/>
      <c r="AW244" s="2"/>
      <c r="AX244" s="2"/>
      <c r="AY244" s="2"/>
      <c r="AZ244" s="2"/>
      <c r="BA244" s="2"/>
      <c r="BB244" s="2"/>
      <c r="BC244" s="2"/>
    </row>
    <row r="245" spans="1:55" x14ac:dyDescent="0.25">
      <c r="D245" s="54"/>
      <c r="E245" s="54"/>
      <c r="F245" s="54"/>
      <c r="G245" s="54"/>
      <c r="H245" s="54"/>
      <c r="I245" s="54"/>
      <c r="J245" s="2"/>
      <c r="K245" s="2"/>
      <c r="L245" s="2"/>
      <c r="M245" s="2"/>
      <c r="N245" s="2"/>
      <c r="O245" s="2"/>
      <c r="P245" s="2"/>
      <c r="Q245" s="2"/>
      <c r="R245" s="2"/>
      <c r="S245" s="2"/>
      <c r="T245" s="2"/>
      <c r="U245" s="2"/>
      <c r="V245" s="2"/>
      <c r="W245" s="2"/>
      <c r="X245" s="2"/>
      <c r="Y245" s="2"/>
      <c r="Z245" s="2"/>
      <c r="AA245" s="264">
        <v>241</v>
      </c>
      <c r="AB245" s="16" t="str">
        <f t="shared" si="212"/>
        <v/>
      </c>
      <c r="AC245" s="16" t="str">
        <f t="shared" si="213"/>
        <v/>
      </c>
      <c r="AD245" s="16" t="str">
        <f t="shared" si="185"/>
        <v/>
      </c>
      <c r="AE245" s="16" t="str">
        <f t="shared" si="186"/>
        <v/>
      </c>
      <c r="AF245" s="16" t="str">
        <f t="shared" si="187"/>
        <v/>
      </c>
      <c r="AG245" s="16" t="str">
        <f t="shared" si="214"/>
        <v/>
      </c>
      <c r="AH245" s="16" t="str">
        <f t="shared" si="215"/>
        <v/>
      </c>
      <c r="AI245" s="29" t="str">
        <f t="shared" si="188"/>
        <v/>
      </c>
      <c r="AJ245" s="29" t="str">
        <f t="shared" si="189"/>
        <v/>
      </c>
      <c r="AK245" s="2"/>
      <c r="AL245" s="2"/>
      <c r="AM245" s="2"/>
      <c r="AN245" s="2"/>
      <c r="AO245" s="2"/>
      <c r="AP245" s="2"/>
      <c r="AQ245" s="2"/>
      <c r="AR245" s="2"/>
      <c r="AS245" s="2"/>
      <c r="AT245" s="2"/>
      <c r="AU245" s="2"/>
      <c r="AV245" s="2"/>
      <c r="AW245" s="2"/>
      <c r="AX245" s="2"/>
      <c r="AY245" s="2"/>
      <c r="AZ245" s="2"/>
      <c r="BA245" s="2"/>
      <c r="BB245" s="2"/>
      <c r="BC245" s="2"/>
    </row>
    <row r="246" spans="1:55" x14ac:dyDescent="0.25">
      <c r="D246" s="54"/>
      <c r="E246" s="54"/>
      <c r="F246" s="54"/>
      <c r="G246" s="54"/>
      <c r="H246" s="54"/>
      <c r="I246" s="54"/>
      <c r="J246" s="2"/>
      <c r="K246" s="2"/>
      <c r="L246" s="2"/>
      <c r="M246" s="2"/>
      <c r="N246" s="2"/>
      <c r="O246" s="2"/>
      <c r="P246" s="2"/>
      <c r="Q246" s="2"/>
      <c r="R246" s="2"/>
      <c r="S246" s="2"/>
      <c r="T246" s="2"/>
      <c r="U246" s="2"/>
      <c r="V246" s="2"/>
      <c r="W246" s="2"/>
      <c r="X246" s="2"/>
      <c r="Y246" s="2"/>
      <c r="Z246" s="2"/>
      <c r="AA246" s="264">
        <v>242</v>
      </c>
      <c r="AB246" s="16" t="str">
        <f t="shared" si="212"/>
        <v/>
      </c>
      <c r="AC246" s="16" t="str">
        <f t="shared" si="213"/>
        <v/>
      </c>
      <c r="AD246" s="16" t="str">
        <f t="shared" si="185"/>
        <v/>
      </c>
      <c r="AE246" s="16" t="str">
        <f t="shared" si="186"/>
        <v/>
      </c>
      <c r="AF246" s="16" t="str">
        <f t="shared" si="187"/>
        <v/>
      </c>
      <c r="AG246" s="16" t="str">
        <f t="shared" si="214"/>
        <v/>
      </c>
      <c r="AH246" s="16" t="str">
        <f t="shared" si="215"/>
        <v/>
      </c>
      <c r="AI246" s="29" t="str">
        <f t="shared" si="188"/>
        <v/>
      </c>
      <c r="AJ246" s="29" t="str">
        <f t="shared" si="189"/>
        <v/>
      </c>
      <c r="AK246" s="2"/>
      <c r="AL246" s="2"/>
      <c r="AM246" s="2"/>
      <c r="AN246" s="2"/>
      <c r="AO246" s="2"/>
      <c r="AP246" s="2"/>
      <c r="AQ246" s="2"/>
      <c r="AR246" s="2"/>
      <c r="AS246" s="2"/>
      <c r="AT246" s="2"/>
      <c r="AU246" s="2"/>
      <c r="AV246" s="2"/>
      <c r="AW246" s="2"/>
      <c r="AX246" s="2"/>
      <c r="AY246" s="2"/>
      <c r="AZ246" s="2"/>
      <c r="BA246" s="2"/>
      <c r="BB246" s="2"/>
      <c r="BC246" s="2"/>
    </row>
    <row r="247" spans="1:55" x14ac:dyDescent="0.25">
      <c r="D247" s="54"/>
      <c r="E247" s="54"/>
      <c r="F247" s="54"/>
      <c r="G247" s="54"/>
      <c r="H247" s="54"/>
      <c r="I247" s="54"/>
      <c r="J247" s="2"/>
      <c r="K247" s="2"/>
      <c r="L247" s="2"/>
      <c r="M247" s="2"/>
      <c r="N247" s="2"/>
      <c r="O247" s="2"/>
      <c r="P247" s="2"/>
      <c r="Q247" s="2"/>
      <c r="R247" s="2"/>
      <c r="S247" s="2"/>
      <c r="T247" s="2"/>
      <c r="U247" s="2"/>
      <c r="V247" s="2"/>
      <c r="W247" s="2"/>
      <c r="X247" s="2"/>
      <c r="Y247" s="2"/>
      <c r="Z247" s="2"/>
      <c r="AA247" s="264">
        <v>243</v>
      </c>
      <c r="AB247" s="16" t="str">
        <f t="shared" si="212"/>
        <v/>
      </c>
      <c r="AC247" s="16" t="str">
        <f t="shared" si="213"/>
        <v/>
      </c>
      <c r="AD247" s="16" t="str">
        <f t="shared" si="185"/>
        <v/>
      </c>
      <c r="AE247" s="16" t="str">
        <f t="shared" si="186"/>
        <v/>
      </c>
      <c r="AF247" s="16" t="str">
        <f t="shared" si="187"/>
        <v/>
      </c>
      <c r="AG247" s="16" t="str">
        <f t="shared" si="214"/>
        <v/>
      </c>
      <c r="AH247" s="16" t="str">
        <f t="shared" si="215"/>
        <v/>
      </c>
      <c r="AI247" s="29" t="str">
        <f t="shared" si="188"/>
        <v/>
      </c>
      <c r="AJ247" s="29" t="str">
        <f t="shared" si="189"/>
        <v/>
      </c>
      <c r="AK247" s="2"/>
      <c r="AL247" s="2"/>
      <c r="AM247" s="2"/>
      <c r="AN247" s="2"/>
      <c r="AO247" s="2"/>
      <c r="AP247" s="2"/>
      <c r="AQ247" s="2"/>
      <c r="AR247" s="2"/>
      <c r="AS247" s="2"/>
      <c r="AT247" s="2"/>
      <c r="AU247" s="2"/>
      <c r="AV247" s="2"/>
      <c r="AW247" s="2"/>
      <c r="AX247" s="2"/>
      <c r="AY247" s="2"/>
      <c r="AZ247" s="2"/>
      <c r="BA247" s="2"/>
      <c r="BB247" s="2"/>
      <c r="BC247" s="2"/>
    </row>
    <row r="248" spans="1:55" x14ac:dyDescent="0.25">
      <c r="D248" s="54"/>
      <c r="E248" s="54"/>
      <c r="F248" s="54"/>
      <c r="G248" s="54"/>
      <c r="H248" s="54"/>
      <c r="I248" s="54"/>
      <c r="J248" s="2"/>
      <c r="K248" s="2"/>
      <c r="L248" s="2"/>
      <c r="M248" s="2"/>
      <c r="N248" s="2"/>
      <c r="O248" s="2"/>
      <c r="P248" s="2"/>
      <c r="Q248" s="2"/>
      <c r="R248" s="2"/>
      <c r="S248" s="2"/>
      <c r="T248" s="2"/>
      <c r="U248" s="2"/>
      <c r="V248" s="2"/>
      <c r="W248" s="2"/>
      <c r="X248" s="2"/>
      <c r="Y248" s="2"/>
      <c r="Z248" s="2"/>
      <c r="AA248" s="264">
        <v>244</v>
      </c>
      <c r="AB248" s="16" t="str">
        <f t="shared" si="212"/>
        <v/>
      </c>
      <c r="AC248" s="16" t="str">
        <f t="shared" si="213"/>
        <v/>
      </c>
      <c r="AD248" s="16" t="str">
        <f t="shared" si="185"/>
        <v/>
      </c>
      <c r="AE248" s="16" t="str">
        <f t="shared" si="186"/>
        <v/>
      </c>
      <c r="AF248" s="16" t="str">
        <f t="shared" si="187"/>
        <v/>
      </c>
      <c r="AG248" s="16" t="str">
        <f t="shared" si="214"/>
        <v/>
      </c>
      <c r="AH248" s="16" t="str">
        <f t="shared" si="215"/>
        <v/>
      </c>
      <c r="AI248" s="29" t="str">
        <f t="shared" si="188"/>
        <v/>
      </c>
      <c r="AJ248" s="29" t="str">
        <f t="shared" si="189"/>
        <v/>
      </c>
      <c r="AK248" s="2"/>
      <c r="AL248" s="2"/>
      <c r="AM248" s="2"/>
      <c r="AN248" s="2"/>
      <c r="AO248" s="2"/>
      <c r="AP248" s="2"/>
      <c r="AQ248" s="2"/>
      <c r="AR248" s="2"/>
      <c r="AS248" s="2"/>
      <c r="AT248" s="2"/>
      <c r="AU248" s="2"/>
      <c r="AV248" s="2"/>
      <c r="AW248" s="2"/>
      <c r="AX248" s="2"/>
      <c r="AY248" s="2"/>
      <c r="AZ248" s="2"/>
      <c r="BA248" s="2"/>
      <c r="BB248" s="2"/>
      <c r="BC248" s="2"/>
    </row>
    <row r="249" spans="1:55" x14ac:dyDescent="0.25">
      <c r="D249" s="54"/>
      <c r="E249" s="54"/>
      <c r="F249" s="54"/>
      <c r="G249" s="54"/>
      <c r="H249" s="54"/>
      <c r="I249" s="54"/>
      <c r="J249" s="2"/>
      <c r="K249" s="2"/>
      <c r="L249" s="2"/>
      <c r="M249" s="2"/>
      <c r="N249" s="2"/>
      <c r="O249" s="2"/>
      <c r="P249" s="2"/>
      <c r="Q249" s="2"/>
      <c r="R249" s="2"/>
      <c r="S249" s="2"/>
      <c r="T249" s="2"/>
      <c r="U249" s="2"/>
      <c r="V249" s="2"/>
      <c r="W249" s="2"/>
      <c r="X249" s="2"/>
      <c r="Y249" s="2"/>
      <c r="Z249" s="2"/>
      <c r="AA249" s="264">
        <v>245</v>
      </c>
      <c r="AB249" s="16" t="str">
        <f t="shared" si="212"/>
        <v/>
      </c>
      <c r="AC249" s="16" t="str">
        <f t="shared" si="213"/>
        <v/>
      </c>
      <c r="AD249" s="16" t="str">
        <f t="shared" si="185"/>
        <v/>
      </c>
      <c r="AE249" s="16" t="str">
        <f t="shared" si="186"/>
        <v/>
      </c>
      <c r="AF249" s="16" t="str">
        <f t="shared" si="187"/>
        <v/>
      </c>
      <c r="AG249" s="16" t="str">
        <f t="shared" si="214"/>
        <v/>
      </c>
      <c r="AH249" s="16" t="str">
        <f t="shared" si="215"/>
        <v/>
      </c>
      <c r="AI249" s="29" t="str">
        <f t="shared" si="188"/>
        <v/>
      </c>
      <c r="AJ249" s="29" t="str">
        <f t="shared" si="189"/>
        <v/>
      </c>
      <c r="AK249" s="2"/>
      <c r="AL249" s="2"/>
      <c r="AM249" s="2"/>
      <c r="AN249" s="2"/>
      <c r="AO249" s="2"/>
      <c r="AP249" s="2"/>
      <c r="AQ249" s="2"/>
      <c r="AR249" s="2"/>
      <c r="AS249" s="2"/>
      <c r="AT249" s="2"/>
      <c r="AU249" s="2"/>
      <c r="AV249" s="2"/>
      <c r="AW249" s="2"/>
      <c r="AX249" s="2"/>
      <c r="AY249" s="2"/>
      <c r="AZ249" s="2"/>
      <c r="BA249" s="2"/>
      <c r="BB249" s="2"/>
      <c r="BC249" s="2"/>
    </row>
    <row r="250" spans="1:55" x14ac:dyDescent="0.25">
      <c r="D250" s="54"/>
      <c r="E250" s="54"/>
      <c r="F250" s="54"/>
      <c r="G250" s="54"/>
      <c r="H250" s="54"/>
      <c r="I250" s="54"/>
      <c r="J250" s="2"/>
      <c r="K250" s="2"/>
      <c r="L250" s="2"/>
      <c r="M250" s="2"/>
      <c r="N250" s="2"/>
      <c r="O250" s="2"/>
      <c r="P250" s="2"/>
      <c r="Q250" s="2"/>
      <c r="R250" s="2"/>
      <c r="S250" s="2"/>
      <c r="T250" s="2"/>
      <c r="U250" s="2"/>
      <c r="V250" s="2"/>
      <c r="W250" s="2"/>
      <c r="X250" s="2"/>
      <c r="Y250" s="2"/>
      <c r="Z250" s="2"/>
      <c r="AA250" s="264">
        <v>246</v>
      </c>
      <c r="AB250" s="16" t="str">
        <f t="shared" si="212"/>
        <v/>
      </c>
      <c r="AC250" s="16" t="str">
        <f t="shared" si="213"/>
        <v/>
      </c>
      <c r="AD250" s="16" t="str">
        <f t="shared" si="185"/>
        <v/>
      </c>
      <c r="AE250" s="16" t="str">
        <f t="shared" si="186"/>
        <v/>
      </c>
      <c r="AF250" s="16" t="str">
        <f t="shared" si="187"/>
        <v/>
      </c>
      <c r="AG250" s="16" t="str">
        <f t="shared" si="214"/>
        <v/>
      </c>
      <c r="AH250" s="16" t="str">
        <f t="shared" si="215"/>
        <v/>
      </c>
      <c r="AI250" s="29" t="str">
        <f t="shared" si="188"/>
        <v/>
      </c>
      <c r="AJ250" s="29" t="str">
        <f t="shared" si="189"/>
        <v/>
      </c>
      <c r="AK250" s="2"/>
      <c r="AL250" s="2"/>
      <c r="AM250" s="2"/>
      <c r="AN250" s="2"/>
      <c r="AO250" s="2"/>
      <c r="AP250" s="2"/>
      <c r="AQ250" s="2"/>
      <c r="AR250" s="2"/>
      <c r="AS250" s="2"/>
      <c r="AT250" s="2"/>
      <c r="AU250" s="2"/>
      <c r="AV250" s="2"/>
      <c r="AW250" s="2"/>
      <c r="AX250" s="2"/>
      <c r="AY250" s="2"/>
      <c r="AZ250" s="2"/>
      <c r="BA250" s="2"/>
      <c r="BB250" s="2"/>
      <c r="BC250" s="2"/>
    </row>
    <row r="251" spans="1:55" x14ac:dyDescent="0.25">
      <c r="D251" s="54"/>
      <c r="E251" s="54"/>
      <c r="F251" s="54"/>
      <c r="G251" s="54"/>
      <c r="H251" s="54"/>
      <c r="I251" s="54"/>
      <c r="J251" s="2"/>
      <c r="K251" s="2"/>
      <c r="L251" s="2"/>
      <c r="M251" s="2"/>
      <c r="N251" s="2"/>
      <c r="O251" s="2"/>
      <c r="P251" s="2"/>
      <c r="Q251" s="2"/>
      <c r="R251" s="2"/>
      <c r="S251" s="2"/>
      <c r="T251" s="2"/>
      <c r="U251" s="2"/>
      <c r="V251" s="2"/>
      <c r="W251" s="2"/>
      <c r="X251" s="2"/>
      <c r="Y251" s="2"/>
      <c r="Z251" s="2"/>
      <c r="AA251" s="264">
        <v>247</v>
      </c>
      <c r="AB251" s="16" t="str">
        <f t="shared" si="212"/>
        <v/>
      </c>
      <c r="AC251" s="16" t="str">
        <f t="shared" si="213"/>
        <v/>
      </c>
      <c r="AD251" s="16" t="str">
        <f t="shared" si="185"/>
        <v/>
      </c>
      <c r="AE251" s="16" t="str">
        <f t="shared" si="186"/>
        <v/>
      </c>
      <c r="AF251" s="16" t="str">
        <f t="shared" si="187"/>
        <v/>
      </c>
      <c r="AG251" s="16" t="str">
        <f t="shared" si="214"/>
        <v/>
      </c>
      <c r="AH251" s="16" t="str">
        <f t="shared" si="215"/>
        <v/>
      </c>
      <c r="AI251" s="29" t="str">
        <f t="shared" si="188"/>
        <v/>
      </c>
      <c r="AJ251" s="29" t="str">
        <f t="shared" si="189"/>
        <v/>
      </c>
      <c r="AK251" s="2"/>
      <c r="AL251" s="2"/>
      <c r="AM251" s="2"/>
      <c r="AN251" s="2"/>
      <c r="AO251" s="2"/>
      <c r="AP251" s="2"/>
      <c r="AQ251" s="2"/>
      <c r="AR251" s="2"/>
      <c r="AS251" s="2"/>
      <c r="AT251" s="2"/>
      <c r="AU251" s="2"/>
      <c r="AV251" s="2"/>
      <c r="AW251" s="2"/>
      <c r="AX251" s="2"/>
      <c r="AY251" s="2"/>
      <c r="AZ251" s="2"/>
      <c r="BA251" s="2"/>
      <c r="BB251" s="2"/>
      <c r="BC251" s="2"/>
    </row>
    <row r="252" spans="1:55" x14ac:dyDescent="0.25">
      <c r="D252" s="54"/>
      <c r="E252" s="54"/>
      <c r="F252" s="54"/>
      <c r="G252" s="54"/>
      <c r="H252" s="54"/>
      <c r="I252" s="54"/>
      <c r="J252" s="2"/>
      <c r="K252" s="2"/>
      <c r="L252" s="2"/>
      <c r="M252" s="2"/>
      <c r="N252" s="2"/>
      <c r="O252" s="2"/>
      <c r="P252" s="2"/>
      <c r="Q252" s="2"/>
      <c r="R252" s="2"/>
      <c r="S252" s="2"/>
      <c r="T252" s="2"/>
      <c r="U252" s="2"/>
      <c r="V252" s="2"/>
      <c r="W252" s="2"/>
      <c r="X252" s="2"/>
      <c r="Y252" s="2"/>
      <c r="Z252" s="2"/>
      <c r="AA252" s="264">
        <v>248</v>
      </c>
      <c r="AB252" s="16" t="str">
        <f t="shared" si="212"/>
        <v/>
      </c>
      <c r="AC252" s="16" t="str">
        <f t="shared" si="213"/>
        <v/>
      </c>
      <c r="AD252" s="16" t="str">
        <f t="shared" si="185"/>
        <v/>
      </c>
      <c r="AE252" s="16" t="str">
        <f t="shared" si="186"/>
        <v/>
      </c>
      <c r="AF252" s="16" t="str">
        <f t="shared" si="187"/>
        <v/>
      </c>
      <c r="AG252" s="16" t="str">
        <f t="shared" si="214"/>
        <v/>
      </c>
      <c r="AH252" s="16" t="str">
        <f t="shared" si="215"/>
        <v/>
      </c>
      <c r="AI252" s="29" t="str">
        <f t="shared" si="188"/>
        <v/>
      </c>
      <c r="AJ252" s="29" t="str">
        <f t="shared" si="189"/>
        <v/>
      </c>
      <c r="AK252" s="2"/>
      <c r="AL252" s="2"/>
      <c r="AM252" s="2"/>
      <c r="AN252" s="2"/>
      <c r="AO252" s="2"/>
      <c r="AP252" s="2"/>
      <c r="AQ252" s="2"/>
      <c r="AR252" s="2"/>
      <c r="AS252" s="2"/>
      <c r="AT252" s="2"/>
      <c r="AU252" s="2"/>
      <c r="AV252" s="2"/>
      <c r="AW252" s="2"/>
      <c r="AX252" s="2"/>
      <c r="AY252" s="2"/>
      <c r="AZ252" s="2"/>
      <c r="BA252" s="2"/>
      <c r="BB252" s="2"/>
      <c r="BC252" s="2"/>
    </row>
    <row r="253" spans="1:55" x14ac:dyDescent="0.25">
      <c r="A253" s="48"/>
      <c r="B253" s="54"/>
      <c r="C253" s="54"/>
      <c r="D253" s="54"/>
      <c r="E253" s="54"/>
      <c r="F253" s="54"/>
      <c r="G253" s="54"/>
      <c r="H253" s="54"/>
      <c r="I253" s="54"/>
      <c r="J253" s="2"/>
      <c r="K253" s="2"/>
      <c r="L253" s="2"/>
      <c r="M253" s="2"/>
      <c r="N253" s="2"/>
      <c r="O253" s="2"/>
      <c r="P253" s="2"/>
      <c r="Q253" s="2"/>
      <c r="R253" s="2"/>
      <c r="S253" s="2"/>
      <c r="T253" s="2"/>
      <c r="U253" s="2"/>
      <c r="V253" s="2"/>
      <c r="W253" s="2"/>
      <c r="X253" s="2"/>
      <c r="Y253" s="2"/>
      <c r="Z253" s="2"/>
      <c r="AA253" s="264">
        <v>249</v>
      </c>
      <c r="AB253" s="16" t="str">
        <f t="shared" si="212"/>
        <v/>
      </c>
      <c r="AC253" s="16" t="str">
        <f t="shared" si="213"/>
        <v/>
      </c>
      <c r="AD253" s="16" t="str">
        <f t="shared" si="185"/>
        <v/>
      </c>
      <c r="AE253" s="16" t="str">
        <f t="shared" si="186"/>
        <v/>
      </c>
      <c r="AF253" s="16" t="str">
        <f t="shared" si="187"/>
        <v/>
      </c>
      <c r="AG253" s="16" t="str">
        <f t="shared" si="214"/>
        <v/>
      </c>
      <c r="AH253" s="16" t="str">
        <f t="shared" si="215"/>
        <v/>
      </c>
      <c r="AI253" s="29" t="str">
        <f t="shared" si="188"/>
        <v/>
      </c>
      <c r="AJ253" s="29" t="str">
        <f t="shared" si="189"/>
        <v/>
      </c>
      <c r="AK253" s="2"/>
      <c r="AL253" s="2"/>
      <c r="AM253" s="2"/>
      <c r="AN253" s="2"/>
      <c r="AO253" s="2"/>
      <c r="AP253" s="2"/>
      <c r="AQ253" s="2"/>
      <c r="AR253" s="2"/>
      <c r="AS253" s="2"/>
      <c r="AT253" s="2"/>
      <c r="AU253" s="2"/>
      <c r="AV253" s="2"/>
      <c r="AW253" s="2"/>
      <c r="AX253" s="2"/>
      <c r="AY253" s="2"/>
      <c r="AZ253" s="2"/>
      <c r="BA253" s="2"/>
      <c r="BB253" s="2"/>
      <c r="BC253" s="2"/>
    </row>
    <row r="254" spans="1:55" x14ac:dyDescent="0.25">
      <c r="A254" s="48"/>
      <c r="B254" s="54"/>
      <c r="C254" s="54"/>
      <c r="D254" s="54"/>
      <c r="E254" s="54"/>
      <c r="F254" s="54"/>
      <c r="G254" s="54"/>
      <c r="H254" s="54"/>
      <c r="I254" s="54"/>
      <c r="J254" s="2"/>
      <c r="K254" s="2"/>
      <c r="L254" s="2"/>
      <c r="M254" s="2"/>
      <c r="N254" s="2"/>
      <c r="O254" s="2"/>
      <c r="P254" s="2"/>
      <c r="Q254" s="2"/>
      <c r="R254" s="2"/>
      <c r="S254" s="2"/>
      <c r="T254" s="2"/>
      <c r="U254" s="2"/>
      <c r="V254" s="2"/>
      <c r="W254" s="2"/>
      <c r="X254" s="2"/>
      <c r="Y254" s="2"/>
      <c r="Z254" s="2"/>
      <c r="AA254" s="264">
        <v>250</v>
      </c>
      <c r="AB254" s="16" t="str">
        <f t="shared" si="212"/>
        <v/>
      </c>
      <c r="AC254" s="16" t="str">
        <f t="shared" si="213"/>
        <v/>
      </c>
      <c r="AD254" s="16" t="str">
        <f t="shared" si="185"/>
        <v/>
      </c>
      <c r="AE254" s="16" t="str">
        <f t="shared" si="186"/>
        <v/>
      </c>
      <c r="AF254" s="16" t="str">
        <f t="shared" si="187"/>
        <v/>
      </c>
      <c r="AG254" s="16" t="str">
        <f t="shared" si="214"/>
        <v/>
      </c>
      <c r="AH254" s="16" t="str">
        <f t="shared" si="215"/>
        <v/>
      </c>
      <c r="AI254" s="29" t="str">
        <f t="shared" si="188"/>
        <v/>
      </c>
      <c r="AJ254" s="29" t="str">
        <f t="shared" si="189"/>
        <v/>
      </c>
      <c r="AK254" s="2"/>
      <c r="AL254" s="2"/>
      <c r="AM254" s="2"/>
      <c r="AN254" s="2"/>
      <c r="AO254" s="2"/>
      <c r="AP254" s="2"/>
      <c r="AQ254" s="2"/>
      <c r="AR254" s="2"/>
      <c r="AS254" s="2"/>
      <c r="AT254" s="2"/>
      <c r="AU254" s="2"/>
      <c r="AV254" s="2"/>
      <c r="AW254" s="2"/>
      <c r="AX254" s="2"/>
      <c r="AY254" s="2"/>
      <c r="AZ254" s="2"/>
      <c r="BA254" s="2"/>
      <c r="BB254" s="2"/>
      <c r="BC254" s="2"/>
    </row>
    <row r="255" spans="1:55" x14ac:dyDescent="0.25">
      <c r="D255" s="54"/>
      <c r="E255" s="54"/>
      <c r="F255" s="54"/>
      <c r="G255" s="54"/>
      <c r="H255" s="54"/>
      <c r="I255" s="54"/>
      <c r="J255" s="2"/>
      <c r="K255" s="2"/>
      <c r="L255" s="2"/>
      <c r="M255" s="2"/>
      <c r="N255" s="2"/>
      <c r="O255" s="2"/>
      <c r="P255" s="2"/>
      <c r="Q255" s="2"/>
      <c r="R255" s="2"/>
      <c r="S255" s="2"/>
      <c r="T255" s="2"/>
      <c r="U255" s="2"/>
      <c r="V255" s="2"/>
      <c r="W255" s="2"/>
      <c r="X255" s="2"/>
      <c r="Y255" s="2"/>
      <c r="Z255" s="2"/>
      <c r="AA255" s="264">
        <v>251</v>
      </c>
      <c r="AB255" s="16" t="str">
        <f t="shared" ref="AB255:AB286" si="216">IF($C$9&gt;=$AA255,$R13+0.000001-$AB$410,"")</f>
        <v/>
      </c>
      <c r="AC255" s="16" t="str">
        <f t="shared" ref="AC255:AC286" si="217">IF($C$9&gt;=$AA255,$Q13+0.000001-$AB$409,"")</f>
        <v/>
      </c>
      <c r="AD255" s="16" t="str">
        <f t="shared" si="185"/>
        <v/>
      </c>
      <c r="AE255" s="16" t="str">
        <f t="shared" si="186"/>
        <v/>
      </c>
      <c r="AF255" s="16" t="str">
        <f t="shared" si="187"/>
        <v/>
      </c>
      <c r="AG255" s="16" t="str">
        <f t="shared" ref="AG255:AG286" si="218">IF($C$9&gt;=$AA255,$Q13-$AB$409,"")</f>
        <v/>
      </c>
      <c r="AH255" s="16" t="str">
        <f t="shared" ref="AH255:AH286" si="219">IF($C$9&gt;=$AA255,$R13-$AB$410,"")</f>
        <v/>
      </c>
      <c r="AI255" s="29" t="str">
        <f t="shared" si="188"/>
        <v/>
      </c>
      <c r="AJ255" s="29" t="str">
        <f t="shared" si="189"/>
        <v/>
      </c>
      <c r="AK255" s="2"/>
      <c r="AL255" s="2"/>
      <c r="AM255" s="2"/>
      <c r="AN255" s="2"/>
      <c r="AO255" s="2"/>
      <c r="AP255" s="2"/>
      <c r="AQ255" s="2"/>
      <c r="AR255" s="2"/>
      <c r="AS255" s="2"/>
      <c r="AT255" s="2"/>
      <c r="AU255" s="2"/>
      <c r="AV255" s="2"/>
      <c r="AW255" s="2"/>
      <c r="AX255" s="2"/>
      <c r="AY255" s="2"/>
      <c r="AZ255" s="2"/>
      <c r="BA255" s="2"/>
      <c r="BB255" s="2"/>
      <c r="BC255" s="2"/>
    </row>
    <row r="256" spans="1:55" x14ac:dyDescent="0.25">
      <c r="D256" s="54"/>
      <c r="E256" s="54"/>
      <c r="F256" s="54"/>
      <c r="G256" s="54"/>
      <c r="H256" s="54"/>
      <c r="I256" s="54"/>
      <c r="J256" s="2"/>
      <c r="K256" s="2"/>
      <c r="L256" s="2"/>
      <c r="M256" s="2"/>
      <c r="N256" s="2"/>
      <c r="O256" s="2"/>
      <c r="P256" s="2"/>
      <c r="Q256" s="2"/>
      <c r="R256" s="2"/>
      <c r="S256" s="2"/>
      <c r="T256" s="2"/>
      <c r="U256" s="2"/>
      <c r="V256" s="2"/>
      <c r="W256" s="2"/>
      <c r="X256" s="2"/>
      <c r="Y256" s="2"/>
      <c r="Z256" s="2"/>
      <c r="AA256" s="264">
        <v>252</v>
      </c>
      <c r="AB256" s="16" t="str">
        <f t="shared" si="216"/>
        <v/>
      </c>
      <c r="AC256" s="16" t="str">
        <f t="shared" si="217"/>
        <v/>
      </c>
      <c r="AD256" s="16" t="str">
        <f t="shared" si="185"/>
        <v/>
      </c>
      <c r="AE256" s="16" t="str">
        <f t="shared" si="186"/>
        <v/>
      </c>
      <c r="AF256" s="16" t="str">
        <f t="shared" si="187"/>
        <v/>
      </c>
      <c r="AG256" s="16" t="str">
        <f t="shared" si="218"/>
        <v/>
      </c>
      <c r="AH256" s="16" t="str">
        <f t="shared" si="219"/>
        <v/>
      </c>
      <c r="AI256" s="29" t="str">
        <f t="shared" si="188"/>
        <v/>
      </c>
      <c r="AJ256" s="29" t="str">
        <f t="shared" si="189"/>
        <v/>
      </c>
      <c r="AK256" s="2"/>
      <c r="AL256" s="2"/>
      <c r="AM256" s="2"/>
      <c r="AN256" s="2"/>
      <c r="AO256" s="2"/>
      <c r="AP256" s="2"/>
      <c r="AQ256" s="2"/>
      <c r="AR256" s="2"/>
      <c r="AS256" s="2"/>
      <c r="AT256" s="2"/>
      <c r="AU256" s="2"/>
      <c r="AV256" s="2"/>
      <c r="AW256" s="2"/>
      <c r="AX256" s="2"/>
      <c r="AY256" s="2"/>
      <c r="AZ256" s="2"/>
      <c r="BA256" s="2"/>
      <c r="BB256" s="2"/>
      <c r="BC256" s="2"/>
    </row>
    <row r="257" spans="4:55" x14ac:dyDescent="0.25">
      <c r="D257" s="82"/>
      <c r="E257" s="54"/>
      <c r="F257" s="54"/>
      <c r="G257" s="54"/>
      <c r="H257" s="54"/>
      <c r="I257" s="54"/>
      <c r="J257" s="2"/>
      <c r="K257" s="2"/>
      <c r="L257" s="2"/>
      <c r="M257" s="2"/>
      <c r="N257" s="2"/>
      <c r="O257" s="2"/>
      <c r="P257" s="2"/>
      <c r="Q257" s="2"/>
      <c r="R257" s="2"/>
      <c r="S257" s="2"/>
      <c r="T257" s="2"/>
      <c r="U257" s="2"/>
      <c r="V257" s="2"/>
      <c r="W257" s="2"/>
      <c r="X257" s="2"/>
      <c r="Y257" s="2"/>
      <c r="Z257" s="2"/>
      <c r="AA257" s="264">
        <v>253</v>
      </c>
      <c r="AB257" s="16" t="str">
        <f t="shared" si="216"/>
        <v/>
      </c>
      <c r="AC257" s="16" t="str">
        <f t="shared" si="217"/>
        <v/>
      </c>
      <c r="AD257" s="16" t="str">
        <f t="shared" si="185"/>
        <v/>
      </c>
      <c r="AE257" s="16" t="str">
        <f t="shared" si="186"/>
        <v/>
      </c>
      <c r="AF257" s="16" t="str">
        <f t="shared" si="187"/>
        <v/>
      </c>
      <c r="AG257" s="16" t="str">
        <f t="shared" si="218"/>
        <v/>
      </c>
      <c r="AH257" s="16" t="str">
        <f t="shared" si="219"/>
        <v/>
      </c>
      <c r="AI257" s="29" t="str">
        <f t="shared" si="188"/>
        <v/>
      </c>
      <c r="AJ257" s="29" t="str">
        <f t="shared" si="189"/>
        <v/>
      </c>
      <c r="AK257" s="2"/>
      <c r="AL257" s="2"/>
      <c r="AM257" s="2"/>
      <c r="AN257" s="2"/>
      <c r="AO257" s="2"/>
      <c r="AP257" s="2"/>
      <c r="AQ257" s="2"/>
      <c r="AR257" s="2"/>
      <c r="AS257" s="2"/>
      <c r="AT257" s="2"/>
      <c r="AU257" s="2"/>
      <c r="AV257" s="2"/>
      <c r="AW257" s="2"/>
      <c r="AX257" s="2"/>
      <c r="AY257" s="2"/>
      <c r="AZ257" s="2"/>
      <c r="BA257" s="2"/>
      <c r="BB257" s="2"/>
      <c r="BC257" s="2"/>
    </row>
    <row r="258" spans="4:55" x14ac:dyDescent="0.25">
      <c r="D258" s="54"/>
      <c r="E258" s="54"/>
      <c r="F258" s="54"/>
      <c r="G258" s="54"/>
      <c r="H258" s="54"/>
      <c r="I258" s="54"/>
      <c r="J258" s="2"/>
      <c r="K258" s="2"/>
      <c r="L258" s="2"/>
      <c r="M258" s="2"/>
      <c r="N258" s="2"/>
      <c r="O258" s="2"/>
      <c r="P258" s="2"/>
      <c r="Q258" s="2"/>
      <c r="R258" s="2"/>
      <c r="S258" s="2"/>
      <c r="T258" s="2"/>
      <c r="U258" s="2"/>
      <c r="V258" s="2"/>
      <c r="W258" s="2"/>
      <c r="X258" s="2"/>
      <c r="Y258" s="2"/>
      <c r="Z258" s="2"/>
      <c r="AA258" s="264">
        <v>254</v>
      </c>
      <c r="AB258" s="16" t="str">
        <f t="shared" si="216"/>
        <v/>
      </c>
      <c r="AC258" s="16" t="str">
        <f t="shared" si="217"/>
        <v/>
      </c>
      <c r="AD258" s="16" t="str">
        <f t="shared" si="185"/>
        <v/>
      </c>
      <c r="AE258" s="16" t="str">
        <f t="shared" si="186"/>
        <v/>
      </c>
      <c r="AF258" s="16" t="str">
        <f t="shared" si="187"/>
        <v/>
      </c>
      <c r="AG258" s="16" t="str">
        <f t="shared" si="218"/>
        <v/>
      </c>
      <c r="AH258" s="16" t="str">
        <f t="shared" si="219"/>
        <v/>
      </c>
      <c r="AI258" s="29" t="str">
        <f t="shared" si="188"/>
        <v/>
      </c>
      <c r="AJ258" s="29" t="str">
        <f t="shared" si="189"/>
        <v/>
      </c>
      <c r="AK258" s="2"/>
      <c r="AL258" s="2"/>
      <c r="AM258" s="2"/>
      <c r="AN258" s="2"/>
      <c r="AO258" s="2"/>
      <c r="AP258" s="2"/>
      <c r="AQ258" s="2"/>
      <c r="AR258" s="2"/>
      <c r="AS258" s="2"/>
      <c r="AT258" s="2"/>
      <c r="AU258" s="2"/>
      <c r="AV258" s="2"/>
      <c r="AW258" s="2"/>
      <c r="AX258" s="2"/>
      <c r="AY258" s="2"/>
      <c r="AZ258" s="2"/>
      <c r="BA258" s="2"/>
      <c r="BB258" s="2"/>
      <c r="BC258" s="2"/>
    </row>
    <row r="259" spans="4:55" x14ac:dyDescent="0.25">
      <c r="D259" s="54"/>
      <c r="E259" s="54"/>
      <c r="F259" s="54"/>
      <c r="G259" s="54"/>
      <c r="H259" s="54"/>
      <c r="I259" s="54"/>
      <c r="J259" s="2"/>
      <c r="K259" s="2"/>
      <c r="L259" s="2"/>
      <c r="M259" s="2"/>
      <c r="N259" s="2"/>
      <c r="O259" s="2"/>
      <c r="P259" s="2"/>
      <c r="Q259" s="2"/>
      <c r="R259" s="2"/>
      <c r="S259" s="2"/>
      <c r="T259" s="2"/>
      <c r="U259" s="2"/>
      <c r="V259" s="2"/>
      <c r="W259" s="2"/>
      <c r="X259" s="2"/>
      <c r="Y259" s="2"/>
      <c r="Z259" s="2"/>
      <c r="AA259" s="264">
        <v>255</v>
      </c>
      <c r="AB259" s="16" t="str">
        <f t="shared" si="216"/>
        <v/>
      </c>
      <c r="AC259" s="16" t="str">
        <f t="shared" si="217"/>
        <v/>
      </c>
      <c r="AD259" s="16" t="str">
        <f t="shared" si="185"/>
        <v/>
      </c>
      <c r="AE259" s="16" t="str">
        <f t="shared" si="186"/>
        <v/>
      </c>
      <c r="AF259" s="16" t="str">
        <f t="shared" si="187"/>
        <v/>
      </c>
      <c r="AG259" s="16" t="str">
        <f t="shared" si="218"/>
        <v/>
      </c>
      <c r="AH259" s="16" t="str">
        <f t="shared" si="219"/>
        <v/>
      </c>
      <c r="AI259" s="29" t="str">
        <f t="shared" si="188"/>
        <v/>
      </c>
      <c r="AJ259" s="29" t="str">
        <f t="shared" si="189"/>
        <v/>
      </c>
      <c r="AK259" s="2"/>
      <c r="AL259" s="2"/>
      <c r="AM259" s="2"/>
      <c r="AN259" s="2"/>
      <c r="AO259" s="2"/>
      <c r="AP259" s="2"/>
      <c r="AQ259" s="2"/>
      <c r="AR259" s="2"/>
      <c r="AS259" s="2"/>
      <c r="AT259" s="2"/>
      <c r="AU259" s="2"/>
      <c r="AV259" s="2"/>
      <c r="AW259" s="2"/>
      <c r="AX259" s="2"/>
      <c r="AY259" s="2"/>
      <c r="AZ259" s="2"/>
      <c r="BA259" s="2"/>
      <c r="BB259" s="2"/>
      <c r="BC259" s="2"/>
    </row>
    <row r="260" spans="4:55" x14ac:dyDescent="0.25">
      <c r="D260" s="54"/>
      <c r="E260" s="54"/>
      <c r="F260" s="54"/>
      <c r="G260" s="54"/>
      <c r="H260" s="54"/>
      <c r="I260" s="54"/>
      <c r="J260" s="2"/>
      <c r="K260" s="2"/>
      <c r="L260" s="2"/>
      <c r="M260" s="2"/>
      <c r="N260" s="2"/>
      <c r="O260" s="2"/>
      <c r="P260" s="2"/>
      <c r="Q260" s="2"/>
      <c r="R260" s="2"/>
      <c r="S260" s="2"/>
      <c r="T260" s="2"/>
      <c r="U260" s="2"/>
      <c r="V260" s="2"/>
      <c r="W260" s="2"/>
      <c r="X260" s="2"/>
      <c r="Y260" s="2"/>
      <c r="Z260" s="2"/>
      <c r="AA260" s="264">
        <v>256</v>
      </c>
      <c r="AB260" s="16" t="str">
        <f t="shared" si="216"/>
        <v/>
      </c>
      <c r="AC260" s="16" t="str">
        <f t="shared" si="217"/>
        <v/>
      </c>
      <c r="AD260" s="16" t="str">
        <f t="shared" si="185"/>
        <v/>
      </c>
      <c r="AE260" s="16" t="str">
        <f t="shared" si="186"/>
        <v/>
      </c>
      <c r="AF260" s="16" t="str">
        <f t="shared" si="187"/>
        <v/>
      </c>
      <c r="AG260" s="16" t="str">
        <f t="shared" si="218"/>
        <v/>
      </c>
      <c r="AH260" s="16" t="str">
        <f t="shared" si="219"/>
        <v/>
      </c>
      <c r="AI260" s="29" t="str">
        <f t="shared" si="188"/>
        <v/>
      </c>
      <c r="AJ260" s="29" t="str">
        <f t="shared" si="189"/>
        <v/>
      </c>
      <c r="AK260" s="2"/>
      <c r="AL260" s="2"/>
      <c r="AM260" s="2"/>
      <c r="AN260" s="2"/>
      <c r="AO260" s="2"/>
      <c r="AP260" s="2"/>
      <c r="AQ260" s="2"/>
      <c r="AR260" s="2"/>
      <c r="AS260" s="2"/>
      <c r="AT260" s="2"/>
      <c r="AU260" s="2"/>
      <c r="AV260" s="2"/>
      <c r="AW260" s="2"/>
      <c r="AX260" s="2"/>
      <c r="AY260" s="2"/>
      <c r="AZ260" s="2"/>
      <c r="BA260" s="2"/>
      <c r="BB260" s="2"/>
      <c r="BC260" s="2"/>
    </row>
    <row r="261" spans="4:55" x14ac:dyDescent="0.25">
      <c r="D261" s="54"/>
      <c r="E261" s="54"/>
      <c r="F261" s="54"/>
      <c r="G261" s="54"/>
      <c r="H261" s="54"/>
      <c r="I261" s="54"/>
      <c r="J261" s="2"/>
      <c r="K261" s="2"/>
      <c r="L261" s="2"/>
      <c r="M261" s="2"/>
      <c r="N261" s="2"/>
      <c r="O261" s="2"/>
      <c r="P261" s="2"/>
      <c r="Q261" s="2"/>
      <c r="R261" s="2"/>
      <c r="S261" s="2"/>
      <c r="T261" s="2"/>
      <c r="U261" s="2"/>
      <c r="V261" s="2"/>
      <c r="W261" s="2"/>
      <c r="X261" s="2"/>
      <c r="Y261" s="2"/>
      <c r="Z261" s="2"/>
      <c r="AA261" s="264">
        <v>257</v>
      </c>
      <c r="AB261" s="16" t="str">
        <f t="shared" si="216"/>
        <v/>
      </c>
      <c r="AC261" s="16" t="str">
        <f t="shared" si="217"/>
        <v/>
      </c>
      <c r="AD261" s="16" t="str">
        <f t="shared" ref="AD261:AD324" si="220">IF($C$9&gt;=$AA261,$AB261^2,"")</f>
        <v/>
      </c>
      <c r="AE261" s="16" t="str">
        <f t="shared" ref="AE261:AE324" si="221">IF($C$9&gt;=$AA261,$AC261^2,"")</f>
        <v/>
      </c>
      <c r="AF261" s="16" t="str">
        <f t="shared" ref="AF261:AF324" si="222">IF($C$9&gt;=$AA261,$AB261*$AC261,"")</f>
        <v/>
      </c>
      <c r="AG261" s="16" t="str">
        <f t="shared" si="218"/>
        <v/>
      </c>
      <c r="AH261" s="16" t="str">
        <f t="shared" si="219"/>
        <v/>
      </c>
      <c r="AI261" s="29" t="str">
        <f t="shared" ref="AI261:AI324" si="223">IF($C$9&gt;=$AA261,(-$AF$418/$C$9+($AF$422*$AB$411--$AF$421*$AB$414)/($AB$411*$AB$412-$AB$414^2)*$AG261+(-$AF$421*$AB$412-$AF$422*$AB$414)/($AB$411*$AB$412-$AB$414^2)*$AH261),"")</f>
        <v/>
      </c>
      <c r="AJ261" s="29" t="str">
        <f t="shared" ref="AJ261:AJ324" si="224">IF($C$9&gt;=$AA261,((($AF$419/$C$9+$AF$423*-$AH261/$AB$413)^2+($AF$420/$C$9+$AF$423*$AG261/$AB$413)^2)^(1/2)),"")</f>
        <v/>
      </c>
      <c r="AK261" s="2"/>
      <c r="AL261" s="2"/>
      <c r="AM261" s="2"/>
      <c r="AN261" s="2"/>
      <c r="AO261" s="2"/>
      <c r="AP261" s="2"/>
      <c r="AQ261" s="2"/>
      <c r="AR261" s="2"/>
      <c r="AS261" s="2"/>
      <c r="AT261" s="2"/>
      <c r="AU261" s="2"/>
      <c r="AV261" s="2"/>
      <c r="AW261" s="2"/>
      <c r="AX261" s="2"/>
      <c r="AY261" s="2"/>
      <c r="AZ261" s="2"/>
      <c r="BA261" s="2"/>
      <c r="BB261" s="2"/>
      <c r="BC261" s="2"/>
    </row>
    <row r="262" spans="4:55" x14ac:dyDescent="0.25">
      <c r="D262" s="54"/>
      <c r="E262" s="54"/>
      <c r="F262" s="54"/>
      <c r="G262" s="54"/>
      <c r="H262" s="54"/>
      <c r="I262" s="54"/>
      <c r="J262" s="2"/>
      <c r="K262" s="2"/>
      <c r="L262" s="2"/>
      <c r="M262" s="2"/>
      <c r="N262" s="2"/>
      <c r="O262" s="2"/>
      <c r="P262" s="2"/>
      <c r="Q262" s="2"/>
      <c r="R262" s="2"/>
      <c r="S262" s="2"/>
      <c r="T262" s="2"/>
      <c r="U262" s="2"/>
      <c r="V262" s="2"/>
      <c r="W262" s="2"/>
      <c r="X262" s="2"/>
      <c r="Y262" s="2"/>
      <c r="Z262" s="2"/>
      <c r="AA262" s="264">
        <v>258</v>
      </c>
      <c r="AB262" s="16" t="str">
        <f t="shared" si="216"/>
        <v/>
      </c>
      <c r="AC262" s="16" t="str">
        <f t="shared" si="217"/>
        <v/>
      </c>
      <c r="AD262" s="16" t="str">
        <f t="shared" si="220"/>
        <v/>
      </c>
      <c r="AE262" s="16" t="str">
        <f t="shared" si="221"/>
        <v/>
      </c>
      <c r="AF262" s="16" t="str">
        <f t="shared" si="222"/>
        <v/>
      </c>
      <c r="AG262" s="16" t="str">
        <f t="shared" si="218"/>
        <v/>
      </c>
      <c r="AH262" s="16" t="str">
        <f t="shared" si="219"/>
        <v/>
      </c>
      <c r="AI262" s="29" t="str">
        <f t="shared" si="223"/>
        <v/>
      </c>
      <c r="AJ262" s="29" t="str">
        <f t="shared" si="224"/>
        <v/>
      </c>
      <c r="AK262" s="2"/>
      <c r="AL262" s="2"/>
      <c r="AM262" s="2"/>
      <c r="AN262" s="2"/>
      <c r="AO262" s="2"/>
      <c r="AP262" s="2"/>
      <c r="AQ262" s="2"/>
      <c r="AR262" s="2"/>
      <c r="AS262" s="2"/>
      <c r="AT262" s="2"/>
      <c r="AU262" s="2"/>
      <c r="AV262" s="2"/>
      <c r="AW262" s="2"/>
      <c r="AX262" s="2"/>
      <c r="AY262" s="2"/>
      <c r="AZ262" s="2"/>
      <c r="BA262" s="2"/>
      <c r="BB262" s="2"/>
      <c r="BC262" s="2"/>
    </row>
    <row r="263" spans="4:55" x14ac:dyDescent="0.25">
      <c r="D263" s="54"/>
      <c r="E263" s="54"/>
      <c r="F263" s="54"/>
      <c r="G263" s="54"/>
      <c r="H263" s="54"/>
      <c r="I263" s="54"/>
      <c r="J263" s="2"/>
      <c r="K263" s="2"/>
      <c r="L263" s="2"/>
      <c r="M263" s="2"/>
      <c r="N263" s="2"/>
      <c r="O263" s="2"/>
      <c r="P263" s="2"/>
      <c r="Q263" s="2"/>
      <c r="R263" s="2"/>
      <c r="S263" s="2"/>
      <c r="T263" s="2"/>
      <c r="U263" s="2"/>
      <c r="V263" s="2"/>
      <c r="W263" s="2"/>
      <c r="X263" s="2"/>
      <c r="Y263" s="2"/>
      <c r="Z263" s="2"/>
      <c r="AA263" s="264">
        <v>259</v>
      </c>
      <c r="AB263" s="16" t="str">
        <f t="shared" si="216"/>
        <v/>
      </c>
      <c r="AC263" s="16" t="str">
        <f t="shared" si="217"/>
        <v/>
      </c>
      <c r="AD263" s="16" t="str">
        <f t="shared" si="220"/>
        <v/>
      </c>
      <c r="AE263" s="16" t="str">
        <f t="shared" si="221"/>
        <v/>
      </c>
      <c r="AF263" s="16" t="str">
        <f t="shared" si="222"/>
        <v/>
      </c>
      <c r="AG263" s="16" t="str">
        <f t="shared" si="218"/>
        <v/>
      </c>
      <c r="AH263" s="16" t="str">
        <f t="shared" si="219"/>
        <v/>
      </c>
      <c r="AI263" s="29" t="str">
        <f t="shared" si="223"/>
        <v/>
      </c>
      <c r="AJ263" s="29" t="str">
        <f t="shared" si="224"/>
        <v/>
      </c>
      <c r="AK263" s="2"/>
      <c r="AL263" s="2"/>
      <c r="AM263" s="2"/>
      <c r="AN263" s="2"/>
      <c r="AO263" s="2"/>
      <c r="AP263" s="2"/>
      <c r="AQ263" s="2"/>
      <c r="AR263" s="2"/>
      <c r="AS263" s="2"/>
      <c r="AT263" s="2"/>
      <c r="AU263" s="2"/>
      <c r="AV263" s="2"/>
      <c r="AW263" s="2"/>
      <c r="AX263" s="2"/>
      <c r="AY263" s="2"/>
      <c r="AZ263" s="2"/>
      <c r="BA263" s="2"/>
      <c r="BB263" s="2"/>
      <c r="BC263" s="2"/>
    </row>
    <row r="264" spans="4:55" x14ac:dyDescent="0.25">
      <c r="D264" s="54"/>
      <c r="E264" s="54"/>
      <c r="F264" s="54"/>
      <c r="G264" s="54"/>
      <c r="H264" s="54"/>
      <c r="I264" s="54"/>
      <c r="J264" s="2"/>
      <c r="K264" s="2"/>
      <c r="L264" s="2"/>
      <c r="M264" s="2"/>
      <c r="N264" s="2"/>
      <c r="O264" s="2"/>
      <c r="P264" s="2"/>
      <c r="Q264" s="2"/>
      <c r="R264" s="2"/>
      <c r="S264" s="2"/>
      <c r="T264" s="2"/>
      <c r="U264" s="2"/>
      <c r="V264" s="2"/>
      <c r="W264" s="2"/>
      <c r="X264" s="2"/>
      <c r="Y264" s="2"/>
      <c r="Z264" s="2"/>
      <c r="AA264" s="264">
        <v>260</v>
      </c>
      <c r="AB264" s="16" t="str">
        <f t="shared" si="216"/>
        <v/>
      </c>
      <c r="AC264" s="16" t="str">
        <f t="shared" si="217"/>
        <v/>
      </c>
      <c r="AD264" s="16" t="str">
        <f t="shared" si="220"/>
        <v/>
      </c>
      <c r="AE264" s="16" t="str">
        <f t="shared" si="221"/>
        <v/>
      </c>
      <c r="AF264" s="16" t="str">
        <f t="shared" si="222"/>
        <v/>
      </c>
      <c r="AG264" s="16" t="str">
        <f t="shared" si="218"/>
        <v/>
      </c>
      <c r="AH264" s="16" t="str">
        <f t="shared" si="219"/>
        <v/>
      </c>
      <c r="AI264" s="29" t="str">
        <f t="shared" si="223"/>
        <v/>
      </c>
      <c r="AJ264" s="29" t="str">
        <f t="shared" si="224"/>
        <v/>
      </c>
      <c r="AK264" s="2"/>
      <c r="AL264" s="2"/>
      <c r="AM264" s="2"/>
      <c r="AN264" s="2"/>
      <c r="AO264" s="2"/>
      <c r="AP264" s="2"/>
      <c r="AQ264" s="2"/>
      <c r="AR264" s="2"/>
      <c r="AS264" s="2"/>
      <c r="AT264" s="2"/>
      <c r="AU264" s="2"/>
      <c r="AV264" s="2"/>
      <c r="AW264" s="2"/>
      <c r="AX264" s="2"/>
      <c r="AY264" s="2"/>
      <c r="AZ264" s="2"/>
      <c r="BA264" s="2"/>
      <c r="BB264" s="2"/>
      <c r="BC264" s="2"/>
    </row>
    <row r="265" spans="4:55" x14ac:dyDescent="0.25">
      <c r="D265" s="54"/>
      <c r="E265" s="54"/>
      <c r="F265" s="54"/>
      <c r="G265" s="54"/>
      <c r="H265" s="54"/>
      <c r="I265" s="54"/>
      <c r="J265" s="2"/>
      <c r="K265" s="2"/>
      <c r="L265" s="2"/>
      <c r="M265" s="2"/>
      <c r="N265" s="2"/>
      <c r="O265" s="2"/>
      <c r="P265" s="2"/>
      <c r="Q265" s="2"/>
      <c r="R265" s="2"/>
      <c r="S265" s="2"/>
      <c r="T265" s="2"/>
      <c r="U265" s="2"/>
      <c r="V265" s="2"/>
      <c r="W265" s="2"/>
      <c r="X265" s="2"/>
      <c r="Y265" s="2"/>
      <c r="Z265" s="2"/>
      <c r="AA265" s="264">
        <v>261</v>
      </c>
      <c r="AB265" s="16" t="str">
        <f t="shared" si="216"/>
        <v/>
      </c>
      <c r="AC265" s="16" t="str">
        <f t="shared" si="217"/>
        <v/>
      </c>
      <c r="AD265" s="16" t="str">
        <f t="shared" si="220"/>
        <v/>
      </c>
      <c r="AE265" s="16" t="str">
        <f t="shared" si="221"/>
        <v/>
      </c>
      <c r="AF265" s="16" t="str">
        <f t="shared" si="222"/>
        <v/>
      </c>
      <c r="AG265" s="16" t="str">
        <f t="shared" si="218"/>
        <v/>
      </c>
      <c r="AH265" s="16" t="str">
        <f t="shared" si="219"/>
        <v/>
      </c>
      <c r="AI265" s="29" t="str">
        <f t="shared" si="223"/>
        <v/>
      </c>
      <c r="AJ265" s="29" t="str">
        <f t="shared" si="224"/>
        <v/>
      </c>
      <c r="AK265" s="2"/>
      <c r="AL265" s="2"/>
      <c r="AM265" s="2"/>
      <c r="AN265" s="2"/>
      <c r="AO265" s="2"/>
      <c r="AP265" s="2"/>
      <c r="AQ265" s="2"/>
      <c r="AR265" s="2"/>
      <c r="AS265" s="2"/>
      <c r="AT265" s="2"/>
      <c r="AU265" s="2"/>
      <c r="AV265" s="2"/>
      <c r="AW265" s="2"/>
      <c r="AX265" s="2"/>
      <c r="AY265" s="2"/>
      <c r="AZ265" s="2"/>
      <c r="BA265" s="2"/>
      <c r="BB265" s="2"/>
      <c r="BC265" s="2"/>
    </row>
    <row r="266" spans="4:55" x14ac:dyDescent="0.25">
      <c r="D266" s="54"/>
      <c r="E266" s="54"/>
      <c r="F266" s="54"/>
      <c r="G266" s="54"/>
      <c r="H266" s="54"/>
      <c r="I266" s="54"/>
      <c r="J266" s="2"/>
      <c r="K266" s="2"/>
      <c r="L266" s="2"/>
      <c r="M266" s="2"/>
      <c r="N266" s="2"/>
      <c r="O266" s="2"/>
      <c r="P266" s="2"/>
      <c r="Q266" s="2"/>
      <c r="R266" s="2"/>
      <c r="S266" s="2"/>
      <c r="T266" s="2"/>
      <c r="U266" s="2"/>
      <c r="V266" s="2"/>
      <c r="W266" s="2"/>
      <c r="X266" s="2"/>
      <c r="Y266" s="2"/>
      <c r="Z266" s="2"/>
      <c r="AA266" s="264">
        <v>262</v>
      </c>
      <c r="AB266" s="16" t="str">
        <f t="shared" si="216"/>
        <v/>
      </c>
      <c r="AC266" s="16" t="str">
        <f t="shared" si="217"/>
        <v/>
      </c>
      <c r="AD266" s="16" t="str">
        <f t="shared" si="220"/>
        <v/>
      </c>
      <c r="AE266" s="16" t="str">
        <f t="shared" si="221"/>
        <v/>
      </c>
      <c r="AF266" s="16" t="str">
        <f t="shared" si="222"/>
        <v/>
      </c>
      <c r="AG266" s="16" t="str">
        <f t="shared" si="218"/>
        <v/>
      </c>
      <c r="AH266" s="16" t="str">
        <f t="shared" si="219"/>
        <v/>
      </c>
      <c r="AI266" s="29" t="str">
        <f t="shared" si="223"/>
        <v/>
      </c>
      <c r="AJ266" s="29" t="str">
        <f t="shared" si="224"/>
        <v/>
      </c>
      <c r="AK266" s="2"/>
      <c r="AL266" s="2"/>
      <c r="AM266" s="2"/>
      <c r="AN266" s="2"/>
      <c r="AO266" s="2"/>
      <c r="AP266" s="2"/>
      <c r="AQ266" s="2"/>
      <c r="AR266" s="2"/>
      <c r="AS266" s="2"/>
      <c r="AT266" s="2"/>
      <c r="AU266" s="2"/>
      <c r="AV266" s="2"/>
      <c r="AW266" s="2"/>
      <c r="AX266" s="2"/>
      <c r="AY266" s="2"/>
      <c r="AZ266" s="2"/>
      <c r="BA266" s="2"/>
      <c r="BB266" s="2"/>
      <c r="BC266" s="2"/>
    </row>
    <row r="267" spans="4:55" x14ac:dyDescent="0.25">
      <c r="D267" s="54"/>
      <c r="E267" s="54"/>
      <c r="F267" s="54"/>
      <c r="G267" s="54"/>
      <c r="H267" s="54"/>
      <c r="I267" s="54"/>
      <c r="J267" s="2"/>
      <c r="K267" s="2"/>
      <c r="L267" s="2"/>
      <c r="M267" s="2"/>
      <c r="N267" s="2"/>
      <c r="O267" s="2"/>
      <c r="P267" s="2"/>
      <c r="Q267" s="2"/>
      <c r="R267" s="2"/>
      <c r="S267" s="2"/>
      <c r="T267" s="2"/>
      <c r="U267" s="2"/>
      <c r="V267" s="2"/>
      <c r="W267" s="2"/>
      <c r="X267" s="2"/>
      <c r="Y267" s="2"/>
      <c r="Z267" s="2"/>
      <c r="AA267" s="264">
        <v>263</v>
      </c>
      <c r="AB267" s="16" t="str">
        <f t="shared" si="216"/>
        <v/>
      </c>
      <c r="AC267" s="16" t="str">
        <f t="shared" si="217"/>
        <v/>
      </c>
      <c r="AD267" s="16" t="str">
        <f t="shared" si="220"/>
        <v/>
      </c>
      <c r="AE267" s="16" t="str">
        <f t="shared" si="221"/>
        <v/>
      </c>
      <c r="AF267" s="16" t="str">
        <f t="shared" si="222"/>
        <v/>
      </c>
      <c r="AG267" s="16" t="str">
        <f t="shared" si="218"/>
        <v/>
      </c>
      <c r="AH267" s="16" t="str">
        <f t="shared" si="219"/>
        <v/>
      </c>
      <c r="AI267" s="29" t="str">
        <f t="shared" si="223"/>
        <v/>
      </c>
      <c r="AJ267" s="29" t="str">
        <f t="shared" si="224"/>
        <v/>
      </c>
      <c r="AK267" s="2"/>
      <c r="AL267" s="2"/>
      <c r="AM267" s="2"/>
      <c r="AN267" s="2"/>
      <c r="AO267" s="2"/>
      <c r="AP267" s="2"/>
      <c r="AQ267" s="2"/>
      <c r="AR267" s="2"/>
      <c r="AS267" s="2"/>
      <c r="AT267" s="2"/>
      <c r="AU267" s="2"/>
      <c r="AV267" s="2"/>
      <c r="AW267" s="2"/>
      <c r="AX267" s="2"/>
      <c r="AY267" s="2"/>
      <c r="AZ267" s="2"/>
      <c r="BA267" s="2"/>
      <c r="BB267" s="2"/>
      <c r="BC267" s="2"/>
    </row>
    <row r="268" spans="4:55" x14ac:dyDescent="0.25">
      <c r="D268" s="54"/>
      <c r="E268" s="54"/>
      <c r="F268" s="54"/>
      <c r="G268" s="54"/>
      <c r="H268" s="54"/>
      <c r="I268" s="54"/>
      <c r="J268" s="2"/>
      <c r="K268" s="2"/>
      <c r="L268" s="2"/>
      <c r="M268" s="2"/>
      <c r="N268" s="2"/>
      <c r="O268" s="2"/>
      <c r="P268" s="2"/>
      <c r="Q268" s="2"/>
      <c r="R268" s="2"/>
      <c r="S268" s="2"/>
      <c r="T268" s="2"/>
      <c r="U268" s="2"/>
      <c r="V268" s="2"/>
      <c r="W268" s="2"/>
      <c r="X268" s="2"/>
      <c r="Y268" s="2"/>
      <c r="Z268" s="2"/>
      <c r="AA268" s="264">
        <v>264</v>
      </c>
      <c r="AB268" s="16" t="str">
        <f t="shared" si="216"/>
        <v/>
      </c>
      <c r="AC268" s="16" t="str">
        <f t="shared" si="217"/>
        <v/>
      </c>
      <c r="AD268" s="16" t="str">
        <f t="shared" si="220"/>
        <v/>
      </c>
      <c r="AE268" s="16" t="str">
        <f t="shared" si="221"/>
        <v/>
      </c>
      <c r="AF268" s="16" t="str">
        <f t="shared" si="222"/>
        <v/>
      </c>
      <c r="AG268" s="16" t="str">
        <f t="shared" si="218"/>
        <v/>
      </c>
      <c r="AH268" s="16" t="str">
        <f t="shared" si="219"/>
        <v/>
      </c>
      <c r="AI268" s="29" t="str">
        <f t="shared" si="223"/>
        <v/>
      </c>
      <c r="AJ268" s="29" t="str">
        <f t="shared" si="224"/>
        <v/>
      </c>
      <c r="AK268" s="2"/>
      <c r="AL268" s="2"/>
      <c r="AM268" s="2"/>
      <c r="AN268" s="2"/>
      <c r="AO268" s="2"/>
      <c r="AP268" s="2"/>
      <c r="AQ268" s="2"/>
      <c r="AR268" s="2"/>
      <c r="AS268" s="2"/>
      <c r="AT268" s="2"/>
      <c r="AU268" s="2"/>
      <c r="AV268" s="2"/>
      <c r="AW268" s="2"/>
      <c r="AX268" s="2"/>
      <c r="AY268" s="2"/>
      <c r="AZ268" s="2"/>
      <c r="BA268" s="2"/>
      <c r="BB268" s="2"/>
      <c r="BC268" s="2"/>
    </row>
    <row r="269" spans="4:55" x14ac:dyDescent="0.25">
      <c r="D269" s="54"/>
      <c r="E269" s="54"/>
      <c r="F269" s="54"/>
      <c r="G269" s="54"/>
      <c r="H269" s="54"/>
      <c r="I269" s="54"/>
      <c r="J269" s="2"/>
      <c r="K269" s="2"/>
      <c r="L269" s="2"/>
      <c r="M269" s="2"/>
      <c r="N269" s="2"/>
      <c r="O269" s="2"/>
      <c r="P269" s="2"/>
      <c r="Q269" s="2"/>
      <c r="R269" s="2"/>
      <c r="S269" s="2"/>
      <c r="T269" s="2"/>
      <c r="U269" s="2"/>
      <c r="V269" s="2"/>
      <c r="W269" s="2"/>
      <c r="X269" s="2"/>
      <c r="Y269" s="2"/>
      <c r="Z269" s="2"/>
      <c r="AA269" s="264">
        <v>265</v>
      </c>
      <c r="AB269" s="16" t="str">
        <f t="shared" si="216"/>
        <v/>
      </c>
      <c r="AC269" s="16" t="str">
        <f t="shared" si="217"/>
        <v/>
      </c>
      <c r="AD269" s="16" t="str">
        <f t="shared" si="220"/>
        <v/>
      </c>
      <c r="AE269" s="16" t="str">
        <f t="shared" si="221"/>
        <v/>
      </c>
      <c r="AF269" s="16" t="str">
        <f t="shared" si="222"/>
        <v/>
      </c>
      <c r="AG269" s="16" t="str">
        <f t="shared" si="218"/>
        <v/>
      </c>
      <c r="AH269" s="16" t="str">
        <f t="shared" si="219"/>
        <v/>
      </c>
      <c r="AI269" s="29" t="str">
        <f t="shared" si="223"/>
        <v/>
      </c>
      <c r="AJ269" s="29" t="str">
        <f t="shared" si="224"/>
        <v/>
      </c>
      <c r="AK269" s="2"/>
      <c r="AL269" s="2"/>
      <c r="AM269" s="2"/>
      <c r="AN269" s="2"/>
      <c r="AO269" s="2"/>
      <c r="AP269" s="2"/>
      <c r="AQ269" s="2"/>
      <c r="AR269" s="2"/>
      <c r="AS269" s="2"/>
      <c r="AT269" s="2"/>
      <c r="AU269" s="2"/>
      <c r="AV269" s="2"/>
      <c r="AW269" s="2"/>
      <c r="AX269" s="2"/>
      <c r="AY269" s="2"/>
      <c r="AZ269" s="2"/>
      <c r="BA269" s="2"/>
      <c r="BB269" s="2"/>
      <c r="BC269" s="2"/>
    </row>
    <row r="270" spans="4:55" x14ac:dyDescent="0.25">
      <c r="D270" s="54"/>
      <c r="E270" s="54"/>
      <c r="F270" s="54"/>
      <c r="G270" s="54"/>
      <c r="H270" s="54"/>
      <c r="I270" s="54"/>
      <c r="J270" s="2"/>
      <c r="K270" s="2"/>
      <c r="L270" s="2"/>
      <c r="M270" s="2"/>
      <c r="N270" s="2"/>
      <c r="O270" s="2"/>
      <c r="P270" s="2"/>
      <c r="Q270" s="2"/>
      <c r="R270" s="2"/>
      <c r="S270" s="2"/>
      <c r="T270" s="2"/>
      <c r="U270" s="2"/>
      <c r="V270" s="2"/>
      <c r="W270" s="2"/>
      <c r="X270" s="2"/>
      <c r="Y270" s="2"/>
      <c r="Z270" s="2"/>
      <c r="AA270" s="264">
        <v>266</v>
      </c>
      <c r="AB270" s="16" t="str">
        <f t="shared" si="216"/>
        <v/>
      </c>
      <c r="AC270" s="16" t="str">
        <f t="shared" si="217"/>
        <v/>
      </c>
      <c r="AD270" s="16" t="str">
        <f t="shared" si="220"/>
        <v/>
      </c>
      <c r="AE270" s="16" t="str">
        <f t="shared" si="221"/>
        <v/>
      </c>
      <c r="AF270" s="16" t="str">
        <f t="shared" si="222"/>
        <v/>
      </c>
      <c r="AG270" s="16" t="str">
        <f t="shared" si="218"/>
        <v/>
      </c>
      <c r="AH270" s="16" t="str">
        <f t="shared" si="219"/>
        <v/>
      </c>
      <c r="AI270" s="29" t="str">
        <f t="shared" si="223"/>
        <v/>
      </c>
      <c r="AJ270" s="29" t="str">
        <f t="shared" si="224"/>
        <v/>
      </c>
      <c r="AK270" s="2"/>
      <c r="AL270" s="2"/>
      <c r="AM270" s="2"/>
      <c r="AN270" s="2"/>
      <c r="AO270" s="2"/>
      <c r="AP270" s="2"/>
      <c r="AQ270" s="2"/>
      <c r="AR270" s="2"/>
      <c r="AS270" s="2"/>
      <c r="AT270" s="2"/>
      <c r="AU270" s="2"/>
      <c r="AV270" s="2"/>
      <c r="AW270" s="2"/>
      <c r="AX270" s="2"/>
      <c r="AY270" s="2"/>
      <c r="AZ270" s="2"/>
      <c r="BA270" s="2"/>
      <c r="BB270" s="2"/>
      <c r="BC270" s="2"/>
    </row>
    <row r="271" spans="4:55" x14ac:dyDescent="0.25">
      <c r="D271" s="54"/>
      <c r="E271" s="54"/>
      <c r="F271" s="54"/>
      <c r="G271" s="54"/>
      <c r="H271" s="54"/>
      <c r="I271" s="54"/>
      <c r="J271" s="2"/>
      <c r="K271" s="2"/>
      <c r="L271" s="2"/>
      <c r="M271" s="2"/>
      <c r="N271" s="2"/>
      <c r="O271" s="2"/>
      <c r="P271" s="2"/>
      <c r="Q271" s="2"/>
      <c r="R271" s="2"/>
      <c r="S271" s="2"/>
      <c r="T271" s="2"/>
      <c r="U271" s="2"/>
      <c r="V271" s="2"/>
      <c r="W271" s="2"/>
      <c r="X271" s="2"/>
      <c r="Y271" s="2"/>
      <c r="Z271" s="2"/>
      <c r="AA271" s="264">
        <v>267</v>
      </c>
      <c r="AB271" s="16" t="str">
        <f t="shared" si="216"/>
        <v/>
      </c>
      <c r="AC271" s="16" t="str">
        <f t="shared" si="217"/>
        <v/>
      </c>
      <c r="AD271" s="16" t="str">
        <f t="shared" si="220"/>
        <v/>
      </c>
      <c r="AE271" s="16" t="str">
        <f t="shared" si="221"/>
        <v/>
      </c>
      <c r="AF271" s="16" t="str">
        <f t="shared" si="222"/>
        <v/>
      </c>
      <c r="AG271" s="16" t="str">
        <f t="shared" si="218"/>
        <v/>
      </c>
      <c r="AH271" s="16" t="str">
        <f t="shared" si="219"/>
        <v/>
      </c>
      <c r="AI271" s="29" t="str">
        <f t="shared" si="223"/>
        <v/>
      </c>
      <c r="AJ271" s="29" t="str">
        <f t="shared" si="224"/>
        <v/>
      </c>
      <c r="AK271" s="2"/>
      <c r="AL271" s="2"/>
      <c r="AM271" s="2"/>
      <c r="AN271" s="2"/>
      <c r="AO271" s="2"/>
      <c r="AP271" s="2"/>
      <c r="AQ271" s="2"/>
      <c r="AR271" s="2"/>
      <c r="AS271" s="2"/>
      <c r="AT271" s="2"/>
      <c r="AU271" s="2"/>
      <c r="AV271" s="2"/>
      <c r="AW271" s="2"/>
      <c r="AX271" s="2"/>
      <c r="AY271" s="2"/>
      <c r="AZ271" s="2"/>
      <c r="BA271" s="2"/>
      <c r="BB271" s="2"/>
      <c r="BC271" s="2"/>
    </row>
    <row r="272" spans="4:55" x14ac:dyDescent="0.25">
      <c r="D272" s="54"/>
      <c r="E272" s="54"/>
      <c r="F272" s="54"/>
      <c r="G272" s="54"/>
      <c r="H272" s="54"/>
      <c r="I272" s="54"/>
      <c r="J272" s="2"/>
      <c r="K272" s="2"/>
      <c r="L272" s="2"/>
      <c r="M272" s="2"/>
      <c r="N272" s="2"/>
      <c r="O272" s="2"/>
      <c r="P272" s="2"/>
      <c r="Q272" s="2"/>
      <c r="R272" s="2"/>
      <c r="S272" s="2"/>
      <c r="T272" s="2"/>
      <c r="U272" s="2"/>
      <c r="V272" s="2"/>
      <c r="W272" s="2"/>
      <c r="X272" s="2"/>
      <c r="Y272" s="2"/>
      <c r="Z272" s="2"/>
      <c r="AA272" s="264">
        <v>268</v>
      </c>
      <c r="AB272" s="16" t="str">
        <f t="shared" si="216"/>
        <v/>
      </c>
      <c r="AC272" s="16" t="str">
        <f t="shared" si="217"/>
        <v/>
      </c>
      <c r="AD272" s="16" t="str">
        <f t="shared" si="220"/>
        <v/>
      </c>
      <c r="AE272" s="16" t="str">
        <f t="shared" si="221"/>
        <v/>
      </c>
      <c r="AF272" s="16" t="str">
        <f t="shared" si="222"/>
        <v/>
      </c>
      <c r="AG272" s="16" t="str">
        <f t="shared" si="218"/>
        <v/>
      </c>
      <c r="AH272" s="16" t="str">
        <f t="shared" si="219"/>
        <v/>
      </c>
      <c r="AI272" s="29" t="str">
        <f t="shared" si="223"/>
        <v/>
      </c>
      <c r="AJ272" s="29" t="str">
        <f t="shared" si="224"/>
        <v/>
      </c>
      <c r="AK272" s="2"/>
      <c r="AL272" s="2"/>
      <c r="AM272" s="2"/>
      <c r="AN272" s="2"/>
      <c r="AO272" s="2"/>
      <c r="AP272" s="2"/>
      <c r="AQ272" s="2"/>
      <c r="AR272" s="2"/>
      <c r="AS272" s="2"/>
      <c r="AT272" s="2"/>
      <c r="AU272" s="2"/>
      <c r="AV272" s="2"/>
      <c r="AW272" s="2"/>
      <c r="AX272" s="2"/>
      <c r="AY272" s="2"/>
      <c r="AZ272" s="2"/>
      <c r="BA272" s="2"/>
      <c r="BB272" s="2"/>
      <c r="BC272" s="2"/>
    </row>
    <row r="273" spans="4:55" x14ac:dyDescent="0.25">
      <c r="D273" s="54"/>
      <c r="E273" s="54"/>
      <c r="F273" s="54"/>
      <c r="G273" s="54"/>
      <c r="H273" s="54"/>
      <c r="I273" s="54"/>
      <c r="J273" s="2"/>
      <c r="K273" s="2"/>
      <c r="L273" s="2"/>
      <c r="M273" s="2"/>
      <c r="N273" s="2"/>
      <c r="O273" s="2"/>
      <c r="P273" s="2"/>
      <c r="Q273" s="2"/>
      <c r="R273" s="2"/>
      <c r="S273" s="2"/>
      <c r="T273" s="2"/>
      <c r="U273" s="2"/>
      <c r="V273" s="2"/>
      <c r="W273" s="2"/>
      <c r="X273" s="2"/>
      <c r="Y273" s="2"/>
      <c r="Z273" s="2"/>
      <c r="AA273" s="264">
        <v>269</v>
      </c>
      <c r="AB273" s="16" t="str">
        <f t="shared" si="216"/>
        <v/>
      </c>
      <c r="AC273" s="16" t="str">
        <f t="shared" si="217"/>
        <v/>
      </c>
      <c r="AD273" s="16" t="str">
        <f t="shared" si="220"/>
        <v/>
      </c>
      <c r="AE273" s="16" t="str">
        <f t="shared" si="221"/>
        <v/>
      </c>
      <c r="AF273" s="16" t="str">
        <f t="shared" si="222"/>
        <v/>
      </c>
      <c r="AG273" s="16" t="str">
        <f t="shared" si="218"/>
        <v/>
      </c>
      <c r="AH273" s="16" t="str">
        <f t="shared" si="219"/>
        <v/>
      </c>
      <c r="AI273" s="29" t="str">
        <f t="shared" si="223"/>
        <v/>
      </c>
      <c r="AJ273" s="29" t="str">
        <f t="shared" si="224"/>
        <v/>
      </c>
      <c r="AK273" s="2"/>
      <c r="AL273" s="2"/>
      <c r="AM273" s="2"/>
      <c r="AN273" s="2"/>
      <c r="AO273" s="2"/>
      <c r="AP273" s="2"/>
      <c r="AQ273" s="2"/>
      <c r="AR273" s="2"/>
      <c r="AS273" s="2"/>
      <c r="AT273" s="2"/>
      <c r="AU273" s="2"/>
      <c r="AV273" s="2"/>
      <c r="AW273" s="2"/>
      <c r="AX273" s="2"/>
      <c r="AY273" s="2"/>
      <c r="AZ273" s="2"/>
      <c r="BA273" s="2"/>
      <c r="BB273" s="2"/>
      <c r="BC273" s="2"/>
    </row>
    <row r="274" spans="4:55" x14ac:dyDescent="0.25">
      <c r="D274" s="54"/>
      <c r="E274" s="54"/>
      <c r="F274" s="54"/>
      <c r="G274" s="54"/>
      <c r="H274" s="54"/>
      <c r="I274" s="54"/>
      <c r="J274" s="2"/>
      <c r="K274" s="2"/>
      <c r="L274" s="2"/>
      <c r="M274" s="2"/>
      <c r="N274" s="2"/>
      <c r="O274" s="2"/>
      <c r="P274" s="2"/>
      <c r="Q274" s="2"/>
      <c r="R274" s="2"/>
      <c r="S274" s="2"/>
      <c r="T274" s="2"/>
      <c r="U274" s="2"/>
      <c r="V274" s="2"/>
      <c r="W274" s="2"/>
      <c r="X274" s="2"/>
      <c r="Y274" s="2"/>
      <c r="Z274" s="2"/>
      <c r="AA274" s="264">
        <v>270</v>
      </c>
      <c r="AB274" s="16" t="str">
        <f t="shared" si="216"/>
        <v/>
      </c>
      <c r="AC274" s="16" t="str">
        <f t="shared" si="217"/>
        <v/>
      </c>
      <c r="AD274" s="16" t="str">
        <f t="shared" si="220"/>
        <v/>
      </c>
      <c r="AE274" s="16" t="str">
        <f t="shared" si="221"/>
        <v/>
      </c>
      <c r="AF274" s="16" t="str">
        <f t="shared" si="222"/>
        <v/>
      </c>
      <c r="AG274" s="16" t="str">
        <f t="shared" si="218"/>
        <v/>
      </c>
      <c r="AH274" s="16" t="str">
        <f t="shared" si="219"/>
        <v/>
      </c>
      <c r="AI274" s="29" t="str">
        <f t="shared" si="223"/>
        <v/>
      </c>
      <c r="AJ274" s="29" t="str">
        <f t="shared" si="224"/>
        <v/>
      </c>
      <c r="AK274" s="2"/>
      <c r="AL274" s="2"/>
      <c r="AM274" s="2"/>
      <c r="AN274" s="2"/>
      <c r="AO274" s="2"/>
      <c r="AP274" s="2"/>
      <c r="AQ274" s="2"/>
      <c r="AR274" s="2"/>
      <c r="AS274" s="2"/>
      <c r="AT274" s="2"/>
      <c r="AU274" s="2"/>
      <c r="AV274" s="2"/>
      <c r="AW274" s="2"/>
      <c r="AX274" s="2"/>
      <c r="AY274" s="2"/>
      <c r="AZ274" s="2"/>
      <c r="BA274" s="2"/>
      <c r="BB274" s="2"/>
      <c r="BC274" s="2"/>
    </row>
    <row r="275" spans="4:55" x14ac:dyDescent="0.25">
      <c r="D275" s="54"/>
      <c r="E275" s="54"/>
      <c r="F275" s="54"/>
      <c r="G275" s="54"/>
      <c r="H275" s="54"/>
      <c r="I275" s="54"/>
      <c r="J275" s="2"/>
      <c r="K275" s="2"/>
      <c r="L275" s="2"/>
      <c r="M275" s="2"/>
      <c r="N275" s="2"/>
      <c r="O275" s="2"/>
      <c r="P275" s="2"/>
      <c r="Q275" s="2"/>
      <c r="R275" s="2"/>
      <c r="S275" s="2"/>
      <c r="T275" s="2"/>
      <c r="U275" s="2"/>
      <c r="V275" s="2"/>
      <c r="W275" s="2"/>
      <c r="X275" s="2"/>
      <c r="Y275" s="2"/>
      <c r="Z275" s="2"/>
      <c r="AA275" s="264">
        <v>271</v>
      </c>
      <c r="AB275" s="16" t="str">
        <f t="shared" si="216"/>
        <v/>
      </c>
      <c r="AC275" s="16" t="str">
        <f t="shared" si="217"/>
        <v/>
      </c>
      <c r="AD275" s="16" t="str">
        <f t="shared" si="220"/>
        <v/>
      </c>
      <c r="AE275" s="16" t="str">
        <f t="shared" si="221"/>
        <v/>
      </c>
      <c r="AF275" s="16" t="str">
        <f t="shared" si="222"/>
        <v/>
      </c>
      <c r="AG275" s="16" t="str">
        <f t="shared" si="218"/>
        <v/>
      </c>
      <c r="AH275" s="16" t="str">
        <f t="shared" si="219"/>
        <v/>
      </c>
      <c r="AI275" s="29" t="str">
        <f t="shared" si="223"/>
        <v/>
      </c>
      <c r="AJ275" s="29" t="str">
        <f t="shared" si="224"/>
        <v/>
      </c>
      <c r="AK275" s="2"/>
      <c r="AL275" s="2"/>
      <c r="AM275" s="2"/>
      <c r="AN275" s="2"/>
      <c r="AO275" s="2"/>
      <c r="AP275" s="2"/>
      <c r="AQ275" s="2"/>
      <c r="AR275" s="2"/>
      <c r="AS275" s="2"/>
      <c r="AT275" s="2"/>
      <c r="AU275" s="2"/>
      <c r="AV275" s="2"/>
      <c r="AW275" s="2"/>
      <c r="AX275" s="2"/>
      <c r="AY275" s="2"/>
      <c r="AZ275" s="2"/>
      <c r="BA275" s="2"/>
      <c r="BB275" s="2"/>
      <c r="BC275" s="2"/>
    </row>
    <row r="276" spans="4:55" x14ac:dyDescent="0.25">
      <c r="D276" s="54"/>
      <c r="E276" s="54"/>
      <c r="F276" s="54"/>
      <c r="G276" s="54"/>
      <c r="H276" s="54"/>
      <c r="I276" s="54"/>
      <c r="J276" s="2"/>
      <c r="K276" s="2"/>
      <c r="L276" s="2"/>
      <c r="M276" s="2"/>
      <c r="N276" s="2"/>
      <c r="O276" s="2"/>
      <c r="P276" s="2"/>
      <c r="Q276" s="2"/>
      <c r="R276" s="2"/>
      <c r="S276" s="2"/>
      <c r="T276" s="2"/>
      <c r="U276" s="2"/>
      <c r="V276" s="2"/>
      <c r="W276" s="2"/>
      <c r="X276" s="2"/>
      <c r="Y276" s="2"/>
      <c r="Z276" s="2"/>
      <c r="AA276" s="264">
        <v>272</v>
      </c>
      <c r="AB276" s="16" t="str">
        <f t="shared" si="216"/>
        <v/>
      </c>
      <c r="AC276" s="16" t="str">
        <f t="shared" si="217"/>
        <v/>
      </c>
      <c r="AD276" s="16" t="str">
        <f t="shared" si="220"/>
        <v/>
      </c>
      <c r="AE276" s="16" t="str">
        <f t="shared" si="221"/>
        <v/>
      </c>
      <c r="AF276" s="16" t="str">
        <f t="shared" si="222"/>
        <v/>
      </c>
      <c r="AG276" s="16" t="str">
        <f t="shared" si="218"/>
        <v/>
      </c>
      <c r="AH276" s="16" t="str">
        <f t="shared" si="219"/>
        <v/>
      </c>
      <c r="AI276" s="29" t="str">
        <f t="shared" si="223"/>
        <v/>
      </c>
      <c r="AJ276" s="29" t="str">
        <f t="shared" si="224"/>
        <v/>
      </c>
      <c r="AK276" s="2"/>
      <c r="AL276" s="2"/>
      <c r="AM276" s="2"/>
      <c r="AN276" s="2"/>
      <c r="AO276" s="2"/>
      <c r="AP276" s="2"/>
      <c r="AQ276" s="2"/>
      <c r="AR276" s="2"/>
      <c r="AS276" s="2"/>
      <c r="AT276" s="2"/>
      <c r="AU276" s="2"/>
      <c r="AV276" s="2"/>
      <c r="AW276" s="2"/>
      <c r="AX276" s="2"/>
      <c r="AY276" s="2"/>
      <c r="AZ276" s="2"/>
      <c r="BA276" s="2"/>
      <c r="BB276" s="2"/>
      <c r="BC276" s="2"/>
    </row>
    <row r="277" spans="4:55" x14ac:dyDescent="0.25">
      <c r="D277" s="54"/>
      <c r="E277" s="54"/>
      <c r="F277" s="54"/>
      <c r="G277" s="54"/>
      <c r="H277" s="54"/>
      <c r="I277" s="54"/>
      <c r="J277" s="2"/>
      <c r="K277" s="2"/>
      <c r="L277" s="2"/>
      <c r="M277" s="2"/>
      <c r="N277" s="2"/>
      <c r="O277" s="2"/>
      <c r="P277" s="2"/>
      <c r="Q277" s="2"/>
      <c r="R277" s="2"/>
      <c r="S277" s="2"/>
      <c r="T277" s="2"/>
      <c r="U277" s="2"/>
      <c r="V277" s="2"/>
      <c r="W277" s="2"/>
      <c r="X277" s="2"/>
      <c r="Y277" s="2"/>
      <c r="Z277" s="2"/>
      <c r="AA277" s="264">
        <v>273</v>
      </c>
      <c r="AB277" s="16" t="str">
        <f t="shared" si="216"/>
        <v/>
      </c>
      <c r="AC277" s="16" t="str">
        <f t="shared" si="217"/>
        <v/>
      </c>
      <c r="AD277" s="16" t="str">
        <f t="shared" si="220"/>
        <v/>
      </c>
      <c r="AE277" s="16" t="str">
        <f t="shared" si="221"/>
        <v/>
      </c>
      <c r="AF277" s="16" t="str">
        <f t="shared" si="222"/>
        <v/>
      </c>
      <c r="AG277" s="16" t="str">
        <f t="shared" si="218"/>
        <v/>
      </c>
      <c r="AH277" s="16" t="str">
        <f t="shared" si="219"/>
        <v/>
      </c>
      <c r="AI277" s="29" t="str">
        <f t="shared" si="223"/>
        <v/>
      </c>
      <c r="AJ277" s="29" t="str">
        <f t="shared" si="224"/>
        <v/>
      </c>
      <c r="AK277" s="2"/>
      <c r="AL277" s="2"/>
      <c r="AM277" s="2"/>
      <c r="AN277" s="2"/>
      <c r="AO277" s="2"/>
      <c r="AP277" s="2"/>
      <c r="AQ277" s="2"/>
      <c r="AR277" s="2"/>
      <c r="AS277" s="2"/>
      <c r="AT277" s="2"/>
      <c r="AU277" s="2"/>
      <c r="AV277" s="2"/>
      <c r="AW277" s="2"/>
      <c r="AX277" s="2"/>
      <c r="AY277" s="2"/>
      <c r="AZ277" s="2"/>
      <c r="BA277" s="2"/>
      <c r="BB277" s="2"/>
      <c r="BC277" s="2"/>
    </row>
    <row r="278" spans="4:55" x14ac:dyDescent="0.25">
      <c r="D278" s="54"/>
      <c r="E278" s="54"/>
      <c r="F278" s="54"/>
      <c r="G278" s="54"/>
      <c r="H278" s="54"/>
      <c r="I278" s="54"/>
      <c r="J278" s="2"/>
      <c r="K278" s="2"/>
      <c r="L278" s="2"/>
      <c r="M278" s="2"/>
      <c r="N278" s="2"/>
      <c r="O278" s="2"/>
      <c r="P278" s="2"/>
      <c r="Q278" s="2"/>
      <c r="R278" s="2"/>
      <c r="S278" s="2"/>
      <c r="T278" s="2"/>
      <c r="U278" s="2"/>
      <c r="V278" s="2"/>
      <c r="W278" s="2"/>
      <c r="X278" s="2"/>
      <c r="Y278" s="2"/>
      <c r="Z278" s="2"/>
      <c r="AA278" s="264">
        <v>274</v>
      </c>
      <c r="AB278" s="16" t="str">
        <f t="shared" si="216"/>
        <v/>
      </c>
      <c r="AC278" s="16" t="str">
        <f t="shared" si="217"/>
        <v/>
      </c>
      <c r="AD278" s="16" t="str">
        <f t="shared" si="220"/>
        <v/>
      </c>
      <c r="AE278" s="16" t="str">
        <f t="shared" si="221"/>
        <v/>
      </c>
      <c r="AF278" s="16" t="str">
        <f t="shared" si="222"/>
        <v/>
      </c>
      <c r="AG278" s="16" t="str">
        <f t="shared" si="218"/>
        <v/>
      </c>
      <c r="AH278" s="16" t="str">
        <f t="shared" si="219"/>
        <v/>
      </c>
      <c r="AI278" s="29" t="str">
        <f t="shared" si="223"/>
        <v/>
      </c>
      <c r="AJ278" s="29" t="str">
        <f t="shared" si="224"/>
        <v/>
      </c>
      <c r="AK278" s="2"/>
      <c r="AL278" s="2"/>
      <c r="AM278" s="2"/>
      <c r="AN278" s="2"/>
      <c r="AO278" s="2"/>
      <c r="AP278" s="2"/>
      <c r="AQ278" s="2"/>
      <c r="AR278" s="2"/>
      <c r="AS278" s="2"/>
      <c r="AT278" s="2"/>
      <c r="AU278" s="2"/>
      <c r="AV278" s="2"/>
      <c r="AW278" s="2"/>
      <c r="AX278" s="2"/>
      <c r="AY278" s="2"/>
      <c r="AZ278" s="2"/>
      <c r="BA278" s="2"/>
      <c r="BB278" s="2"/>
      <c r="BC278" s="2"/>
    </row>
    <row r="279" spans="4:55" x14ac:dyDescent="0.25">
      <c r="D279" s="54"/>
      <c r="E279" s="54"/>
      <c r="F279" s="54"/>
      <c r="G279" s="54"/>
      <c r="H279" s="54"/>
      <c r="I279" s="54"/>
      <c r="J279" s="2"/>
      <c r="K279" s="2"/>
      <c r="L279" s="2"/>
      <c r="M279" s="2"/>
      <c r="N279" s="2"/>
      <c r="O279" s="2"/>
      <c r="P279" s="2"/>
      <c r="Q279" s="2"/>
      <c r="R279" s="2"/>
      <c r="S279" s="2"/>
      <c r="T279" s="2"/>
      <c r="U279" s="2"/>
      <c r="V279" s="2"/>
      <c r="W279" s="2"/>
      <c r="X279" s="2"/>
      <c r="Y279" s="2"/>
      <c r="Z279" s="2"/>
      <c r="AA279" s="264">
        <v>275</v>
      </c>
      <c r="AB279" s="16" t="str">
        <f t="shared" si="216"/>
        <v/>
      </c>
      <c r="AC279" s="16" t="str">
        <f t="shared" si="217"/>
        <v/>
      </c>
      <c r="AD279" s="16" t="str">
        <f t="shared" si="220"/>
        <v/>
      </c>
      <c r="AE279" s="16" t="str">
        <f t="shared" si="221"/>
        <v/>
      </c>
      <c r="AF279" s="16" t="str">
        <f t="shared" si="222"/>
        <v/>
      </c>
      <c r="AG279" s="16" t="str">
        <f t="shared" si="218"/>
        <v/>
      </c>
      <c r="AH279" s="16" t="str">
        <f t="shared" si="219"/>
        <v/>
      </c>
      <c r="AI279" s="29" t="str">
        <f t="shared" si="223"/>
        <v/>
      </c>
      <c r="AJ279" s="29" t="str">
        <f t="shared" si="224"/>
        <v/>
      </c>
      <c r="AK279" s="2"/>
      <c r="AL279" s="2"/>
      <c r="AM279" s="2"/>
      <c r="AN279" s="2"/>
      <c r="AO279" s="2"/>
      <c r="AP279" s="2"/>
      <c r="AQ279" s="2"/>
      <c r="AR279" s="2"/>
      <c r="AS279" s="2"/>
      <c r="AT279" s="2"/>
      <c r="AU279" s="2"/>
      <c r="AV279" s="2"/>
      <c r="AW279" s="2"/>
      <c r="AX279" s="2"/>
      <c r="AY279" s="2"/>
      <c r="AZ279" s="2"/>
      <c r="BA279" s="2"/>
      <c r="BB279" s="2"/>
      <c r="BC279" s="2"/>
    </row>
    <row r="280" spans="4:55" x14ac:dyDescent="0.25">
      <c r="D280" s="54"/>
      <c r="E280" s="54"/>
      <c r="F280" s="54"/>
      <c r="G280" s="54"/>
      <c r="H280" s="54"/>
      <c r="I280" s="54"/>
      <c r="J280" s="2"/>
      <c r="K280" s="2"/>
      <c r="L280" s="2"/>
      <c r="M280" s="2"/>
      <c r="N280" s="2"/>
      <c r="O280" s="2"/>
      <c r="P280" s="2"/>
      <c r="Q280" s="2"/>
      <c r="R280" s="2"/>
      <c r="S280" s="2"/>
      <c r="T280" s="2"/>
      <c r="U280" s="2"/>
      <c r="V280" s="2"/>
      <c r="W280" s="2"/>
      <c r="X280" s="2"/>
      <c r="Y280" s="2"/>
      <c r="Z280" s="2"/>
      <c r="AA280" s="264">
        <v>276</v>
      </c>
      <c r="AB280" s="16" t="str">
        <f t="shared" si="216"/>
        <v/>
      </c>
      <c r="AC280" s="16" t="str">
        <f t="shared" si="217"/>
        <v/>
      </c>
      <c r="AD280" s="16" t="str">
        <f t="shared" si="220"/>
        <v/>
      </c>
      <c r="AE280" s="16" t="str">
        <f t="shared" si="221"/>
        <v/>
      </c>
      <c r="AF280" s="16" t="str">
        <f t="shared" si="222"/>
        <v/>
      </c>
      <c r="AG280" s="16" t="str">
        <f t="shared" si="218"/>
        <v/>
      </c>
      <c r="AH280" s="16" t="str">
        <f t="shared" si="219"/>
        <v/>
      </c>
      <c r="AI280" s="29" t="str">
        <f t="shared" si="223"/>
        <v/>
      </c>
      <c r="AJ280" s="29" t="str">
        <f t="shared" si="224"/>
        <v/>
      </c>
      <c r="AK280" s="2"/>
      <c r="AL280" s="2"/>
      <c r="AM280" s="2"/>
      <c r="AN280" s="2"/>
      <c r="AO280" s="2"/>
      <c r="AP280" s="2"/>
      <c r="AQ280" s="2"/>
      <c r="AR280" s="2"/>
      <c r="AS280" s="2"/>
      <c r="AT280" s="2"/>
      <c r="AU280" s="2"/>
      <c r="AV280" s="2"/>
      <c r="AW280" s="2"/>
      <c r="AX280" s="2"/>
      <c r="AY280" s="2"/>
      <c r="AZ280" s="2"/>
      <c r="BA280" s="2"/>
      <c r="BB280" s="2"/>
      <c r="BC280" s="2"/>
    </row>
    <row r="281" spans="4:55" x14ac:dyDescent="0.25">
      <c r="D281" s="54"/>
      <c r="E281" s="54"/>
      <c r="F281" s="54"/>
      <c r="G281" s="54"/>
      <c r="H281" s="54"/>
      <c r="I281" s="54"/>
      <c r="J281" s="2"/>
      <c r="K281" s="2"/>
      <c r="L281" s="2"/>
      <c r="M281" s="2"/>
      <c r="N281" s="2"/>
      <c r="O281" s="2"/>
      <c r="P281" s="2"/>
      <c r="Q281" s="2"/>
      <c r="R281" s="2"/>
      <c r="S281" s="2"/>
      <c r="T281" s="2"/>
      <c r="U281" s="2"/>
      <c r="V281" s="2"/>
      <c r="W281" s="2"/>
      <c r="X281" s="2"/>
      <c r="Y281" s="2"/>
      <c r="Z281" s="2"/>
      <c r="AA281" s="264">
        <v>277</v>
      </c>
      <c r="AB281" s="16" t="str">
        <f t="shared" si="216"/>
        <v/>
      </c>
      <c r="AC281" s="16" t="str">
        <f t="shared" si="217"/>
        <v/>
      </c>
      <c r="AD281" s="16" t="str">
        <f t="shared" si="220"/>
        <v/>
      </c>
      <c r="AE281" s="16" t="str">
        <f t="shared" si="221"/>
        <v/>
      </c>
      <c r="AF281" s="16" t="str">
        <f t="shared" si="222"/>
        <v/>
      </c>
      <c r="AG281" s="16" t="str">
        <f t="shared" si="218"/>
        <v/>
      </c>
      <c r="AH281" s="16" t="str">
        <f t="shared" si="219"/>
        <v/>
      </c>
      <c r="AI281" s="29" t="str">
        <f t="shared" si="223"/>
        <v/>
      </c>
      <c r="AJ281" s="29" t="str">
        <f t="shared" si="224"/>
        <v/>
      </c>
      <c r="AK281" s="2"/>
      <c r="AL281" s="2"/>
      <c r="AM281" s="2"/>
      <c r="AN281" s="2"/>
      <c r="AO281" s="2"/>
      <c r="AP281" s="2"/>
      <c r="AQ281" s="2"/>
      <c r="AR281" s="2"/>
      <c r="AS281" s="2"/>
      <c r="AT281" s="2"/>
      <c r="AU281" s="2"/>
      <c r="AV281" s="2"/>
      <c r="AW281" s="2"/>
      <c r="AX281" s="2"/>
      <c r="AY281" s="2"/>
      <c r="AZ281" s="2"/>
      <c r="BA281" s="2"/>
      <c r="BB281" s="2"/>
      <c r="BC281" s="2"/>
    </row>
    <row r="282" spans="4:55" x14ac:dyDescent="0.25">
      <c r="D282" s="54"/>
      <c r="E282" s="54"/>
      <c r="F282" s="54"/>
      <c r="G282" s="54"/>
      <c r="H282" s="54"/>
      <c r="I282" s="54"/>
      <c r="J282" s="2"/>
      <c r="K282" s="2"/>
      <c r="L282" s="2"/>
      <c r="M282" s="2"/>
      <c r="N282" s="2"/>
      <c r="O282" s="2"/>
      <c r="P282" s="2"/>
      <c r="Q282" s="2"/>
      <c r="R282" s="2"/>
      <c r="S282" s="2"/>
      <c r="T282" s="2"/>
      <c r="U282" s="2"/>
      <c r="V282" s="2"/>
      <c r="W282" s="2"/>
      <c r="X282" s="2"/>
      <c r="Y282" s="2"/>
      <c r="Z282" s="2"/>
      <c r="AA282" s="264">
        <v>278</v>
      </c>
      <c r="AB282" s="16" t="str">
        <f t="shared" si="216"/>
        <v/>
      </c>
      <c r="AC282" s="16" t="str">
        <f t="shared" si="217"/>
        <v/>
      </c>
      <c r="AD282" s="16" t="str">
        <f t="shared" si="220"/>
        <v/>
      </c>
      <c r="AE282" s="16" t="str">
        <f t="shared" si="221"/>
        <v/>
      </c>
      <c r="AF282" s="16" t="str">
        <f t="shared" si="222"/>
        <v/>
      </c>
      <c r="AG282" s="16" t="str">
        <f t="shared" si="218"/>
        <v/>
      </c>
      <c r="AH282" s="16" t="str">
        <f t="shared" si="219"/>
        <v/>
      </c>
      <c r="AI282" s="29" t="str">
        <f t="shared" si="223"/>
        <v/>
      </c>
      <c r="AJ282" s="29" t="str">
        <f t="shared" si="224"/>
        <v/>
      </c>
      <c r="AK282" s="2"/>
      <c r="AL282" s="2"/>
      <c r="AM282" s="2"/>
      <c r="AN282" s="2"/>
      <c r="AO282" s="2"/>
      <c r="AP282" s="2"/>
      <c r="AQ282" s="2"/>
      <c r="AR282" s="2"/>
      <c r="AS282" s="2"/>
      <c r="AT282" s="2"/>
      <c r="AU282" s="2"/>
      <c r="AV282" s="2"/>
      <c r="AW282" s="2"/>
      <c r="AX282" s="2"/>
      <c r="AY282" s="2"/>
      <c r="AZ282" s="2"/>
      <c r="BA282" s="2"/>
      <c r="BB282" s="2"/>
      <c r="BC282" s="2"/>
    </row>
    <row r="283" spans="4:55" x14ac:dyDescent="0.25">
      <c r="D283" s="54"/>
      <c r="E283" s="54"/>
      <c r="F283" s="54"/>
      <c r="G283" s="54"/>
      <c r="H283" s="54"/>
      <c r="I283" s="54"/>
      <c r="J283" s="2"/>
      <c r="K283" s="2"/>
      <c r="L283" s="2"/>
      <c r="M283" s="2"/>
      <c r="N283" s="2"/>
      <c r="O283" s="2"/>
      <c r="P283" s="2"/>
      <c r="Q283" s="2"/>
      <c r="R283" s="2"/>
      <c r="S283" s="2"/>
      <c r="T283" s="2"/>
      <c r="U283" s="2"/>
      <c r="V283" s="2"/>
      <c r="W283" s="2"/>
      <c r="X283" s="2"/>
      <c r="Y283" s="2"/>
      <c r="Z283" s="2"/>
      <c r="AA283" s="264">
        <v>279</v>
      </c>
      <c r="AB283" s="16" t="str">
        <f t="shared" si="216"/>
        <v/>
      </c>
      <c r="AC283" s="16" t="str">
        <f t="shared" si="217"/>
        <v/>
      </c>
      <c r="AD283" s="16" t="str">
        <f t="shared" si="220"/>
        <v/>
      </c>
      <c r="AE283" s="16" t="str">
        <f t="shared" si="221"/>
        <v/>
      </c>
      <c r="AF283" s="16" t="str">
        <f t="shared" si="222"/>
        <v/>
      </c>
      <c r="AG283" s="16" t="str">
        <f t="shared" si="218"/>
        <v/>
      </c>
      <c r="AH283" s="16" t="str">
        <f t="shared" si="219"/>
        <v/>
      </c>
      <c r="AI283" s="29" t="str">
        <f t="shared" si="223"/>
        <v/>
      </c>
      <c r="AJ283" s="29" t="str">
        <f t="shared" si="224"/>
        <v/>
      </c>
      <c r="AK283" s="2"/>
      <c r="AL283" s="2"/>
      <c r="AM283" s="2"/>
      <c r="AN283" s="2"/>
      <c r="AO283" s="2"/>
      <c r="AP283" s="2"/>
      <c r="AQ283" s="2"/>
      <c r="AR283" s="2"/>
      <c r="AS283" s="2"/>
      <c r="AT283" s="2"/>
      <c r="AU283" s="2"/>
      <c r="AV283" s="2"/>
      <c r="AW283" s="2"/>
      <c r="AX283" s="2"/>
      <c r="AY283" s="2"/>
      <c r="AZ283" s="2"/>
      <c r="BA283" s="2"/>
      <c r="BB283" s="2"/>
      <c r="BC283" s="2"/>
    </row>
    <row r="284" spans="4:55" x14ac:dyDescent="0.25">
      <c r="D284" s="54"/>
      <c r="E284" s="54"/>
      <c r="F284" s="54"/>
      <c r="G284" s="54"/>
      <c r="H284" s="54"/>
      <c r="I284" s="54"/>
      <c r="J284" s="2"/>
      <c r="K284" s="2"/>
      <c r="L284" s="2"/>
      <c r="M284" s="2"/>
      <c r="N284" s="2"/>
      <c r="O284" s="2"/>
      <c r="P284" s="2"/>
      <c r="Q284" s="2"/>
      <c r="R284" s="2"/>
      <c r="S284" s="2"/>
      <c r="T284" s="2"/>
      <c r="U284" s="2"/>
      <c r="V284" s="2"/>
      <c r="W284" s="2"/>
      <c r="X284" s="2"/>
      <c r="Y284" s="2"/>
      <c r="Z284" s="2"/>
      <c r="AA284" s="264">
        <v>280</v>
      </c>
      <c r="AB284" s="16" t="str">
        <f t="shared" si="216"/>
        <v/>
      </c>
      <c r="AC284" s="16" t="str">
        <f t="shared" si="217"/>
        <v/>
      </c>
      <c r="AD284" s="16" t="str">
        <f t="shared" si="220"/>
        <v/>
      </c>
      <c r="AE284" s="16" t="str">
        <f t="shared" si="221"/>
        <v/>
      </c>
      <c r="AF284" s="16" t="str">
        <f t="shared" si="222"/>
        <v/>
      </c>
      <c r="AG284" s="16" t="str">
        <f t="shared" si="218"/>
        <v/>
      </c>
      <c r="AH284" s="16" t="str">
        <f t="shared" si="219"/>
        <v/>
      </c>
      <c r="AI284" s="29" t="str">
        <f t="shared" si="223"/>
        <v/>
      </c>
      <c r="AJ284" s="29" t="str">
        <f t="shared" si="224"/>
        <v/>
      </c>
      <c r="AK284" s="2"/>
      <c r="AL284" s="2"/>
      <c r="AM284" s="2"/>
      <c r="AN284" s="2"/>
      <c r="AO284" s="2"/>
      <c r="AP284" s="2"/>
      <c r="AQ284" s="2"/>
      <c r="AR284" s="2"/>
      <c r="AS284" s="2"/>
      <c r="AT284" s="2"/>
      <c r="AU284" s="2"/>
      <c r="AV284" s="2"/>
      <c r="AW284" s="2"/>
      <c r="AX284" s="2"/>
      <c r="AY284" s="2"/>
      <c r="AZ284" s="2"/>
      <c r="BA284" s="2"/>
      <c r="BB284" s="2"/>
      <c r="BC284" s="2"/>
    </row>
    <row r="285" spans="4:55" x14ac:dyDescent="0.25">
      <c r="D285" s="54"/>
      <c r="E285" s="54"/>
      <c r="F285" s="54"/>
      <c r="G285" s="54"/>
      <c r="H285" s="54"/>
      <c r="I285" s="54"/>
      <c r="J285" s="2"/>
      <c r="K285" s="2"/>
      <c r="L285" s="2"/>
      <c r="M285" s="2"/>
      <c r="N285" s="2"/>
      <c r="O285" s="2"/>
      <c r="P285" s="2"/>
      <c r="Q285" s="2"/>
      <c r="R285" s="2"/>
      <c r="S285" s="2"/>
      <c r="T285" s="2"/>
      <c r="U285" s="2"/>
      <c r="V285" s="2"/>
      <c r="W285" s="2"/>
      <c r="X285" s="2"/>
      <c r="Y285" s="2"/>
      <c r="Z285" s="2"/>
      <c r="AA285" s="264">
        <v>281</v>
      </c>
      <c r="AB285" s="16" t="str">
        <f t="shared" si="216"/>
        <v/>
      </c>
      <c r="AC285" s="16" t="str">
        <f t="shared" si="217"/>
        <v/>
      </c>
      <c r="AD285" s="16" t="str">
        <f t="shared" si="220"/>
        <v/>
      </c>
      <c r="AE285" s="16" t="str">
        <f t="shared" si="221"/>
        <v/>
      </c>
      <c r="AF285" s="16" t="str">
        <f t="shared" si="222"/>
        <v/>
      </c>
      <c r="AG285" s="16" t="str">
        <f t="shared" si="218"/>
        <v/>
      </c>
      <c r="AH285" s="16" t="str">
        <f t="shared" si="219"/>
        <v/>
      </c>
      <c r="AI285" s="29" t="str">
        <f t="shared" si="223"/>
        <v/>
      </c>
      <c r="AJ285" s="29" t="str">
        <f t="shared" si="224"/>
        <v/>
      </c>
      <c r="AK285" s="2"/>
      <c r="AL285" s="2"/>
      <c r="AM285" s="2"/>
      <c r="AN285" s="2"/>
      <c r="AO285" s="2"/>
      <c r="AP285" s="2"/>
      <c r="AQ285" s="2"/>
      <c r="AR285" s="2"/>
      <c r="AS285" s="2"/>
      <c r="AT285" s="2"/>
      <c r="AU285" s="2"/>
      <c r="AV285" s="2"/>
      <c r="AW285" s="2"/>
      <c r="AX285" s="2"/>
      <c r="AY285" s="2"/>
      <c r="AZ285" s="2"/>
      <c r="BA285" s="2"/>
      <c r="BB285" s="2"/>
      <c r="BC285" s="2"/>
    </row>
    <row r="286" spans="4:55" x14ac:dyDescent="0.25">
      <c r="D286" s="54"/>
      <c r="E286" s="54"/>
      <c r="F286" s="54"/>
      <c r="G286" s="54"/>
      <c r="H286" s="54"/>
      <c r="I286" s="54"/>
      <c r="J286" s="2"/>
      <c r="K286" s="2"/>
      <c r="L286" s="2"/>
      <c r="M286" s="2"/>
      <c r="N286" s="2"/>
      <c r="O286" s="2"/>
      <c r="P286" s="2"/>
      <c r="Q286" s="2"/>
      <c r="R286" s="2"/>
      <c r="S286" s="2"/>
      <c r="T286" s="2"/>
      <c r="U286" s="2"/>
      <c r="V286" s="2"/>
      <c r="W286" s="2"/>
      <c r="X286" s="2"/>
      <c r="Y286" s="2"/>
      <c r="Z286" s="2"/>
      <c r="AA286" s="264">
        <v>282</v>
      </c>
      <c r="AB286" s="16" t="str">
        <f t="shared" si="216"/>
        <v/>
      </c>
      <c r="AC286" s="16" t="str">
        <f t="shared" si="217"/>
        <v/>
      </c>
      <c r="AD286" s="16" t="str">
        <f t="shared" si="220"/>
        <v/>
      </c>
      <c r="AE286" s="16" t="str">
        <f t="shared" si="221"/>
        <v/>
      </c>
      <c r="AF286" s="16" t="str">
        <f t="shared" si="222"/>
        <v/>
      </c>
      <c r="AG286" s="16" t="str">
        <f t="shared" si="218"/>
        <v/>
      </c>
      <c r="AH286" s="16" t="str">
        <f t="shared" si="219"/>
        <v/>
      </c>
      <c r="AI286" s="29" t="str">
        <f t="shared" si="223"/>
        <v/>
      </c>
      <c r="AJ286" s="29" t="str">
        <f t="shared" si="224"/>
        <v/>
      </c>
      <c r="AK286" s="2"/>
      <c r="AL286" s="2"/>
      <c r="AM286" s="2"/>
      <c r="AN286" s="2"/>
      <c r="AO286" s="2"/>
      <c r="AP286" s="2"/>
      <c r="AQ286" s="2"/>
      <c r="AR286" s="2"/>
      <c r="AS286" s="2"/>
      <c r="AT286" s="2"/>
      <c r="AU286" s="2"/>
      <c r="AV286" s="2"/>
      <c r="AW286" s="2"/>
      <c r="AX286" s="2"/>
      <c r="AY286" s="2"/>
      <c r="AZ286" s="2"/>
      <c r="BA286" s="2"/>
      <c r="BB286" s="2"/>
      <c r="BC286" s="2"/>
    </row>
    <row r="287" spans="4:55" x14ac:dyDescent="0.25">
      <c r="D287" s="54"/>
      <c r="E287" s="54"/>
      <c r="F287" s="54"/>
      <c r="G287" s="54"/>
      <c r="H287" s="54"/>
      <c r="I287" s="54"/>
      <c r="J287" s="2"/>
      <c r="K287" s="2"/>
      <c r="L287" s="2"/>
      <c r="M287" s="2"/>
      <c r="N287" s="2"/>
      <c r="O287" s="2"/>
      <c r="P287" s="2"/>
      <c r="Q287" s="2"/>
      <c r="R287" s="2"/>
      <c r="S287" s="2"/>
      <c r="T287" s="2"/>
      <c r="U287" s="2"/>
      <c r="V287" s="2"/>
      <c r="W287" s="2"/>
      <c r="X287" s="2"/>
      <c r="Y287" s="2"/>
      <c r="Z287" s="2"/>
      <c r="AA287" s="264">
        <v>283</v>
      </c>
      <c r="AB287" s="16" t="str">
        <f t="shared" ref="AB287:AB304" si="225">IF($C$9&gt;=$AA287,$R45+0.000001-$AB$410,"")</f>
        <v/>
      </c>
      <c r="AC287" s="16" t="str">
        <f t="shared" ref="AC287:AC304" si="226">IF($C$9&gt;=$AA287,$Q45+0.000001-$AB$409,"")</f>
        <v/>
      </c>
      <c r="AD287" s="16" t="str">
        <f t="shared" si="220"/>
        <v/>
      </c>
      <c r="AE287" s="16" t="str">
        <f t="shared" si="221"/>
        <v/>
      </c>
      <c r="AF287" s="16" t="str">
        <f t="shared" si="222"/>
        <v/>
      </c>
      <c r="AG287" s="16" t="str">
        <f t="shared" ref="AG287:AG304" si="227">IF($C$9&gt;=$AA287,$Q45-$AB$409,"")</f>
        <v/>
      </c>
      <c r="AH287" s="16" t="str">
        <f t="shared" ref="AH287:AH304" si="228">IF($C$9&gt;=$AA287,$R45-$AB$410,"")</f>
        <v/>
      </c>
      <c r="AI287" s="29" t="str">
        <f t="shared" si="223"/>
        <v/>
      </c>
      <c r="AJ287" s="29" t="str">
        <f t="shared" si="224"/>
        <v/>
      </c>
      <c r="AK287" s="2"/>
      <c r="AL287" s="2"/>
      <c r="AM287" s="2"/>
      <c r="AN287" s="2"/>
      <c r="AO287" s="2"/>
      <c r="AP287" s="2"/>
      <c r="AQ287" s="2"/>
      <c r="AR287" s="2"/>
      <c r="AS287" s="2"/>
      <c r="AT287" s="2"/>
      <c r="AU287" s="2"/>
      <c r="AV287" s="2"/>
      <c r="AW287" s="2"/>
      <c r="AX287" s="2"/>
      <c r="AY287" s="2"/>
      <c r="AZ287" s="2"/>
      <c r="BA287" s="2"/>
      <c r="BB287" s="2"/>
      <c r="BC287" s="2"/>
    </row>
    <row r="288" spans="4:55" x14ac:dyDescent="0.25">
      <c r="D288" s="54"/>
      <c r="E288" s="54"/>
      <c r="F288" s="54"/>
      <c r="G288" s="54"/>
      <c r="H288" s="54"/>
      <c r="I288" s="54"/>
      <c r="J288" s="2"/>
      <c r="K288" s="2"/>
      <c r="L288" s="2"/>
      <c r="M288" s="2"/>
      <c r="N288" s="2"/>
      <c r="O288" s="2"/>
      <c r="P288" s="2"/>
      <c r="Q288" s="2"/>
      <c r="R288" s="2"/>
      <c r="S288" s="2"/>
      <c r="T288" s="2"/>
      <c r="U288" s="2"/>
      <c r="V288" s="2"/>
      <c r="W288" s="2"/>
      <c r="X288" s="2"/>
      <c r="Y288" s="2"/>
      <c r="Z288" s="2"/>
      <c r="AA288" s="264">
        <v>284</v>
      </c>
      <c r="AB288" s="16" t="str">
        <f t="shared" si="225"/>
        <v/>
      </c>
      <c r="AC288" s="16" t="str">
        <f t="shared" si="226"/>
        <v/>
      </c>
      <c r="AD288" s="16" t="str">
        <f t="shared" si="220"/>
        <v/>
      </c>
      <c r="AE288" s="16" t="str">
        <f t="shared" si="221"/>
        <v/>
      </c>
      <c r="AF288" s="16" t="str">
        <f t="shared" si="222"/>
        <v/>
      </c>
      <c r="AG288" s="16" t="str">
        <f t="shared" si="227"/>
        <v/>
      </c>
      <c r="AH288" s="16" t="str">
        <f t="shared" si="228"/>
        <v/>
      </c>
      <c r="AI288" s="29" t="str">
        <f t="shared" si="223"/>
        <v/>
      </c>
      <c r="AJ288" s="29" t="str">
        <f t="shared" si="224"/>
        <v/>
      </c>
      <c r="AK288" s="2"/>
      <c r="AL288" s="2"/>
      <c r="AM288" s="2"/>
      <c r="AN288" s="2"/>
      <c r="AO288" s="2"/>
      <c r="AP288" s="2"/>
      <c r="AQ288" s="2"/>
      <c r="AR288" s="2"/>
      <c r="AS288" s="2"/>
      <c r="AT288" s="2"/>
      <c r="AU288" s="2"/>
      <c r="AV288" s="2"/>
      <c r="AW288" s="2"/>
      <c r="AX288" s="2"/>
      <c r="AY288" s="2"/>
      <c r="AZ288" s="2"/>
      <c r="BA288" s="2"/>
      <c r="BB288" s="2"/>
      <c r="BC288" s="2"/>
    </row>
    <row r="289" spans="4:55" x14ac:dyDescent="0.25">
      <c r="D289" s="54"/>
      <c r="E289" s="54"/>
      <c r="F289" s="54"/>
      <c r="G289" s="54"/>
      <c r="H289" s="54"/>
      <c r="I289" s="54"/>
      <c r="J289" s="2"/>
      <c r="K289" s="2"/>
      <c r="L289" s="2"/>
      <c r="M289" s="2"/>
      <c r="N289" s="2"/>
      <c r="O289" s="2"/>
      <c r="P289" s="2"/>
      <c r="Q289" s="2"/>
      <c r="R289" s="2"/>
      <c r="S289" s="2"/>
      <c r="T289" s="2"/>
      <c r="U289" s="2"/>
      <c r="V289" s="2"/>
      <c r="W289" s="2"/>
      <c r="X289" s="2"/>
      <c r="Y289" s="2"/>
      <c r="Z289" s="2"/>
      <c r="AA289" s="264">
        <v>285</v>
      </c>
      <c r="AB289" s="16" t="str">
        <f t="shared" si="225"/>
        <v/>
      </c>
      <c r="AC289" s="16" t="str">
        <f t="shared" si="226"/>
        <v/>
      </c>
      <c r="AD289" s="16" t="str">
        <f t="shared" si="220"/>
        <v/>
      </c>
      <c r="AE289" s="16" t="str">
        <f t="shared" si="221"/>
        <v/>
      </c>
      <c r="AF289" s="16" t="str">
        <f t="shared" si="222"/>
        <v/>
      </c>
      <c r="AG289" s="16" t="str">
        <f t="shared" si="227"/>
        <v/>
      </c>
      <c r="AH289" s="16" t="str">
        <f t="shared" si="228"/>
        <v/>
      </c>
      <c r="AI289" s="29" t="str">
        <f t="shared" si="223"/>
        <v/>
      </c>
      <c r="AJ289" s="29" t="str">
        <f t="shared" si="224"/>
        <v/>
      </c>
      <c r="AK289" s="2"/>
      <c r="AL289" s="2"/>
      <c r="AM289" s="2"/>
      <c r="AN289" s="2"/>
      <c r="AO289" s="2"/>
      <c r="AP289" s="2"/>
      <c r="AQ289" s="2"/>
      <c r="AR289" s="2"/>
      <c r="AS289" s="2"/>
      <c r="AT289" s="2"/>
      <c r="AU289" s="2"/>
      <c r="AV289" s="2"/>
      <c r="AW289" s="2"/>
      <c r="AX289" s="2"/>
      <c r="AY289" s="2"/>
      <c r="AZ289" s="2"/>
      <c r="BA289" s="2"/>
      <c r="BB289" s="2"/>
      <c r="BC289" s="2"/>
    </row>
    <row r="290" spans="4:55" x14ac:dyDescent="0.25">
      <c r="D290" s="54"/>
      <c r="E290" s="54"/>
      <c r="F290" s="54"/>
      <c r="G290" s="54"/>
      <c r="H290" s="54"/>
      <c r="I290" s="54"/>
      <c r="J290" s="2"/>
      <c r="K290" s="2"/>
      <c r="L290" s="2"/>
      <c r="M290" s="2"/>
      <c r="N290" s="2"/>
      <c r="O290" s="2"/>
      <c r="P290" s="2"/>
      <c r="Q290" s="2"/>
      <c r="R290" s="2"/>
      <c r="S290" s="2"/>
      <c r="T290" s="2"/>
      <c r="U290" s="2"/>
      <c r="V290" s="2"/>
      <c r="W290" s="2"/>
      <c r="X290" s="2"/>
      <c r="Y290" s="2"/>
      <c r="Z290" s="2"/>
      <c r="AA290" s="264">
        <v>286</v>
      </c>
      <c r="AB290" s="16" t="str">
        <f t="shared" si="225"/>
        <v/>
      </c>
      <c r="AC290" s="16" t="str">
        <f t="shared" si="226"/>
        <v/>
      </c>
      <c r="AD290" s="16" t="str">
        <f t="shared" si="220"/>
        <v/>
      </c>
      <c r="AE290" s="16" t="str">
        <f t="shared" si="221"/>
        <v/>
      </c>
      <c r="AF290" s="16" t="str">
        <f t="shared" si="222"/>
        <v/>
      </c>
      <c r="AG290" s="16" t="str">
        <f t="shared" si="227"/>
        <v/>
      </c>
      <c r="AH290" s="16" t="str">
        <f t="shared" si="228"/>
        <v/>
      </c>
      <c r="AI290" s="29" t="str">
        <f t="shared" si="223"/>
        <v/>
      </c>
      <c r="AJ290" s="29" t="str">
        <f t="shared" si="224"/>
        <v/>
      </c>
      <c r="AK290" s="2"/>
      <c r="AL290" s="2"/>
      <c r="AM290" s="2"/>
      <c r="AN290" s="2"/>
      <c r="AO290" s="2"/>
      <c r="AP290" s="2"/>
      <c r="AQ290" s="2"/>
      <c r="AR290" s="2"/>
      <c r="AS290" s="2"/>
      <c r="AT290" s="2"/>
      <c r="AU290" s="2"/>
      <c r="AV290" s="2"/>
      <c r="AW290" s="2"/>
      <c r="AX290" s="2"/>
      <c r="AY290" s="2"/>
      <c r="AZ290" s="2"/>
      <c r="BA290" s="2"/>
      <c r="BB290" s="2"/>
      <c r="BC290" s="2"/>
    </row>
    <row r="291" spans="4:55" x14ac:dyDescent="0.25">
      <c r="D291" s="54"/>
      <c r="E291" s="54"/>
      <c r="F291" s="54"/>
      <c r="G291" s="54"/>
      <c r="H291" s="54"/>
      <c r="I291" s="54"/>
      <c r="J291" s="2"/>
      <c r="K291" s="2"/>
      <c r="L291" s="2"/>
      <c r="M291" s="2"/>
      <c r="N291" s="2"/>
      <c r="O291" s="2"/>
      <c r="P291" s="2"/>
      <c r="Q291" s="2"/>
      <c r="R291" s="2"/>
      <c r="S291" s="2"/>
      <c r="T291" s="2"/>
      <c r="U291" s="2"/>
      <c r="V291" s="2"/>
      <c r="W291" s="2"/>
      <c r="X291" s="2"/>
      <c r="Y291" s="2"/>
      <c r="Z291" s="2"/>
      <c r="AA291" s="264">
        <v>287</v>
      </c>
      <c r="AB291" s="16" t="str">
        <f t="shared" si="225"/>
        <v/>
      </c>
      <c r="AC291" s="16" t="str">
        <f t="shared" si="226"/>
        <v/>
      </c>
      <c r="AD291" s="16" t="str">
        <f t="shared" si="220"/>
        <v/>
      </c>
      <c r="AE291" s="16" t="str">
        <f t="shared" si="221"/>
        <v/>
      </c>
      <c r="AF291" s="16" t="str">
        <f t="shared" si="222"/>
        <v/>
      </c>
      <c r="AG291" s="16" t="str">
        <f t="shared" si="227"/>
        <v/>
      </c>
      <c r="AH291" s="16" t="str">
        <f t="shared" si="228"/>
        <v/>
      </c>
      <c r="AI291" s="29" t="str">
        <f t="shared" si="223"/>
        <v/>
      </c>
      <c r="AJ291" s="29" t="str">
        <f t="shared" si="224"/>
        <v/>
      </c>
      <c r="AK291" s="2"/>
      <c r="AL291" s="2"/>
      <c r="AM291" s="2"/>
      <c r="AN291" s="2"/>
      <c r="AO291" s="2"/>
      <c r="AP291" s="2"/>
      <c r="AQ291" s="2"/>
      <c r="AR291" s="2"/>
      <c r="AS291" s="2"/>
      <c r="AT291" s="2"/>
      <c r="AU291" s="2"/>
      <c r="AV291" s="2"/>
      <c r="AW291" s="2"/>
      <c r="AX291" s="2"/>
      <c r="AY291" s="2"/>
      <c r="AZ291" s="2"/>
      <c r="BA291" s="2"/>
      <c r="BB291" s="2"/>
      <c r="BC291" s="2"/>
    </row>
    <row r="292" spans="4:55" x14ac:dyDescent="0.25">
      <c r="D292" s="54"/>
      <c r="E292" s="54"/>
      <c r="F292" s="54"/>
      <c r="G292" s="54"/>
      <c r="H292" s="54"/>
      <c r="I292" s="54"/>
      <c r="J292" s="2"/>
      <c r="K292" s="2"/>
      <c r="L292" s="2"/>
      <c r="M292" s="2"/>
      <c r="N292" s="2"/>
      <c r="O292" s="2"/>
      <c r="P292" s="2"/>
      <c r="Q292" s="2"/>
      <c r="R292" s="2"/>
      <c r="S292" s="2"/>
      <c r="T292" s="2"/>
      <c r="U292" s="2"/>
      <c r="V292" s="2"/>
      <c r="W292" s="2"/>
      <c r="X292" s="2"/>
      <c r="Y292" s="2"/>
      <c r="Z292" s="2"/>
      <c r="AA292" s="264">
        <v>288</v>
      </c>
      <c r="AB292" s="16" t="str">
        <f t="shared" si="225"/>
        <v/>
      </c>
      <c r="AC292" s="16" t="str">
        <f t="shared" si="226"/>
        <v/>
      </c>
      <c r="AD292" s="16" t="str">
        <f t="shared" si="220"/>
        <v/>
      </c>
      <c r="AE292" s="16" t="str">
        <f t="shared" si="221"/>
        <v/>
      </c>
      <c r="AF292" s="16" t="str">
        <f t="shared" si="222"/>
        <v/>
      </c>
      <c r="AG292" s="16" t="str">
        <f t="shared" si="227"/>
        <v/>
      </c>
      <c r="AH292" s="16" t="str">
        <f t="shared" si="228"/>
        <v/>
      </c>
      <c r="AI292" s="29" t="str">
        <f t="shared" si="223"/>
        <v/>
      </c>
      <c r="AJ292" s="29" t="str">
        <f t="shared" si="224"/>
        <v/>
      </c>
      <c r="AK292" s="2"/>
      <c r="AL292" s="2"/>
      <c r="AM292" s="2"/>
      <c r="AN292" s="2"/>
      <c r="AO292" s="2"/>
      <c r="AP292" s="2"/>
      <c r="AQ292" s="2"/>
      <c r="AR292" s="2"/>
      <c r="AS292" s="2"/>
      <c r="AT292" s="2"/>
      <c r="AU292" s="2"/>
      <c r="AV292" s="2"/>
      <c r="AW292" s="2"/>
      <c r="AX292" s="2"/>
      <c r="AY292" s="2"/>
      <c r="AZ292" s="2"/>
      <c r="BA292" s="2"/>
      <c r="BB292" s="2"/>
      <c r="BC292" s="2"/>
    </row>
    <row r="293" spans="4:55" x14ac:dyDescent="0.25">
      <c r="D293" s="54"/>
      <c r="E293" s="54"/>
      <c r="F293" s="54"/>
      <c r="G293" s="54"/>
      <c r="H293" s="54"/>
      <c r="I293" s="54"/>
      <c r="J293" s="2"/>
      <c r="K293" s="2"/>
      <c r="L293" s="2"/>
      <c r="M293" s="2"/>
      <c r="N293" s="2"/>
      <c r="O293" s="2"/>
      <c r="P293" s="2"/>
      <c r="Q293" s="2"/>
      <c r="R293" s="2"/>
      <c r="S293" s="2"/>
      <c r="T293" s="2"/>
      <c r="U293" s="2"/>
      <c r="V293" s="2"/>
      <c r="W293" s="2"/>
      <c r="X293" s="2"/>
      <c r="Y293" s="2"/>
      <c r="Z293" s="2"/>
      <c r="AA293" s="264">
        <v>289</v>
      </c>
      <c r="AB293" s="16" t="str">
        <f t="shared" si="225"/>
        <v/>
      </c>
      <c r="AC293" s="16" t="str">
        <f t="shared" si="226"/>
        <v/>
      </c>
      <c r="AD293" s="16" t="str">
        <f t="shared" si="220"/>
        <v/>
      </c>
      <c r="AE293" s="16" t="str">
        <f t="shared" si="221"/>
        <v/>
      </c>
      <c r="AF293" s="16" t="str">
        <f t="shared" si="222"/>
        <v/>
      </c>
      <c r="AG293" s="16" t="str">
        <f t="shared" si="227"/>
        <v/>
      </c>
      <c r="AH293" s="16" t="str">
        <f t="shared" si="228"/>
        <v/>
      </c>
      <c r="AI293" s="29" t="str">
        <f t="shared" si="223"/>
        <v/>
      </c>
      <c r="AJ293" s="29" t="str">
        <f t="shared" si="224"/>
        <v/>
      </c>
      <c r="AK293" s="2"/>
      <c r="AL293" s="2"/>
      <c r="AM293" s="2"/>
      <c r="AN293" s="2"/>
      <c r="AO293" s="2"/>
      <c r="AP293" s="2"/>
      <c r="AQ293" s="2"/>
      <c r="AR293" s="2"/>
      <c r="AS293" s="2"/>
      <c r="AT293" s="2"/>
      <c r="AU293" s="2"/>
      <c r="AV293" s="2"/>
      <c r="AW293" s="2"/>
      <c r="AX293" s="2"/>
      <c r="AY293" s="2"/>
      <c r="AZ293" s="2"/>
      <c r="BA293" s="2"/>
      <c r="BB293" s="2"/>
      <c r="BC293" s="2"/>
    </row>
    <row r="294" spans="4:55" x14ac:dyDescent="0.25">
      <c r="D294" s="54"/>
      <c r="E294" s="54"/>
      <c r="F294" s="54"/>
      <c r="G294" s="54"/>
      <c r="H294" s="54"/>
      <c r="I294" s="54"/>
      <c r="J294" s="2"/>
      <c r="K294" s="2"/>
      <c r="L294" s="2"/>
      <c r="M294" s="2"/>
      <c r="N294" s="2"/>
      <c r="O294" s="2"/>
      <c r="P294" s="2"/>
      <c r="Q294" s="2"/>
      <c r="R294" s="2"/>
      <c r="S294" s="2"/>
      <c r="T294" s="2"/>
      <c r="U294" s="2"/>
      <c r="V294" s="2"/>
      <c r="W294" s="2"/>
      <c r="X294" s="2"/>
      <c r="Y294" s="2"/>
      <c r="Z294" s="2"/>
      <c r="AA294" s="264">
        <v>290</v>
      </c>
      <c r="AB294" s="16" t="str">
        <f t="shared" si="225"/>
        <v/>
      </c>
      <c r="AC294" s="16" t="str">
        <f t="shared" si="226"/>
        <v/>
      </c>
      <c r="AD294" s="16" t="str">
        <f t="shared" si="220"/>
        <v/>
      </c>
      <c r="AE294" s="16" t="str">
        <f t="shared" si="221"/>
        <v/>
      </c>
      <c r="AF294" s="16" t="str">
        <f t="shared" si="222"/>
        <v/>
      </c>
      <c r="AG294" s="16" t="str">
        <f t="shared" si="227"/>
        <v/>
      </c>
      <c r="AH294" s="16" t="str">
        <f t="shared" si="228"/>
        <v/>
      </c>
      <c r="AI294" s="29" t="str">
        <f t="shared" si="223"/>
        <v/>
      </c>
      <c r="AJ294" s="29" t="str">
        <f t="shared" si="224"/>
        <v/>
      </c>
      <c r="AK294" s="2"/>
      <c r="AL294" s="2"/>
      <c r="AM294" s="2"/>
      <c r="AN294" s="2"/>
      <c r="AO294" s="2"/>
      <c r="AP294" s="2"/>
      <c r="AQ294" s="2"/>
      <c r="AR294" s="2"/>
      <c r="AS294" s="2"/>
      <c r="AT294" s="2"/>
      <c r="AU294" s="2"/>
      <c r="AV294" s="2"/>
      <c r="AW294" s="2"/>
      <c r="AX294" s="2"/>
      <c r="AY294" s="2"/>
      <c r="AZ294" s="2"/>
      <c r="BA294" s="2"/>
      <c r="BB294" s="2"/>
      <c r="BC294" s="2"/>
    </row>
    <row r="295" spans="4:55" x14ac:dyDescent="0.25">
      <c r="D295" s="54"/>
      <c r="E295" s="54"/>
      <c r="F295" s="54"/>
      <c r="G295" s="54"/>
      <c r="H295" s="54"/>
      <c r="I295" s="54"/>
      <c r="J295" s="2"/>
      <c r="K295" s="2"/>
      <c r="L295" s="2"/>
      <c r="M295" s="2"/>
      <c r="N295" s="2"/>
      <c r="O295" s="2"/>
      <c r="P295" s="2"/>
      <c r="Q295" s="2"/>
      <c r="R295" s="2"/>
      <c r="S295" s="2"/>
      <c r="T295" s="2"/>
      <c r="U295" s="2"/>
      <c r="V295" s="2"/>
      <c r="W295" s="2"/>
      <c r="X295" s="2"/>
      <c r="Y295" s="2"/>
      <c r="Z295" s="2"/>
      <c r="AA295" s="264">
        <v>291</v>
      </c>
      <c r="AB295" s="16" t="str">
        <f t="shared" si="225"/>
        <v/>
      </c>
      <c r="AC295" s="16" t="str">
        <f t="shared" si="226"/>
        <v/>
      </c>
      <c r="AD295" s="16" t="str">
        <f t="shared" si="220"/>
        <v/>
      </c>
      <c r="AE295" s="16" t="str">
        <f t="shared" si="221"/>
        <v/>
      </c>
      <c r="AF295" s="16" t="str">
        <f t="shared" si="222"/>
        <v/>
      </c>
      <c r="AG295" s="16" t="str">
        <f t="shared" si="227"/>
        <v/>
      </c>
      <c r="AH295" s="16" t="str">
        <f t="shared" si="228"/>
        <v/>
      </c>
      <c r="AI295" s="29" t="str">
        <f t="shared" si="223"/>
        <v/>
      </c>
      <c r="AJ295" s="29" t="str">
        <f t="shared" si="224"/>
        <v/>
      </c>
      <c r="AK295" s="2"/>
      <c r="AL295" s="2"/>
      <c r="AM295" s="2"/>
      <c r="AN295" s="2"/>
      <c r="AO295" s="2"/>
      <c r="AP295" s="2"/>
      <c r="AQ295" s="2"/>
      <c r="AR295" s="2"/>
      <c r="AS295" s="2"/>
      <c r="AT295" s="2"/>
      <c r="AU295" s="2"/>
      <c r="AV295" s="2"/>
      <c r="AW295" s="2"/>
      <c r="AX295" s="2"/>
      <c r="AY295" s="2"/>
      <c r="AZ295" s="2"/>
      <c r="BA295" s="2"/>
      <c r="BB295" s="2"/>
      <c r="BC295" s="2"/>
    </row>
    <row r="296" spans="4:55" x14ac:dyDescent="0.25">
      <c r="D296" s="54"/>
      <c r="E296" s="54"/>
      <c r="F296" s="54"/>
      <c r="G296" s="54"/>
      <c r="H296" s="54"/>
      <c r="I296" s="54"/>
      <c r="J296" s="2"/>
      <c r="K296" s="2"/>
      <c r="L296" s="2"/>
      <c r="M296" s="2"/>
      <c r="N296" s="2"/>
      <c r="O296" s="2"/>
      <c r="P296" s="2"/>
      <c r="Q296" s="2"/>
      <c r="R296" s="2"/>
      <c r="S296" s="2"/>
      <c r="T296" s="2"/>
      <c r="U296" s="2"/>
      <c r="V296" s="2"/>
      <c r="W296" s="2"/>
      <c r="X296" s="2"/>
      <c r="Y296" s="2"/>
      <c r="Z296" s="2"/>
      <c r="AA296" s="264">
        <v>292</v>
      </c>
      <c r="AB296" s="16" t="str">
        <f t="shared" si="225"/>
        <v/>
      </c>
      <c r="AC296" s="16" t="str">
        <f t="shared" si="226"/>
        <v/>
      </c>
      <c r="AD296" s="16" t="str">
        <f t="shared" si="220"/>
        <v/>
      </c>
      <c r="AE296" s="16" t="str">
        <f t="shared" si="221"/>
        <v/>
      </c>
      <c r="AF296" s="16" t="str">
        <f t="shared" si="222"/>
        <v/>
      </c>
      <c r="AG296" s="16" t="str">
        <f t="shared" si="227"/>
        <v/>
      </c>
      <c r="AH296" s="16" t="str">
        <f t="shared" si="228"/>
        <v/>
      </c>
      <c r="AI296" s="29" t="str">
        <f t="shared" si="223"/>
        <v/>
      </c>
      <c r="AJ296" s="29" t="str">
        <f t="shared" si="224"/>
        <v/>
      </c>
      <c r="AK296" s="2"/>
      <c r="AL296" s="2"/>
      <c r="AM296" s="2"/>
      <c r="AN296" s="2"/>
      <c r="AO296" s="2"/>
      <c r="AP296" s="2"/>
      <c r="AQ296" s="2"/>
      <c r="AR296" s="2"/>
      <c r="AS296" s="2"/>
      <c r="AT296" s="2"/>
      <c r="AU296" s="2"/>
      <c r="AV296" s="2"/>
      <c r="AW296" s="2"/>
      <c r="AX296" s="2"/>
      <c r="AY296" s="2"/>
      <c r="AZ296" s="2"/>
      <c r="BA296" s="2"/>
      <c r="BB296" s="2"/>
      <c r="BC296" s="2"/>
    </row>
    <row r="297" spans="4:55" x14ac:dyDescent="0.25">
      <c r="D297" s="54"/>
      <c r="E297" s="54"/>
      <c r="F297" s="54"/>
      <c r="G297" s="54"/>
      <c r="H297" s="54"/>
      <c r="I297" s="54"/>
      <c r="J297" s="2"/>
      <c r="K297" s="2"/>
      <c r="L297" s="2"/>
      <c r="M297" s="2"/>
      <c r="N297" s="2"/>
      <c r="O297" s="2"/>
      <c r="P297" s="2"/>
      <c r="Q297" s="2"/>
      <c r="R297" s="2"/>
      <c r="S297" s="2"/>
      <c r="T297" s="2"/>
      <c r="U297" s="2"/>
      <c r="V297" s="2"/>
      <c r="W297" s="2"/>
      <c r="X297" s="2"/>
      <c r="Y297" s="2"/>
      <c r="Z297" s="2"/>
      <c r="AA297" s="264">
        <v>293</v>
      </c>
      <c r="AB297" s="16" t="str">
        <f t="shared" si="225"/>
        <v/>
      </c>
      <c r="AC297" s="16" t="str">
        <f t="shared" si="226"/>
        <v/>
      </c>
      <c r="AD297" s="16" t="str">
        <f t="shared" si="220"/>
        <v/>
      </c>
      <c r="AE297" s="16" t="str">
        <f t="shared" si="221"/>
        <v/>
      </c>
      <c r="AF297" s="16" t="str">
        <f t="shared" si="222"/>
        <v/>
      </c>
      <c r="AG297" s="16" t="str">
        <f t="shared" si="227"/>
        <v/>
      </c>
      <c r="AH297" s="16" t="str">
        <f t="shared" si="228"/>
        <v/>
      </c>
      <c r="AI297" s="29" t="str">
        <f t="shared" si="223"/>
        <v/>
      </c>
      <c r="AJ297" s="29" t="str">
        <f t="shared" si="224"/>
        <v/>
      </c>
      <c r="AK297" s="2"/>
      <c r="AL297" s="2"/>
      <c r="AM297" s="2"/>
      <c r="AN297" s="2"/>
      <c r="AO297" s="2"/>
      <c r="AP297" s="2"/>
      <c r="AQ297" s="2"/>
      <c r="AR297" s="2"/>
      <c r="AS297" s="2"/>
      <c r="AT297" s="2"/>
      <c r="AU297" s="2"/>
      <c r="AV297" s="2"/>
      <c r="AW297" s="2"/>
      <c r="AX297" s="2"/>
      <c r="AY297" s="2"/>
      <c r="AZ297" s="2"/>
      <c r="BA297" s="2"/>
      <c r="BB297" s="2"/>
      <c r="BC297" s="2"/>
    </row>
    <row r="298" spans="4:55" x14ac:dyDescent="0.25">
      <c r="D298" s="54"/>
      <c r="E298" s="54"/>
      <c r="F298" s="54"/>
      <c r="G298" s="54"/>
      <c r="H298" s="54"/>
      <c r="I298" s="54"/>
      <c r="J298" s="2"/>
      <c r="K298" s="2"/>
      <c r="L298" s="2"/>
      <c r="M298" s="2"/>
      <c r="N298" s="2"/>
      <c r="O298" s="2"/>
      <c r="P298" s="2"/>
      <c r="Q298" s="2"/>
      <c r="R298" s="2"/>
      <c r="S298" s="2"/>
      <c r="T298" s="2"/>
      <c r="U298" s="2"/>
      <c r="V298" s="2"/>
      <c r="W298" s="2"/>
      <c r="X298" s="2"/>
      <c r="Y298" s="2"/>
      <c r="Z298" s="2"/>
      <c r="AA298" s="264">
        <v>294</v>
      </c>
      <c r="AB298" s="16" t="str">
        <f t="shared" si="225"/>
        <v/>
      </c>
      <c r="AC298" s="16" t="str">
        <f t="shared" si="226"/>
        <v/>
      </c>
      <c r="AD298" s="16" t="str">
        <f t="shared" si="220"/>
        <v/>
      </c>
      <c r="AE298" s="16" t="str">
        <f t="shared" si="221"/>
        <v/>
      </c>
      <c r="AF298" s="16" t="str">
        <f t="shared" si="222"/>
        <v/>
      </c>
      <c r="AG298" s="16" t="str">
        <f t="shared" si="227"/>
        <v/>
      </c>
      <c r="AH298" s="16" t="str">
        <f t="shared" si="228"/>
        <v/>
      </c>
      <c r="AI298" s="29" t="str">
        <f t="shared" si="223"/>
        <v/>
      </c>
      <c r="AJ298" s="29" t="str">
        <f t="shared" si="224"/>
        <v/>
      </c>
      <c r="AK298" s="2"/>
      <c r="AL298" s="2"/>
      <c r="AM298" s="2"/>
      <c r="AN298" s="2"/>
      <c r="AO298" s="2"/>
      <c r="AP298" s="2"/>
      <c r="AQ298" s="2"/>
      <c r="AR298" s="2"/>
      <c r="AS298" s="2"/>
      <c r="AT298" s="2"/>
      <c r="AU298" s="2"/>
      <c r="AV298" s="2"/>
      <c r="AW298" s="2"/>
      <c r="AX298" s="2"/>
      <c r="AY298" s="2"/>
      <c r="AZ298" s="2"/>
      <c r="BA298" s="2"/>
      <c r="BB298" s="2"/>
      <c r="BC298" s="2"/>
    </row>
    <row r="299" spans="4:55" x14ac:dyDescent="0.25">
      <c r="D299" s="54"/>
      <c r="E299" s="54"/>
      <c r="F299" s="54"/>
      <c r="G299" s="54"/>
      <c r="H299" s="54"/>
      <c r="I299" s="54"/>
      <c r="J299" s="2"/>
      <c r="K299" s="2"/>
      <c r="L299" s="2"/>
      <c r="M299" s="2"/>
      <c r="N299" s="2"/>
      <c r="O299" s="2"/>
      <c r="P299" s="2"/>
      <c r="Q299" s="2"/>
      <c r="R299" s="2"/>
      <c r="S299" s="2"/>
      <c r="T299" s="2"/>
      <c r="U299" s="2"/>
      <c r="V299" s="2"/>
      <c r="W299" s="2"/>
      <c r="X299" s="2"/>
      <c r="Y299" s="2"/>
      <c r="Z299" s="2"/>
      <c r="AA299" s="264">
        <v>295</v>
      </c>
      <c r="AB299" s="16" t="str">
        <f t="shared" si="225"/>
        <v/>
      </c>
      <c r="AC299" s="16" t="str">
        <f t="shared" si="226"/>
        <v/>
      </c>
      <c r="AD299" s="16" t="str">
        <f t="shared" si="220"/>
        <v/>
      </c>
      <c r="AE299" s="16" t="str">
        <f t="shared" si="221"/>
        <v/>
      </c>
      <c r="AF299" s="16" t="str">
        <f t="shared" si="222"/>
        <v/>
      </c>
      <c r="AG299" s="16" t="str">
        <f t="shared" si="227"/>
        <v/>
      </c>
      <c r="AH299" s="16" t="str">
        <f t="shared" si="228"/>
        <v/>
      </c>
      <c r="AI299" s="29" t="str">
        <f t="shared" si="223"/>
        <v/>
      </c>
      <c r="AJ299" s="29" t="str">
        <f t="shared" si="224"/>
        <v/>
      </c>
      <c r="AK299" s="2"/>
      <c r="AL299" s="2"/>
      <c r="AM299" s="2"/>
      <c r="AN299" s="2"/>
      <c r="AO299" s="2"/>
      <c r="AP299" s="2"/>
      <c r="AQ299" s="2"/>
      <c r="AR299" s="2"/>
      <c r="AS299" s="2"/>
      <c r="AT299" s="2"/>
      <c r="AU299" s="2"/>
      <c r="AV299" s="2"/>
      <c r="AW299" s="2"/>
      <c r="AX299" s="2"/>
      <c r="AY299" s="2"/>
      <c r="AZ299" s="2"/>
      <c r="BA299" s="2"/>
      <c r="BB299" s="2"/>
      <c r="BC299" s="2"/>
    </row>
    <row r="300" spans="4:55" x14ac:dyDescent="0.25">
      <c r="D300" s="54"/>
      <c r="E300" s="54"/>
      <c r="F300" s="54"/>
      <c r="G300" s="54"/>
      <c r="H300" s="54"/>
      <c r="I300" s="54"/>
      <c r="J300" s="2"/>
      <c r="K300" s="2"/>
      <c r="L300" s="2"/>
      <c r="M300" s="2"/>
      <c r="N300" s="2"/>
      <c r="O300" s="2"/>
      <c r="P300" s="2"/>
      <c r="Q300" s="2"/>
      <c r="R300" s="2"/>
      <c r="S300" s="2"/>
      <c r="T300" s="2"/>
      <c r="U300" s="2"/>
      <c r="V300" s="2"/>
      <c r="W300" s="2"/>
      <c r="X300" s="2"/>
      <c r="Y300" s="2"/>
      <c r="Z300" s="2"/>
      <c r="AA300" s="264">
        <v>296</v>
      </c>
      <c r="AB300" s="16" t="str">
        <f t="shared" si="225"/>
        <v/>
      </c>
      <c r="AC300" s="16" t="str">
        <f t="shared" si="226"/>
        <v/>
      </c>
      <c r="AD300" s="16" t="str">
        <f t="shared" si="220"/>
        <v/>
      </c>
      <c r="AE300" s="16" t="str">
        <f t="shared" si="221"/>
        <v/>
      </c>
      <c r="AF300" s="16" t="str">
        <f t="shared" si="222"/>
        <v/>
      </c>
      <c r="AG300" s="16" t="str">
        <f t="shared" si="227"/>
        <v/>
      </c>
      <c r="AH300" s="16" t="str">
        <f t="shared" si="228"/>
        <v/>
      </c>
      <c r="AI300" s="29" t="str">
        <f t="shared" si="223"/>
        <v/>
      </c>
      <c r="AJ300" s="29" t="str">
        <f t="shared" si="224"/>
        <v/>
      </c>
      <c r="AK300" s="2"/>
      <c r="AL300" s="2"/>
      <c r="AM300" s="2"/>
      <c r="AN300" s="2"/>
      <c r="AO300" s="2"/>
      <c r="AP300" s="2"/>
      <c r="AQ300" s="2"/>
      <c r="AR300" s="2"/>
      <c r="AS300" s="2"/>
      <c r="AT300" s="2"/>
      <c r="AU300" s="2"/>
      <c r="AV300" s="2"/>
      <c r="AW300" s="2"/>
      <c r="AX300" s="2"/>
      <c r="AY300" s="2"/>
      <c r="AZ300" s="2"/>
      <c r="BA300" s="2"/>
      <c r="BB300" s="2"/>
      <c r="BC300" s="2"/>
    </row>
    <row r="301" spans="4:55" x14ac:dyDescent="0.25">
      <c r="D301" s="54"/>
      <c r="E301" s="54"/>
      <c r="F301" s="54"/>
      <c r="G301" s="54"/>
      <c r="H301" s="54"/>
      <c r="I301" s="54"/>
      <c r="J301" s="2"/>
      <c r="K301" s="2"/>
      <c r="L301" s="2"/>
      <c r="M301" s="2"/>
      <c r="N301" s="2"/>
      <c r="O301" s="2"/>
      <c r="P301" s="2"/>
      <c r="Q301" s="2"/>
      <c r="R301" s="2"/>
      <c r="S301" s="2"/>
      <c r="T301" s="2"/>
      <c r="U301" s="2"/>
      <c r="V301" s="2"/>
      <c r="W301" s="2"/>
      <c r="X301" s="2"/>
      <c r="Y301" s="2"/>
      <c r="Z301" s="2"/>
      <c r="AA301" s="264">
        <v>297</v>
      </c>
      <c r="AB301" s="16" t="str">
        <f t="shared" si="225"/>
        <v/>
      </c>
      <c r="AC301" s="16" t="str">
        <f t="shared" si="226"/>
        <v/>
      </c>
      <c r="AD301" s="16" t="str">
        <f t="shared" si="220"/>
        <v/>
      </c>
      <c r="AE301" s="16" t="str">
        <f t="shared" si="221"/>
        <v/>
      </c>
      <c r="AF301" s="16" t="str">
        <f t="shared" si="222"/>
        <v/>
      </c>
      <c r="AG301" s="16" t="str">
        <f t="shared" si="227"/>
        <v/>
      </c>
      <c r="AH301" s="16" t="str">
        <f t="shared" si="228"/>
        <v/>
      </c>
      <c r="AI301" s="29" t="str">
        <f t="shared" si="223"/>
        <v/>
      </c>
      <c r="AJ301" s="29" t="str">
        <f t="shared" si="224"/>
        <v/>
      </c>
      <c r="AK301" s="2"/>
      <c r="AL301" s="2"/>
      <c r="AM301" s="2"/>
      <c r="AN301" s="2"/>
      <c r="AO301" s="2"/>
      <c r="AP301" s="2"/>
      <c r="AQ301" s="2"/>
      <c r="AR301" s="2"/>
      <c r="AS301" s="2"/>
      <c r="AT301" s="2"/>
      <c r="AU301" s="2"/>
      <c r="AV301" s="2"/>
      <c r="AW301" s="2"/>
      <c r="AX301" s="2"/>
      <c r="AY301" s="2"/>
      <c r="AZ301" s="2"/>
      <c r="BA301" s="2"/>
      <c r="BB301" s="2"/>
      <c r="BC301" s="2"/>
    </row>
    <row r="302" spans="4:55" x14ac:dyDescent="0.25">
      <c r="D302" s="54"/>
      <c r="E302" s="54"/>
      <c r="F302" s="54"/>
      <c r="G302" s="54"/>
      <c r="H302" s="54"/>
      <c r="I302" s="54"/>
      <c r="J302" s="2"/>
      <c r="K302" s="2"/>
      <c r="L302" s="2"/>
      <c r="M302" s="2"/>
      <c r="N302" s="2"/>
      <c r="O302" s="2"/>
      <c r="P302" s="2"/>
      <c r="Q302" s="2"/>
      <c r="R302" s="2"/>
      <c r="S302" s="2"/>
      <c r="T302" s="2"/>
      <c r="U302" s="2"/>
      <c r="V302" s="2"/>
      <c r="W302" s="2"/>
      <c r="X302" s="2"/>
      <c r="Y302" s="2"/>
      <c r="Z302" s="2"/>
      <c r="AA302" s="264">
        <v>298</v>
      </c>
      <c r="AB302" s="16" t="str">
        <f t="shared" si="225"/>
        <v/>
      </c>
      <c r="AC302" s="16" t="str">
        <f t="shared" si="226"/>
        <v/>
      </c>
      <c r="AD302" s="16" t="str">
        <f t="shared" si="220"/>
        <v/>
      </c>
      <c r="AE302" s="16" t="str">
        <f t="shared" si="221"/>
        <v/>
      </c>
      <c r="AF302" s="16" t="str">
        <f t="shared" si="222"/>
        <v/>
      </c>
      <c r="AG302" s="16" t="str">
        <f t="shared" si="227"/>
        <v/>
      </c>
      <c r="AH302" s="16" t="str">
        <f t="shared" si="228"/>
        <v/>
      </c>
      <c r="AI302" s="29" t="str">
        <f t="shared" si="223"/>
        <v/>
      </c>
      <c r="AJ302" s="29" t="str">
        <f t="shared" si="224"/>
        <v/>
      </c>
      <c r="AK302" s="2"/>
      <c r="AL302" s="2"/>
      <c r="AM302" s="2"/>
      <c r="AN302" s="2"/>
      <c r="AO302" s="2"/>
      <c r="AP302" s="2"/>
      <c r="AQ302" s="2"/>
      <c r="AR302" s="2"/>
      <c r="AS302" s="2"/>
      <c r="AT302" s="2"/>
      <c r="AU302" s="2"/>
      <c r="AV302" s="2"/>
      <c r="AW302" s="2"/>
      <c r="AX302" s="2"/>
      <c r="AY302" s="2"/>
      <c r="AZ302" s="2"/>
      <c r="BA302" s="2"/>
      <c r="BB302" s="2"/>
      <c r="BC302" s="2"/>
    </row>
    <row r="303" spans="4:55" x14ac:dyDescent="0.25">
      <c r="D303" s="54"/>
      <c r="E303" s="54"/>
      <c r="F303" s="54"/>
      <c r="G303" s="54"/>
      <c r="H303" s="54"/>
      <c r="I303" s="54"/>
      <c r="J303" s="2"/>
      <c r="K303" s="2"/>
      <c r="L303" s="2"/>
      <c r="M303" s="2"/>
      <c r="N303" s="2"/>
      <c r="O303" s="2"/>
      <c r="P303" s="2"/>
      <c r="Q303" s="2"/>
      <c r="R303" s="2"/>
      <c r="S303" s="2"/>
      <c r="T303" s="2"/>
      <c r="U303" s="2"/>
      <c r="V303" s="2"/>
      <c r="W303" s="2"/>
      <c r="X303" s="2"/>
      <c r="Y303" s="2"/>
      <c r="Z303" s="2"/>
      <c r="AA303" s="264">
        <v>299</v>
      </c>
      <c r="AB303" s="16" t="str">
        <f t="shared" si="225"/>
        <v/>
      </c>
      <c r="AC303" s="16" t="str">
        <f t="shared" si="226"/>
        <v/>
      </c>
      <c r="AD303" s="16" t="str">
        <f t="shared" si="220"/>
        <v/>
      </c>
      <c r="AE303" s="16" t="str">
        <f t="shared" si="221"/>
        <v/>
      </c>
      <c r="AF303" s="16" t="str">
        <f t="shared" si="222"/>
        <v/>
      </c>
      <c r="AG303" s="16" t="str">
        <f t="shared" si="227"/>
        <v/>
      </c>
      <c r="AH303" s="16" t="str">
        <f t="shared" si="228"/>
        <v/>
      </c>
      <c r="AI303" s="29" t="str">
        <f t="shared" si="223"/>
        <v/>
      </c>
      <c r="AJ303" s="29" t="str">
        <f t="shared" si="224"/>
        <v/>
      </c>
      <c r="AK303" s="2"/>
      <c r="AL303" s="2"/>
      <c r="AM303" s="2"/>
      <c r="AN303" s="2"/>
      <c r="AO303" s="2"/>
      <c r="AP303" s="2"/>
      <c r="AQ303" s="2"/>
      <c r="AR303" s="2"/>
      <c r="AS303" s="2"/>
      <c r="AT303" s="2"/>
      <c r="AU303" s="2"/>
      <c r="AV303" s="2"/>
      <c r="AW303" s="2"/>
      <c r="AX303" s="2"/>
      <c r="AY303" s="2"/>
      <c r="AZ303" s="2"/>
      <c r="BA303" s="2"/>
      <c r="BB303" s="2"/>
      <c r="BC303" s="2"/>
    </row>
    <row r="304" spans="4:55" x14ac:dyDescent="0.25">
      <c r="D304" s="54"/>
      <c r="E304" s="54"/>
      <c r="F304" s="54"/>
      <c r="G304" s="54"/>
      <c r="H304" s="54"/>
      <c r="I304" s="54"/>
      <c r="J304" s="2"/>
      <c r="K304" s="2"/>
      <c r="L304" s="2"/>
      <c r="M304" s="2"/>
      <c r="N304" s="2"/>
      <c r="O304" s="2"/>
      <c r="P304" s="2"/>
      <c r="Q304" s="2"/>
      <c r="R304" s="2"/>
      <c r="S304" s="2"/>
      <c r="T304" s="2"/>
      <c r="U304" s="2"/>
      <c r="V304" s="2"/>
      <c r="W304" s="2"/>
      <c r="X304" s="2"/>
      <c r="Y304" s="2"/>
      <c r="Z304" s="2"/>
      <c r="AA304" s="264">
        <v>300</v>
      </c>
      <c r="AB304" s="16" t="str">
        <f t="shared" si="225"/>
        <v/>
      </c>
      <c r="AC304" s="16" t="str">
        <f t="shared" si="226"/>
        <v/>
      </c>
      <c r="AD304" s="16" t="str">
        <f t="shared" si="220"/>
        <v/>
      </c>
      <c r="AE304" s="16" t="str">
        <f t="shared" si="221"/>
        <v/>
      </c>
      <c r="AF304" s="16" t="str">
        <f t="shared" si="222"/>
        <v/>
      </c>
      <c r="AG304" s="16" t="str">
        <f t="shared" si="227"/>
        <v/>
      </c>
      <c r="AH304" s="16" t="str">
        <f t="shared" si="228"/>
        <v/>
      </c>
      <c r="AI304" s="29" t="str">
        <f t="shared" si="223"/>
        <v/>
      </c>
      <c r="AJ304" s="29" t="str">
        <f t="shared" si="224"/>
        <v/>
      </c>
      <c r="AK304" s="2"/>
      <c r="AL304" s="2"/>
      <c r="AM304" s="2"/>
      <c r="AN304" s="2"/>
      <c r="AO304" s="2"/>
      <c r="AP304" s="2"/>
      <c r="AQ304" s="2"/>
      <c r="AR304" s="2"/>
      <c r="AS304" s="2"/>
      <c r="AT304" s="2"/>
      <c r="AU304" s="2"/>
      <c r="AV304" s="2"/>
      <c r="AW304" s="2"/>
      <c r="AX304" s="2"/>
      <c r="AY304" s="2"/>
      <c r="AZ304" s="2"/>
      <c r="BA304" s="2"/>
      <c r="BB304" s="2"/>
      <c r="BC304" s="2"/>
    </row>
    <row r="305" spans="4:57" x14ac:dyDescent="0.25">
      <c r="D305" s="54"/>
      <c r="E305" s="54"/>
      <c r="F305" s="54"/>
      <c r="G305" s="54"/>
      <c r="H305" s="54"/>
      <c r="I305" s="54"/>
      <c r="J305" s="2"/>
      <c r="K305" s="2"/>
      <c r="L305" s="2"/>
      <c r="M305" s="2"/>
      <c r="N305" s="2"/>
      <c r="O305" s="2"/>
      <c r="P305" s="2"/>
      <c r="Q305" s="2"/>
      <c r="R305" s="2"/>
      <c r="S305" s="2"/>
      <c r="T305" s="2"/>
      <c r="U305" s="2"/>
      <c r="V305" s="2"/>
      <c r="W305" s="2"/>
      <c r="X305" s="2"/>
      <c r="Y305" s="2"/>
      <c r="Z305" s="2"/>
      <c r="AA305" s="264">
        <v>301</v>
      </c>
      <c r="AB305" s="16" t="str">
        <f t="shared" ref="AB305:AB336" si="229">IF($C$9&gt;=$AA305,$U13+0.000001-$AB$410,"")</f>
        <v/>
      </c>
      <c r="AC305" s="16" t="str">
        <f t="shared" ref="AC305:AC336" si="230">IF($C$9&gt;=$AA305,$T13+0.000001-$AB$409,"")</f>
        <v/>
      </c>
      <c r="AD305" s="16" t="str">
        <f t="shared" si="220"/>
        <v/>
      </c>
      <c r="AE305" s="16" t="str">
        <f t="shared" si="221"/>
        <v/>
      </c>
      <c r="AF305" s="16" t="str">
        <f t="shared" si="222"/>
        <v/>
      </c>
      <c r="AG305" s="16" t="str">
        <f t="shared" ref="AG305:AG336" si="231">IF($C$9&gt;=$AA305,$T13-$AB$409,"")</f>
        <v/>
      </c>
      <c r="AH305" s="16" t="str">
        <f t="shared" ref="AH305:AH336" si="232">IF($C$9&gt;=$AA305,$U13-$AB$410,"")</f>
        <v/>
      </c>
      <c r="AI305" s="29" t="str">
        <f t="shared" si="223"/>
        <v/>
      </c>
      <c r="AJ305" s="29" t="str">
        <f t="shared" si="224"/>
        <v/>
      </c>
      <c r="AK305" s="2"/>
      <c r="AL305" s="2"/>
      <c r="AM305" s="2"/>
      <c r="AN305" s="2"/>
      <c r="AO305" s="2"/>
      <c r="AP305" s="2"/>
      <c r="AQ305" s="2"/>
      <c r="AR305" s="2"/>
      <c r="AS305" s="2"/>
      <c r="AT305" s="2"/>
      <c r="AU305" s="2"/>
      <c r="AV305" s="2"/>
      <c r="AW305" s="2"/>
      <c r="AX305" s="2"/>
      <c r="AY305" s="2"/>
      <c r="AZ305" s="2"/>
      <c r="BA305" s="2"/>
      <c r="BB305" s="2"/>
      <c r="BC305" s="2"/>
    </row>
    <row r="306" spans="4:57" x14ac:dyDescent="0.25">
      <c r="D306" s="54"/>
      <c r="E306" s="54"/>
      <c r="F306" s="54"/>
      <c r="G306" s="54"/>
      <c r="H306" s="54"/>
      <c r="I306" s="54"/>
      <c r="J306" s="2"/>
      <c r="K306" s="2"/>
      <c r="L306" s="2"/>
      <c r="M306" s="2"/>
      <c r="N306" s="2"/>
      <c r="O306" s="2"/>
      <c r="P306" s="2"/>
      <c r="Q306" s="2"/>
      <c r="R306" s="2"/>
      <c r="S306" s="2"/>
      <c r="T306" s="2"/>
      <c r="U306" s="2"/>
      <c r="V306" s="2"/>
      <c r="W306" s="2"/>
      <c r="X306" s="2"/>
      <c r="Y306" s="2"/>
      <c r="AA306" s="264">
        <v>302</v>
      </c>
      <c r="AB306" s="16" t="str">
        <f t="shared" si="229"/>
        <v/>
      </c>
      <c r="AC306" s="16" t="str">
        <f t="shared" si="230"/>
        <v/>
      </c>
      <c r="AD306" s="16" t="str">
        <f t="shared" si="220"/>
        <v/>
      </c>
      <c r="AE306" s="16" t="str">
        <f t="shared" si="221"/>
        <v/>
      </c>
      <c r="AF306" s="16" t="str">
        <f t="shared" si="222"/>
        <v/>
      </c>
      <c r="AG306" s="16" t="str">
        <f t="shared" si="231"/>
        <v/>
      </c>
      <c r="AH306" s="16" t="str">
        <f t="shared" si="232"/>
        <v/>
      </c>
      <c r="AI306" s="29" t="str">
        <f t="shared" si="223"/>
        <v/>
      </c>
      <c r="AJ306" s="29" t="str">
        <f t="shared" si="224"/>
        <v/>
      </c>
    </row>
    <row r="307" spans="4:57" x14ac:dyDescent="0.25">
      <c r="D307" s="54"/>
      <c r="E307" s="54"/>
      <c r="F307" s="54"/>
      <c r="G307" s="54"/>
      <c r="H307" s="54"/>
      <c r="I307" s="54"/>
      <c r="J307" s="2"/>
      <c r="K307" s="2"/>
      <c r="L307" s="2"/>
      <c r="M307" s="2"/>
      <c r="N307" s="2"/>
      <c r="O307" s="2"/>
      <c r="P307" s="2"/>
      <c r="Q307" s="2"/>
      <c r="R307" s="2"/>
      <c r="S307" s="2"/>
      <c r="T307" s="2"/>
      <c r="U307" s="2"/>
      <c r="V307" s="2"/>
      <c r="W307" s="2"/>
      <c r="X307" s="2"/>
      <c r="Y307" s="2"/>
      <c r="AA307" s="264">
        <v>303</v>
      </c>
      <c r="AB307" s="16" t="str">
        <f t="shared" si="229"/>
        <v/>
      </c>
      <c r="AC307" s="16" t="str">
        <f t="shared" si="230"/>
        <v/>
      </c>
      <c r="AD307" s="16" t="str">
        <f t="shared" si="220"/>
        <v/>
      </c>
      <c r="AE307" s="16" t="str">
        <f t="shared" si="221"/>
        <v/>
      </c>
      <c r="AF307" s="16" t="str">
        <f t="shared" si="222"/>
        <v/>
      </c>
      <c r="AG307" s="16" t="str">
        <f t="shared" si="231"/>
        <v/>
      </c>
      <c r="AH307" s="16" t="str">
        <f t="shared" si="232"/>
        <v/>
      </c>
      <c r="AI307" s="29" t="str">
        <f t="shared" si="223"/>
        <v/>
      </c>
      <c r="AJ307" s="29" t="str">
        <f t="shared" si="224"/>
        <v/>
      </c>
      <c r="BE307" s="23"/>
    </row>
    <row r="308" spans="4:57" x14ac:dyDescent="0.25">
      <c r="D308" s="54"/>
      <c r="E308" s="54"/>
      <c r="F308" s="54"/>
      <c r="G308" s="54"/>
      <c r="H308" s="54"/>
      <c r="I308" s="54"/>
      <c r="J308" s="2"/>
      <c r="K308" s="2"/>
      <c r="L308" s="2"/>
      <c r="M308" s="2"/>
      <c r="N308" s="2"/>
      <c r="O308" s="2"/>
      <c r="P308" s="2"/>
      <c r="Q308" s="2"/>
      <c r="R308" s="2"/>
      <c r="S308" s="2"/>
      <c r="T308" s="2"/>
      <c r="U308" s="2"/>
      <c r="V308" s="2"/>
      <c r="W308" s="2"/>
      <c r="X308" s="2"/>
      <c r="Y308" s="2"/>
      <c r="AA308" s="264">
        <v>304</v>
      </c>
      <c r="AB308" s="16" t="str">
        <f t="shared" si="229"/>
        <v/>
      </c>
      <c r="AC308" s="16" t="str">
        <f t="shared" si="230"/>
        <v/>
      </c>
      <c r="AD308" s="16" t="str">
        <f t="shared" si="220"/>
        <v/>
      </c>
      <c r="AE308" s="16" t="str">
        <f t="shared" si="221"/>
        <v/>
      </c>
      <c r="AF308" s="16" t="str">
        <f t="shared" si="222"/>
        <v/>
      </c>
      <c r="AG308" s="16" t="str">
        <f t="shared" si="231"/>
        <v/>
      </c>
      <c r="AH308" s="16" t="str">
        <f t="shared" si="232"/>
        <v/>
      </c>
      <c r="AI308" s="29" t="str">
        <f t="shared" si="223"/>
        <v/>
      </c>
      <c r="AJ308" s="29" t="str">
        <f t="shared" si="224"/>
        <v/>
      </c>
    </row>
    <row r="309" spans="4:57" x14ac:dyDescent="0.25">
      <c r="D309" s="54"/>
      <c r="E309" s="54"/>
      <c r="F309" s="54"/>
      <c r="G309" s="54"/>
      <c r="H309" s="54"/>
      <c r="I309" s="54"/>
      <c r="J309" s="2"/>
      <c r="K309" s="2"/>
      <c r="L309" s="2"/>
      <c r="M309" s="2"/>
      <c r="N309" s="2"/>
      <c r="O309" s="2"/>
      <c r="P309" s="2"/>
      <c r="Q309" s="2"/>
      <c r="R309" s="2"/>
      <c r="S309" s="2"/>
      <c r="T309" s="2"/>
      <c r="U309" s="2"/>
      <c r="V309" s="2"/>
      <c r="W309" s="2"/>
      <c r="X309" s="2"/>
      <c r="Y309" s="2"/>
      <c r="AA309" s="264">
        <v>305</v>
      </c>
      <c r="AB309" s="16" t="str">
        <f t="shared" si="229"/>
        <v/>
      </c>
      <c r="AC309" s="16" t="str">
        <f t="shared" si="230"/>
        <v/>
      </c>
      <c r="AD309" s="16" t="str">
        <f t="shared" si="220"/>
        <v/>
      </c>
      <c r="AE309" s="16" t="str">
        <f t="shared" si="221"/>
        <v/>
      </c>
      <c r="AF309" s="16" t="str">
        <f t="shared" si="222"/>
        <v/>
      </c>
      <c r="AG309" s="16" t="str">
        <f t="shared" si="231"/>
        <v/>
      </c>
      <c r="AH309" s="16" t="str">
        <f t="shared" si="232"/>
        <v/>
      </c>
      <c r="AI309" s="29" t="str">
        <f t="shared" si="223"/>
        <v/>
      </c>
      <c r="AJ309" s="29" t="str">
        <f t="shared" si="224"/>
        <v/>
      </c>
    </row>
    <row r="310" spans="4:57" x14ac:dyDescent="0.25">
      <c r="D310" s="54"/>
      <c r="E310" s="54"/>
      <c r="F310" s="54"/>
      <c r="G310" s="54"/>
      <c r="H310" s="54"/>
      <c r="I310" s="54"/>
      <c r="J310" s="2"/>
      <c r="K310" s="2"/>
      <c r="L310" s="2"/>
      <c r="M310" s="2"/>
      <c r="N310" s="2"/>
      <c r="O310" s="2"/>
      <c r="P310" s="2"/>
      <c r="Q310" s="2"/>
      <c r="R310" s="2"/>
      <c r="S310" s="2"/>
      <c r="T310" s="2"/>
      <c r="U310" s="2"/>
      <c r="V310" s="2"/>
      <c r="W310" s="2"/>
      <c r="X310" s="2"/>
      <c r="Y310" s="2"/>
      <c r="AA310" s="264">
        <v>306</v>
      </c>
      <c r="AB310" s="16" t="str">
        <f t="shared" si="229"/>
        <v/>
      </c>
      <c r="AC310" s="16" t="str">
        <f t="shared" si="230"/>
        <v/>
      </c>
      <c r="AD310" s="16" t="str">
        <f t="shared" si="220"/>
        <v/>
      </c>
      <c r="AE310" s="16" t="str">
        <f t="shared" si="221"/>
        <v/>
      </c>
      <c r="AF310" s="16" t="str">
        <f t="shared" si="222"/>
        <v/>
      </c>
      <c r="AG310" s="16" t="str">
        <f t="shared" si="231"/>
        <v/>
      </c>
      <c r="AH310" s="16" t="str">
        <f t="shared" si="232"/>
        <v/>
      </c>
      <c r="AI310" s="29" t="str">
        <f t="shared" si="223"/>
        <v/>
      </c>
      <c r="AJ310" s="29" t="str">
        <f t="shared" si="224"/>
        <v/>
      </c>
    </row>
    <row r="311" spans="4:57" x14ac:dyDescent="0.25">
      <c r="D311" s="54"/>
      <c r="E311" s="54"/>
      <c r="F311" s="54"/>
      <c r="G311" s="54"/>
      <c r="H311" s="54"/>
      <c r="I311" s="54"/>
      <c r="J311" s="2"/>
      <c r="K311" s="2"/>
      <c r="L311" s="2"/>
      <c r="M311" s="2"/>
      <c r="N311" s="2"/>
      <c r="O311" s="2"/>
      <c r="P311" s="2"/>
      <c r="Q311" s="2"/>
      <c r="R311" s="2"/>
      <c r="S311" s="2"/>
      <c r="T311" s="2"/>
      <c r="U311" s="2"/>
      <c r="V311" s="2"/>
      <c r="W311" s="2"/>
      <c r="X311" s="2"/>
      <c r="Y311" s="2"/>
      <c r="AA311" s="264">
        <v>307</v>
      </c>
      <c r="AB311" s="16" t="str">
        <f t="shared" si="229"/>
        <v/>
      </c>
      <c r="AC311" s="16" t="str">
        <f t="shared" si="230"/>
        <v/>
      </c>
      <c r="AD311" s="16" t="str">
        <f t="shared" si="220"/>
        <v/>
      </c>
      <c r="AE311" s="16" t="str">
        <f t="shared" si="221"/>
        <v/>
      </c>
      <c r="AF311" s="16" t="str">
        <f t="shared" si="222"/>
        <v/>
      </c>
      <c r="AG311" s="16" t="str">
        <f t="shared" si="231"/>
        <v/>
      </c>
      <c r="AH311" s="16" t="str">
        <f t="shared" si="232"/>
        <v/>
      </c>
      <c r="AI311" s="29" t="str">
        <f t="shared" si="223"/>
        <v/>
      </c>
      <c r="AJ311" s="29" t="str">
        <f t="shared" si="224"/>
        <v/>
      </c>
    </row>
    <row r="312" spans="4:57" x14ac:dyDescent="0.25">
      <c r="D312" s="54"/>
      <c r="E312" s="54"/>
      <c r="F312" s="54"/>
      <c r="G312" s="54"/>
      <c r="H312" s="54"/>
      <c r="I312" s="54"/>
      <c r="J312" s="2"/>
      <c r="K312" s="2"/>
      <c r="L312" s="2"/>
      <c r="M312" s="2"/>
      <c r="N312" s="2"/>
      <c r="O312" s="2"/>
      <c r="P312" s="2"/>
      <c r="Q312" s="2"/>
      <c r="R312" s="2"/>
      <c r="S312" s="2"/>
      <c r="T312" s="2"/>
      <c r="U312" s="2"/>
      <c r="V312" s="2"/>
      <c r="W312" s="2"/>
      <c r="X312" s="2"/>
      <c r="Y312" s="2"/>
      <c r="AA312" s="264">
        <v>308</v>
      </c>
      <c r="AB312" s="16" t="str">
        <f t="shared" si="229"/>
        <v/>
      </c>
      <c r="AC312" s="16" t="str">
        <f t="shared" si="230"/>
        <v/>
      </c>
      <c r="AD312" s="16" t="str">
        <f t="shared" si="220"/>
        <v/>
      </c>
      <c r="AE312" s="16" t="str">
        <f t="shared" si="221"/>
        <v/>
      </c>
      <c r="AF312" s="16" t="str">
        <f t="shared" si="222"/>
        <v/>
      </c>
      <c r="AG312" s="16" t="str">
        <f t="shared" si="231"/>
        <v/>
      </c>
      <c r="AH312" s="16" t="str">
        <f t="shared" si="232"/>
        <v/>
      </c>
      <c r="AI312" s="29" t="str">
        <f t="shared" si="223"/>
        <v/>
      </c>
      <c r="AJ312" s="29" t="str">
        <f t="shared" si="224"/>
        <v/>
      </c>
    </row>
    <row r="313" spans="4:57" x14ac:dyDescent="0.25">
      <c r="D313" s="54"/>
      <c r="E313" s="54"/>
      <c r="F313" s="54"/>
      <c r="G313" s="54"/>
      <c r="H313" s="54"/>
      <c r="I313" s="54"/>
      <c r="J313" s="2"/>
      <c r="AA313" s="264">
        <v>309</v>
      </c>
      <c r="AB313" s="16" t="str">
        <f t="shared" si="229"/>
        <v/>
      </c>
      <c r="AC313" s="16" t="str">
        <f t="shared" si="230"/>
        <v/>
      </c>
      <c r="AD313" s="16" t="str">
        <f t="shared" si="220"/>
        <v/>
      </c>
      <c r="AE313" s="16" t="str">
        <f t="shared" si="221"/>
        <v/>
      </c>
      <c r="AF313" s="16" t="str">
        <f t="shared" si="222"/>
        <v/>
      </c>
      <c r="AG313" s="16" t="str">
        <f t="shared" si="231"/>
        <v/>
      </c>
      <c r="AH313" s="16" t="str">
        <f t="shared" si="232"/>
        <v/>
      </c>
      <c r="AI313" s="29" t="str">
        <f t="shared" si="223"/>
        <v/>
      </c>
      <c r="AJ313" s="29" t="str">
        <f t="shared" si="224"/>
        <v/>
      </c>
    </row>
    <row r="314" spans="4:57" x14ac:dyDescent="0.25">
      <c r="D314" s="54"/>
      <c r="E314" s="54"/>
      <c r="F314" s="54"/>
      <c r="G314" s="54"/>
      <c r="H314" s="54"/>
      <c r="I314" s="54"/>
      <c r="J314" s="2"/>
      <c r="AA314" s="264">
        <v>310</v>
      </c>
      <c r="AB314" s="16" t="str">
        <f t="shared" si="229"/>
        <v/>
      </c>
      <c r="AC314" s="16" t="str">
        <f t="shared" si="230"/>
        <v/>
      </c>
      <c r="AD314" s="16" t="str">
        <f t="shared" si="220"/>
        <v/>
      </c>
      <c r="AE314" s="16" t="str">
        <f t="shared" si="221"/>
        <v/>
      </c>
      <c r="AF314" s="16" t="str">
        <f t="shared" si="222"/>
        <v/>
      </c>
      <c r="AG314" s="16" t="str">
        <f t="shared" si="231"/>
        <v/>
      </c>
      <c r="AH314" s="16" t="str">
        <f t="shared" si="232"/>
        <v/>
      </c>
      <c r="AI314" s="29" t="str">
        <f t="shared" si="223"/>
        <v/>
      </c>
      <c r="AJ314" s="29" t="str">
        <f t="shared" si="224"/>
        <v/>
      </c>
    </row>
    <row r="315" spans="4:57" x14ac:dyDescent="0.25">
      <c r="D315" s="54"/>
      <c r="E315" s="54"/>
      <c r="F315" s="54"/>
      <c r="G315" s="54"/>
      <c r="H315" s="54"/>
      <c r="I315" s="54"/>
      <c r="J315" s="2"/>
      <c r="AA315" s="264">
        <v>311</v>
      </c>
      <c r="AB315" s="16" t="str">
        <f t="shared" si="229"/>
        <v/>
      </c>
      <c r="AC315" s="16" t="str">
        <f t="shared" si="230"/>
        <v/>
      </c>
      <c r="AD315" s="16" t="str">
        <f t="shared" si="220"/>
        <v/>
      </c>
      <c r="AE315" s="16" t="str">
        <f t="shared" si="221"/>
        <v/>
      </c>
      <c r="AF315" s="16" t="str">
        <f t="shared" si="222"/>
        <v/>
      </c>
      <c r="AG315" s="16" t="str">
        <f t="shared" si="231"/>
        <v/>
      </c>
      <c r="AH315" s="16" t="str">
        <f t="shared" si="232"/>
        <v/>
      </c>
      <c r="AI315" s="29" t="str">
        <f t="shared" si="223"/>
        <v/>
      </c>
      <c r="AJ315" s="29" t="str">
        <f t="shared" si="224"/>
        <v/>
      </c>
    </row>
    <row r="316" spans="4:57" x14ac:dyDescent="0.25">
      <c r="D316" s="54"/>
      <c r="E316" s="54"/>
      <c r="F316" s="54"/>
      <c r="G316" s="54"/>
      <c r="H316" s="54"/>
      <c r="I316" s="54"/>
      <c r="J316" s="2"/>
      <c r="AA316" s="264">
        <v>312</v>
      </c>
      <c r="AB316" s="16" t="str">
        <f t="shared" si="229"/>
        <v/>
      </c>
      <c r="AC316" s="16" t="str">
        <f t="shared" si="230"/>
        <v/>
      </c>
      <c r="AD316" s="16" t="str">
        <f t="shared" si="220"/>
        <v/>
      </c>
      <c r="AE316" s="16" t="str">
        <f t="shared" si="221"/>
        <v/>
      </c>
      <c r="AF316" s="16" t="str">
        <f t="shared" si="222"/>
        <v/>
      </c>
      <c r="AG316" s="16" t="str">
        <f t="shared" si="231"/>
        <v/>
      </c>
      <c r="AH316" s="16" t="str">
        <f t="shared" si="232"/>
        <v/>
      </c>
      <c r="AI316" s="29" t="str">
        <f t="shared" si="223"/>
        <v/>
      </c>
      <c r="AJ316" s="29" t="str">
        <f t="shared" si="224"/>
        <v/>
      </c>
    </row>
    <row r="317" spans="4:57" x14ac:dyDescent="0.25">
      <c r="D317" s="54"/>
      <c r="E317" s="54"/>
      <c r="F317" s="54"/>
      <c r="G317" s="54"/>
      <c r="H317" s="54"/>
      <c r="I317" s="54"/>
      <c r="J317" s="2"/>
      <c r="AA317" s="264">
        <v>313</v>
      </c>
      <c r="AB317" s="16" t="str">
        <f t="shared" si="229"/>
        <v/>
      </c>
      <c r="AC317" s="16" t="str">
        <f t="shared" si="230"/>
        <v/>
      </c>
      <c r="AD317" s="16" t="str">
        <f t="shared" si="220"/>
        <v/>
      </c>
      <c r="AE317" s="16" t="str">
        <f t="shared" si="221"/>
        <v/>
      </c>
      <c r="AF317" s="16" t="str">
        <f t="shared" si="222"/>
        <v/>
      </c>
      <c r="AG317" s="16" t="str">
        <f t="shared" si="231"/>
        <v/>
      </c>
      <c r="AH317" s="16" t="str">
        <f t="shared" si="232"/>
        <v/>
      </c>
      <c r="AI317" s="29" t="str">
        <f t="shared" si="223"/>
        <v/>
      </c>
      <c r="AJ317" s="29" t="str">
        <f t="shared" si="224"/>
        <v/>
      </c>
    </row>
    <row r="318" spans="4:57" x14ac:dyDescent="0.25">
      <c r="D318" s="54"/>
      <c r="E318" s="54"/>
      <c r="F318" s="54"/>
      <c r="G318" s="54"/>
      <c r="H318" s="54"/>
      <c r="I318" s="54"/>
      <c r="J318" s="2"/>
      <c r="AA318" s="264">
        <v>314</v>
      </c>
      <c r="AB318" s="16" t="str">
        <f t="shared" si="229"/>
        <v/>
      </c>
      <c r="AC318" s="16" t="str">
        <f t="shared" si="230"/>
        <v/>
      </c>
      <c r="AD318" s="16" t="str">
        <f t="shared" si="220"/>
        <v/>
      </c>
      <c r="AE318" s="16" t="str">
        <f t="shared" si="221"/>
        <v/>
      </c>
      <c r="AF318" s="16" t="str">
        <f t="shared" si="222"/>
        <v/>
      </c>
      <c r="AG318" s="16" t="str">
        <f t="shared" si="231"/>
        <v/>
      </c>
      <c r="AH318" s="16" t="str">
        <f t="shared" si="232"/>
        <v/>
      </c>
      <c r="AI318" s="29" t="str">
        <f t="shared" si="223"/>
        <v/>
      </c>
      <c r="AJ318" s="29" t="str">
        <f t="shared" si="224"/>
        <v/>
      </c>
    </row>
    <row r="319" spans="4:57" x14ac:dyDescent="0.25">
      <c r="D319" s="54"/>
      <c r="E319" s="54"/>
      <c r="F319" s="54"/>
      <c r="G319" s="54"/>
      <c r="H319" s="54"/>
      <c r="I319" s="54"/>
      <c r="J319" s="2"/>
      <c r="AA319" s="264">
        <v>315</v>
      </c>
      <c r="AB319" s="16" t="str">
        <f t="shared" si="229"/>
        <v/>
      </c>
      <c r="AC319" s="16" t="str">
        <f t="shared" si="230"/>
        <v/>
      </c>
      <c r="AD319" s="16" t="str">
        <f t="shared" si="220"/>
        <v/>
      </c>
      <c r="AE319" s="16" t="str">
        <f t="shared" si="221"/>
        <v/>
      </c>
      <c r="AF319" s="16" t="str">
        <f t="shared" si="222"/>
        <v/>
      </c>
      <c r="AG319" s="16" t="str">
        <f t="shared" si="231"/>
        <v/>
      </c>
      <c r="AH319" s="16" t="str">
        <f t="shared" si="232"/>
        <v/>
      </c>
      <c r="AI319" s="29" t="str">
        <f t="shared" si="223"/>
        <v/>
      </c>
      <c r="AJ319" s="29" t="str">
        <f t="shared" si="224"/>
        <v/>
      </c>
    </row>
    <row r="320" spans="4:57" x14ac:dyDescent="0.25">
      <c r="D320" s="54"/>
      <c r="E320" s="54"/>
      <c r="F320" s="54"/>
      <c r="G320" s="54"/>
      <c r="H320" s="54"/>
      <c r="I320" s="54"/>
      <c r="J320" s="2"/>
      <c r="AA320" s="264">
        <v>316</v>
      </c>
      <c r="AB320" s="16" t="str">
        <f t="shared" si="229"/>
        <v/>
      </c>
      <c r="AC320" s="16" t="str">
        <f t="shared" si="230"/>
        <v/>
      </c>
      <c r="AD320" s="16" t="str">
        <f t="shared" si="220"/>
        <v/>
      </c>
      <c r="AE320" s="16" t="str">
        <f t="shared" si="221"/>
        <v/>
      </c>
      <c r="AF320" s="16" t="str">
        <f t="shared" si="222"/>
        <v/>
      </c>
      <c r="AG320" s="16" t="str">
        <f t="shared" si="231"/>
        <v/>
      </c>
      <c r="AH320" s="16" t="str">
        <f t="shared" si="232"/>
        <v/>
      </c>
      <c r="AI320" s="29" t="str">
        <f t="shared" si="223"/>
        <v/>
      </c>
      <c r="AJ320" s="29" t="str">
        <f t="shared" si="224"/>
        <v/>
      </c>
    </row>
    <row r="321" spans="4:36" x14ac:dyDescent="0.25">
      <c r="D321" s="54"/>
      <c r="E321" s="54"/>
      <c r="F321" s="54"/>
      <c r="G321" s="54"/>
      <c r="H321" s="54"/>
      <c r="I321" s="54"/>
      <c r="J321" s="2"/>
      <c r="AA321" s="264">
        <v>317</v>
      </c>
      <c r="AB321" s="16" t="str">
        <f t="shared" si="229"/>
        <v/>
      </c>
      <c r="AC321" s="16" t="str">
        <f t="shared" si="230"/>
        <v/>
      </c>
      <c r="AD321" s="16" t="str">
        <f t="shared" si="220"/>
        <v/>
      </c>
      <c r="AE321" s="16" t="str">
        <f t="shared" si="221"/>
        <v/>
      </c>
      <c r="AF321" s="16" t="str">
        <f t="shared" si="222"/>
        <v/>
      </c>
      <c r="AG321" s="16" t="str">
        <f t="shared" si="231"/>
        <v/>
      </c>
      <c r="AH321" s="16" t="str">
        <f t="shared" si="232"/>
        <v/>
      </c>
      <c r="AI321" s="29" t="str">
        <f t="shared" si="223"/>
        <v/>
      </c>
      <c r="AJ321" s="29" t="str">
        <f t="shared" si="224"/>
        <v/>
      </c>
    </row>
    <row r="322" spans="4:36" x14ac:dyDescent="0.25">
      <c r="D322" s="54"/>
      <c r="E322" s="54"/>
      <c r="F322" s="54"/>
      <c r="G322" s="54"/>
      <c r="H322" s="54"/>
      <c r="I322" s="54"/>
      <c r="J322" s="2"/>
      <c r="AA322" s="264">
        <v>318</v>
      </c>
      <c r="AB322" s="16" t="str">
        <f t="shared" si="229"/>
        <v/>
      </c>
      <c r="AC322" s="16" t="str">
        <f t="shared" si="230"/>
        <v/>
      </c>
      <c r="AD322" s="16" t="str">
        <f t="shared" si="220"/>
        <v/>
      </c>
      <c r="AE322" s="16" t="str">
        <f t="shared" si="221"/>
        <v/>
      </c>
      <c r="AF322" s="16" t="str">
        <f t="shared" si="222"/>
        <v/>
      </c>
      <c r="AG322" s="16" t="str">
        <f t="shared" si="231"/>
        <v/>
      </c>
      <c r="AH322" s="16" t="str">
        <f t="shared" si="232"/>
        <v/>
      </c>
      <c r="AI322" s="29" t="str">
        <f t="shared" si="223"/>
        <v/>
      </c>
      <c r="AJ322" s="29" t="str">
        <f t="shared" si="224"/>
        <v/>
      </c>
    </row>
    <row r="323" spans="4:36" x14ac:dyDescent="0.25">
      <c r="D323" s="54"/>
      <c r="E323" s="54"/>
      <c r="F323" s="54"/>
      <c r="G323" s="54"/>
      <c r="H323" s="54"/>
      <c r="I323" s="54"/>
      <c r="J323" s="2"/>
      <c r="AA323" s="264">
        <v>319</v>
      </c>
      <c r="AB323" s="16" t="str">
        <f t="shared" si="229"/>
        <v/>
      </c>
      <c r="AC323" s="16" t="str">
        <f t="shared" si="230"/>
        <v/>
      </c>
      <c r="AD323" s="16" t="str">
        <f t="shared" si="220"/>
        <v/>
      </c>
      <c r="AE323" s="16" t="str">
        <f t="shared" si="221"/>
        <v/>
      </c>
      <c r="AF323" s="16" t="str">
        <f t="shared" si="222"/>
        <v/>
      </c>
      <c r="AG323" s="16" t="str">
        <f t="shared" si="231"/>
        <v/>
      </c>
      <c r="AH323" s="16" t="str">
        <f t="shared" si="232"/>
        <v/>
      </c>
      <c r="AI323" s="29" t="str">
        <f t="shared" si="223"/>
        <v/>
      </c>
      <c r="AJ323" s="29" t="str">
        <f t="shared" si="224"/>
        <v/>
      </c>
    </row>
    <row r="324" spans="4:36" x14ac:dyDescent="0.25">
      <c r="D324" s="54"/>
      <c r="E324" s="54"/>
      <c r="F324" s="54"/>
      <c r="G324" s="54"/>
      <c r="H324" s="54"/>
      <c r="I324" s="54"/>
      <c r="J324" s="2"/>
      <c r="AA324" s="264">
        <v>320</v>
      </c>
      <c r="AB324" s="16" t="str">
        <f t="shared" si="229"/>
        <v/>
      </c>
      <c r="AC324" s="16" t="str">
        <f t="shared" si="230"/>
        <v/>
      </c>
      <c r="AD324" s="16" t="str">
        <f t="shared" si="220"/>
        <v/>
      </c>
      <c r="AE324" s="16" t="str">
        <f t="shared" si="221"/>
        <v/>
      </c>
      <c r="AF324" s="16" t="str">
        <f t="shared" si="222"/>
        <v/>
      </c>
      <c r="AG324" s="16" t="str">
        <f t="shared" si="231"/>
        <v/>
      </c>
      <c r="AH324" s="16" t="str">
        <f t="shared" si="232"/>
        <v/>
      </c>
      <c r="AI324" s="29" t="str">
        <f t="shared" si="223"/>
        <v/>
      </c>
      <c r="AJ324" s="29" t="str">
        <f t="shared" si="224"/>
        <v/>
      </c>
    </row>
    <row r="325" spans="4:36" x14ac:dyDescent="0.25">
      <c r="D325" s="54"/>
      <c r="E325" s="54"/>
      <c r="F325" s="54"/>
      <c r="G325" s="54"/>
      <c r="H325" s="54"/>
      <c r="I325" s="54"/>
      <c r="J325" s="2"/>
      <c r="AA325" s="264">
        <v>321</v>
      </c>
      <c r="AB325" s="16" t="str">
        <f t="shared" si="229"/>
        <v/>
      </c>
      <c r="AC325" s="16" t="str">
        <f t="shared" si="230"/>
        <v/>
      </c>
      <c r="AD325" s="16" t="str">
        <f t="shared" ref="AD325:AD388" si="233">IF($C$9&gt;=$AA325,$AB325^2,"")</f>
        <v/>
      </c>
      <c r="AE325" s="16" t="str">
        <f t="shared" ref="AE325:AE388" si="234">IF($C$9&gt;=$AA325,$AC325^2,"")</f>
        <v/>
      </c>
      <c r="AF325" s="16" t="str">
        <f t="shared" ref="AF325:AF388" si="235">IF($C$9&gt;=$AA325,$AB325*$AC325,"")</f>
        <v/>
      </c>
      <c r="AG325" s="16" t="str">
        <f t="shared" si="231"/>
        <v/>
      </c>
      <c r="AH325" s="16" t="str">
        <f t="shared" si="232"/>
        <v/>
      </c>
      <c r="AI325" s="29" t="str">
        <f t="shared" ref="AI325:AI388" si="236">IF($C$9&gt;=$AA325,(-$AF$418/$C$9+($AF$422*$AB$411--$AF$421*$AB$414)/($AB$411*$AB$412-$AB$414^2)*$AG325+(-$AF$421*$AB$412-$AF$422*$AB$414)/($AB$411*$AB$412-$AB$414^2)*$AH325),"")</f>
        <v/>
      </c>
      <c r="AJ325" s="29" t="str">
        <f t="shared" ref="AJ325:AJ388" si="237">IF($C$9&gt;=$AA325,((($AF$419/$C$9+$AF$423*-$AH325/$AB$413)^2+($AF$420/$C$9+$AF$423*$AG325/$AB$413)^2)^(1/2)),"")</f>
        <v/>
      </c>
    </row>
    <row r="326" spans="4:36" x14ac:dyDescent="0.25">
      <c r="D326" s="54"/>
      <c r="E326" s="54"/>
      <c r="F326" s="54"/>
      <c r="G326" s="54"/>
      <c r="H326" s="54"/>
      <c r="I326" s="54"/>
      <c r="J326" s="2"/>
      <c r="AA326" s="264">
        <v>322</v>
      </c>
      <c r="AB326" s="16" t="str">
        <f t="shared" si="229"/>
        <v/>
      </c>
      <c r="AC326" s="16" t="str">
        <f t="shared" si="230"/>
        <v/>
      </c>
      <c r="AD326" s="16" t="str">
        <f t="shared" si="233"/>
        <v/>
      </c>
      <c r="AE326" s="16" t="str">
        <f t="shared" si="234"/>
        <v/>
      </c>
      <c r="AF326" s="16" t="str">
        <f t="shared" si="235"/>
        <v/>
      </c>
      <c r="AG326" s="16" t="str">
        <f t="shared" si="231"/>
        <v/>
      </c>
      <c r="AH326" s="16" t="str">
        <f t="shared" si="232"/>
        <v/>
      </c>
      <c r="AI326" s="29" t="str">
        <f t="shared" si="236"/>
        <v/>
      </c>
      <c r="AJ326" s="29" t="str">
        <f t="shared" si="237"/>
        <v/>
      </c>
    </row>
    <row r="327" spans="4:36" x14ac:dyDescent="0.25">
      <c r="D327" s="54"/>
      <c r="E327" s="54"/>
      <c r="F327" s="54"/>
      <c r="G327" s="54"/>
      <c r="H327" s="54"/>
      <c r="I327" s="54"/>
      <c r="J327" s="2"/>
      <c r="AA327" s="264">
        <v>323</v>
      </c>
      <c r="AB327" s="16" t="str">
        <f t="shared" si="229"/>
        <v/>
      </c>
      <c r="AC327" s="16" t="str">
        <f t="shared" si="230"/>
        <v/>
      </c>
      <c r="AD327" s="16" t="str">
        <f t="shared" si="233"/>
        <v/>
      </c>
      <c r="AE327" s="16" t="str">
        <f t="shared" si="234"/>
        <v/>
      </c>
      <c r="AF327" s="16" t="str">
        <f t="shared" si="235"/>
        <v/>
      </c>
      <c r="AG327" s="16" t="str">
        <f t="shared" si="231"/>
        <v/>
      </c>
      <c r="AH327" s="16" t="str">
        <f t="shared" si="232"/>
        <v/>
      </c>
      <c r="AI327" s="29" t="str">
        <f t="shared" si="236"/>
        <v/>
      </c>
      <c r="AJ327" s="29" t="str">
        <f t="shared" si="237"/>
        <v/>
      </c>
    </row>
    <row r="328" spans="4:36" x14ac:dyDescent="0.25">
      <c r="D328" s="54"/>
      <c r="E328" s="54"/>
      <c r="F328" s="54"/>
      <c r="G328" s="54"/>
      <c r="H328" s="54"/>
      <c r="I328" s="54"/>
      <c r="J328" s="2"/>
      <c r="AA328" s="264">
        <v>324</v>
      </c>
      <c r="AB328" s="16" t="str">
        <f t="shared" si="229"/>
        <v/>
      </c>
      <c r="AC328" s="16" t="str">
        <f t="shared" si="230"/>
        <v/>
      </c>
      <c r="AD328" s="16" t="str">
        <f t="shared" si="233"/>
        <v/>
      </c>
      <c r="AE328" s="16" t="str">
        <f t="shared" si="234"/>
        <v/>
      </c>
      <c r="AF328" s="16" t="str">
        <f t="shared" si="235"/>
        <v/>
      </c>
      <c r="AG328" s="16" t="str">
        <f t="shared" si="231"/>
        <v/>
      </c>
      <c r="AH328" s="16" t="str">
        <f t="shared" si="232"/>
        <v/>
      </c>
      <c r="AI328" s="29" t="str">
        <f t="shared" si="236"/>
        <v/>
      </c>
      <c r="AJ328" s="29" t="str">
        <f t="shared" si="237"/>
        <v/>
      </c>
    </row>
    <row r="329" spans="4:36" x14ac:dyDescent="0.25">
      <c r="D329" s="54"/>
      <c r="E329" s="54"/>
      <c r="F329" s="54"/>
      <c r="G329" s="54"/>
      <c r="H329" s="54"/>
      <c r="I329" s="54"/>
      <c r="J329" s="2"/>
      <c r="AA329" s="264">
        <v>325</v>
      </c>
      <c r="AB329" s="16" t="str">
        <f t="shared" si="229"/>
        <v/>
      </c>
      <c r="AC329" s="16" t="str">
        <f t="shared" si="230"/>
        <v/>
      </c>
      <c r="AD329" s="16" t="str">
        <f t="shared" si="233"/>
        <v/>
      </c>
      <c r="AE329" s="16" t="str">
        <f t="shared" si="234"/>
        <v/>
      </c>
      <c r="AF329" s="16" t="str">
        <f t="shared" si="235"/>
        <v/>
      </c>
      <c r="AG329" s="16" t="str">
        <f t="shared" si="231"/>
        <v/>
      </c>
      <c r="AH329" s="16" t="str">
        <f t="shared" si="232"/>
        <v/>
      </c>
      <c r="AI329" s="29" t="str">
        <f t="shared" si="236"/>
        <v/>
      </c>
      <c r="AJ329" s="29" t="str">
        <f t="shared" si="237"/>
        <v/>
      </c>
    </row>
    <row r="330" spans="4:36" x14ac:dyDescent="0.25">
      <c r="D330" s="54"/>
      <c r="E330" s="54"/>
      <c r="F330" s="54"/>
      <c r="G330" s="54"/>
      <c r="H330" s="54"/>
      <c r="I330" s="54"/>
      <c r="J330" s="2"/>
      <c r="AA330" s="264">
        <v>326</v>
      </c>
      <c r="AB330" s="16" t="str">
        <f t="shared" si="229"/>
        <v/>
      </c>
      <c r="AC330" s="16" t="str">
        <f t="shared" si="230"/>
        <v/>
      </c>
      <c r="AD330" s="16" t="str">
        <f t="shared" si="233"/>
        <v/>
      </c>
      <c r="AE330" s="16" t="str">
        <f t="shared" si="234"/>
        <v/>
      </c>
      <c r="AF330" s="16" t="str">
        <f t="shared" si="235"/>
        <v/>
      </c>
      <c r="AG330" s="16" t="str">
        <f t="shared" si="231"/>
        <v/>
      </c>
      <c r="AH330" s="16" t="str">
        <f t="shared" si="232"/>
        <v/>
      </c>
      <c r="AI330" s="29" t="str">
        <f t="shared" si="236"/>
        <v/>
      </c>
      <c r="AJ330" s="29" t="str">
        <f t="shared" si="237"/>
        <v/>
      </c>
    </row>
    <row r="331" spans="4:36" x14ac:dyDescent="0.25">
      <c r="D331" s="54"/>
      <c r="E331" s="54"/>
      <c r="F331" s="54"/>
      <c r="G331" s="54"/>
      <c r="H331" s="54"/>
      <c r="I331" s="54"/>
      <c r="J331" s="2"/>
      <c r="AA331" s="264">
        <v>327</v>
      </c>
      <c r="AB331" s="16" t="str">
        <f t="shared" si="229"/>
        <v/>
      </c>
      <c r="AC331" s="16" t="str">
        <f t="shared" si="230"/>
        <v/>
      </c>
      <c r="AD331" s="16" t="str">
        <f t="shared" si="233"/>
        <v/>
      </c>
      <c r="AE331" s="16" t="str">
        <f t="shared" si="234"/>
        <v/>
      </c>
      <c r="AF331" s="16" t="str">
        <f t="shared" si="235"/>
        <v/>
      </c>
      <c r="AG331" s="16" t="str">
        <f t="shared" si="231"/>
        <v/>
      </c>
      <c r="AH331" s="16" t="str">
        <f t="shared" si="232"/>
        <v/>
      </c>
      <c r="AI331" s="29" t="str">
        <f t="shared" si="236"/>
        <v/>
      </c>
      <c r="AJ331" s="29" t="str">
        <f t="shared" si="237"/>
        <v/>
      </c>
    </row>
    <row r="332" spans="4:36" x14ac:dyDescent="0.25">
      <c r="D332" s="54"/>
      <c r="E332" s="54"/>
      <c r="F332" s="54"/>
      <c r="G332" s="54"/>
      <c r="H332" s="54"/>
      <c r="I332" s="54"/>
      <c r="J332" s="2"/>
      <c r="AA332" s="264">
        <v>328</v>
      </c>
      <c r="AB332" s="16" t="str">
        <f t="shared" si="229"/>
        <v/>
      </c>
      <c r="AC332" s="16" t="str">
        <f t="shared" si="230"/>
        <v/>
      </c>
      <c r="AD332" s="16" t="str">
        <f t="shared" si="233"/>
        <v/>
      </c>
      <c r="AE332" s="16" t="str">
        <f t="shared" si="234"/>
        <v/>
      </c>
      <c r="AF332" s="16" t="str">
        <f t="shared" si="235"/>
        <v/>
      </c>
      <c r="AG332" s="16" t="str">
        <f t="shared" si="231"/>
        <v/>
      </c>
      <c r="AH332" s="16" t="str">
        <f t="shared" si="232"/>
        <v/>
      </c>
      <c r="AI332" s="29" t="str">
        <f t="shared" si="236"/>
        <v/>
      </c>
      <c r="AJ332" s="29" t="str">
        <f t="shared" si="237"/>
        <v/>
      </c>
    </row>
    <row r="333" spans="4:36" x14ac:dyDescent="0.25">
      <c r="D333" s="54"/>
      <c r="E333" s="54"/>
      <c r="F333" s="54"/>
      <c r="G333" s="54"/>
      <c r="H333" s="54"/>
      <c r="I333" s="54"/>
      <c r="J333" s="2"/>
      <c r="AA333" s="264">
        <v>329</v>
      </c>
      <c r="AB333" s="16" t="str">
        <f t="shared" si="229"/>
        <v/>
      </c>
      <c r="AC333" s="16" t="str">
        <f t="shared" si="230"/>
        <v/>
      </c>
      <c r="AD333" s="16" t="str">
        <f t="shared" si="233"/>
        <v/>
      </c>
      <c r="AE333" s="16" t="str">
        <f t="shared" si="234"/>
        <v/>
      </c>
      <c r="AF333" s="16" t="str">
        <f t="shared" si="235"/>
        <v/>
      </c>
      <c r="AG333" s="16" t="str">
        <f t="shared" si="231"/>
        <v/>
      </c>
      <c r="AH333" s="16" t="str">
        <f t="shared" si="232"/>
        <v/>
      </c>
      <c r="AI333" s="29" t="str">
        <f t="shared" si="236"/>
        <v/>
      </c>
      <c r="AJ333" s="29" t="str">
        <f t="shared" si="237"/>
        <v/>
      </c>
    </row>
    <row r="334" spans="4:36" x14ac:dyDescent="0.25">
      <c r="D334" s="54"/>
      <c r="E334" s="54"/>
      <c r="F334" s="54"/>
      <c r="G334" s="54"/>
      <c r="H334" s="54"/>
      <c r="I334" s="54"/>
      <c r="J334" s="2"/>
      <c r="AA334" s="264">
        <v>330</v>
      </c>
      <c r="AB334" s="16" t="str">
        <f t="shared" si="229"/>
        <v/>
      </c>
      <c r="AC334" s="16" t="str">
        <f t="shared" si="230"/>
        <v/>
      </c>
      <c r="AD334" s="16" t="str">
        <f t="shared" si="233"/>
        <v/>
      </c>
      <c r="AE334" s="16" t="str">
        <f t="shared" si="234"/>
        <v/>
      </c>
      <c r="AF334" s="16" t="str">
        <f t="shared" si="235"/>
        <v/>
      </c>
      <c r="AG334" s="16" t="str">
        <f t="shared" si="231"/>
        <v/>
      </c>
      <c r="AH334" s="16" t="str">
        <f t="shared" si="232"/>
        <v/>
      </c>
      <c r="AI334" s="29" t="str">
        <f t="shared" si="236"/>
        <v/>
      </c>
      <c r="AJ334" s="29" t="str">
        <f t="shared" si="237"/>
        <v/>
      </c>
    </row>
    <row r="335" spans="4:36" x14ac:dyDescent="0.25">
      <c r="D335" s="54"/>
      <c r="E335" s="54"/>
      <c r="F335" s="54"/>
      <c r="G335" s="54"/>
      <c r="H335" s="54"/>
      <c r="I335" s="54"/>
      <c r="J335" s="2"/>
      <c r="AA335" s="264">
        <v>331</v>
      </c>
      <c r="AB335" s="16" t="str">
        <f t="shared" si="229"/>
        <v/>
      </c>
      <c r="AC335" s="16" t="str">
        <f t="shared" si="230"/>
        <v/>
      </c>
      <c r="AD335" s="16" t="str">
        <f t="shared" si="233"/>
        <v/>
      </c>
      <c r="AE335" s="16" t="str">
        <f t="shared" si="234"/>
        <v/>
      </c>
      <c r="AF335" s="16" t="str">
        <f t="shared" si="235"/>
        <v/>
      </c>
      <c r="AG335" s="16" t="str">
        <f t="shared" si="231"/>
        <v/>
      </c>
      <c r="AH335" s="16" t="str">
        <f t="shared" si="232"/>
        <v/>
      </c>
      <c r="AI335" s="29" t="str">
        <f t="shared" si="236"/>
        <v/>
      </c>
      <c r="AJ335" s="29" t="str">
        <f t="shared" si="237"/>
        <v/>
      </c>
    </row>
    <row r="336" spans="4:36" x14ac:dyDescent="0.25">
      <c r="D336" s="54"/>
      <c r="E336" s="54"/>
      <c r="F336" s="54"/>
      <c r="G336" s="54"/>
      <c r="H336" s="54"/>
      <c r="I336" s="54"/>
      <c r="J336" s="2"/>
      <c r="AA336" s="264">
        <v>332</v>
      </c>
      <c r="AB336" s="16" t="str">
        <f t="shared" si="229"/>
        <v/>
      </c>
      <c r="AC336" s="16" t="str">
        <f t="shared" si="230"/>
        <v/>
      </c>
      <c r="AD336" s="16" t="str">
        <f t="shared" si="233"/>
        <v/>
      </c>
      <c r="AE336" s="16" t="str">
        <f t="shared" si="234"/>
        <v/>
      </c>
      <c r="AF336" s="16" t="str">
        <f t="shared" si="235"/>
        <v/>
      </c>
      <c r="AG336" s="16" t="str">
        <f t="shared" si="231"/>
        <v/>
      </c>
      <c r="AH336" s="16" t="str">
        <f t="shared" si="232"/>
        <v/>
      </c>
      <c r="AI336" s="29" t="str">
        <f t="shared" si="236"/>
        <v/>
      </c>
      <c r="AJ336" s="29" t="str">
        <f t="shared" si="237"/>
        <v/>
      </c>
    </row>
    <row r="337" spans="4:36" x14ac:dyDescent="0.25">
      <c r="D337" s="54"/>
      <c r="E337" s="54"/>
      <c r="F337" s="54"/>
      <c r="G337" s="54"/>
      <c r="H337" s="54"/>
      <c r="I337" s="54"/>
      <c r="J337" s="2"/>
      <c r="AA337" s="264">
        <v>333</v>
      </c>
      <c r="AB337" s="16" t="str">
        <f t="shared" ref="AB337:AB354" si="238">IF($C$9&gt;=$AA337,$U45+0.000001-$AB$410,"")</f>
        <v/>
      </c>
      <c r="AC337" s="16" t="str">
        <f t="shared" ref="AC337:AC354" si="239">IF($C$9&gt;=$AA337,$T45+0.000001-$AB$409,"")</f>
        <v/>
      </c>
      <c r="AD337" s="16" t="str">
        <f t="shared" si="233"/>
        <v/>
      </c>
      <c r="AE337" s="16" t="str">
        <f t="shared" si="234"/>
        <v/>
      </c>
      <c r="AF337" s="16" t="str">
        <f t="shared" si="235"/>
        <v/>
      </c>
      <c r="AG337" s="16" t="str">
        <f t="shared" ref="AG337:AG354" si="240">IF($C$9&gt;=$AA337,$T45-$AB$409,"")</f>
        <v/>
      </c>
      <c r="AH337" s="16" t="str">
        <f t="shared" ref="AH337:AH354" si="241">IF($C$9&gt;=$AA337,$U45-$AB$410,"")</f>
        <v/>
      </c>
      <c r="AI337" s="29" t="str">
        <f t="shared" si="236"/>
        <v/>
      </c>
      <c r="AJ337" s="29" t="str">
        <f t="shared" si="237"/>
        <v/>
      </c>
    </row>
    <row r="338" spans="4:36" x14ac:dyDescent="0.25">
      <c r="D338" s="54"/>
      <c r="E338" s="54"/>
      <c r="F338" s="54"/>
      <c r="G338" s="54"/>
      <c r="H338" s="54"/>
      <c r="I338" s="54"/>
      <c r="J338" s="2"/>
      <c r="AA338" s="264">
        <v>334</v>
      </c>
      <c r="AB338" s="16" t="str">
        <f t="shared" si="238"/>
        <v/>
      </c>
      <c r="AC338" s="16" t="str">
        <f t="shared" si="239"/>
        <v/>
      </c>
      <c r="AD338" s="16" t="str">
        <f t="shared" si="233"/>
        <v/>
      </c>
      <c r="AE338" s="16" t="str">
        <f t="shared" si="234"/>
        <v/>
      </c>
      <c r="AF338" s="16" t="str">
        <f t="shared" si="235"/>
        <v/>
      </c>
      <c r="AG338" s="16" t="str">
        <f t="shared" si="240"/>
        <v/>
      </c>
      <c r="AH338" s="16" t="str">
        <f t="shared" si="241"/>
        <v/>
      </c>
      <c r="AI338" s="29" t="str">
        <f t="shared" si="236"/>
        <v/>
      </c>
      <c r="AJ338" s="29" t="str">
        <f t="shared" si="237"/>
        <v/>
      </c>
    </row>
    <row r="339" spans="4:36" x14ac:dyDescent="0.25">
      <c r="D339" s="54"/>
      <c r="E339" s="54"/>
      <c r="F339" s="54"/>
      <c r="G339" s="54"/>
      <c r="H339" s="54"/>
      <c r="I339" s="54"/>
      <c r="J339" s="2"/>
      <c r="AA339" s="264">
        <v>335</v>
      </c>
      <c r="AB339" s="16" t="str">
        <f t="shared" si="238"/>
        <v/>
      </c>
      <c r="AC339" s="16" t="str">
        <f t="shared" si="239"/>
        <v/>
      </c>
      <c r="AD339" s="16" t="str">
        <f t="shared" si="233"/>
        <v/>
      </c>
      <c r="AE339" s="16" t="str">
        <f t="shared" si="234"/>
        <v/>
      </c>
      <c r="AF339" s="16" t="str">
        <f t="shared" si="235"/>
        <v/>
      </c>
      <c r="AG339" s="16" t="str">
        <f t="shared" si="240"/>
        <v/>
      </c>
      <c r="AH339" s="16" t="str">
        <f t="shared" si="241"/>
        <v/>
      </c>
      <c r="AI339" s="29" t="str">
        <f t="shared" si="236"/>
        <v/>
      </c>
      <c r="AJ339" s="29" t="str">
        <f t="shared" si="237"/>
        <v/>
      </c>
    </row>
    <row r="340" spans="4:36" x14ac:dyDescent="0.25">
      <c r="D340" s="54"/>
      <c r="E340" s="54"/>
      <c r="F340" s="54"/>
      <c r="G340" s="54"/>
      <c r="H340" s="54"/>
      <c r="I340" s="54"/>
      <c r="J340" s="2"/>
      <c r="AA340" s="264">
        <v>336</v>
      </c>
      <c r="AB340" s="16" t="str">
        <f t="shared" si="238"/>
        <v/>
      </c>
      <c r="AC340" s="16" t="str">
        <f t="shared" si="239"/>
        <v/>
      </c>
      <c r="AD340" s="16" t="str">
        <f t="shared" si="233"/>
        <v/>
      </c>
      <c r="AE340" s="16" t="str">
        <f t="shared" si="234"/>
        <v/>
      </c>
      <c r="AF340" s="16" t="str">
        <f t="shared" si="235"/>
        <v/>
      </c>
      <c r="AG340" s="16" t="str">
        <f t="shared" si="240"/>
        <v/>
      </c>
      <c r="AH340" s="16" t="str">
        <f t="shared" si="241"/>
        <v/>
      </c>
      <c r="AI340" s="29" t="str">
        <f t="shared" si="236"/>
        <v/>
      </c>
      <c r="AJ340" s="29" t="str">
        <f t="shared" si="237"/>
        <v/>
      </c>
    </row>
    <row r="341" spans="4:36" x14ac:dyDescent="0.25">
      <c r="D341" s="54"/>
      <c r="E341" s="54"/>
      <c r="F341" s="54"/>
      <c r="G341" s="54"/>
      <c r="H341" s="54"/>
      <c r="I341" s="54"/>
      <c r="J341" s="2"/>
      <c r="AA341" s="264">
        <v>337</v>
      </c>
      <c r="AB341" s="16" t="str">
        <f t="shared" si="238"/>
        <v/>
      </c>
      <c r="AC341" s="16" t="str">
        <f t="shared" si="239"/>
        <v/>
      </c>
      <c r="AD341" s="16" t="str">
        <f t="shared" si="233"/>
        <v/>
      </c>
      <c r="AE341" s="16" t="str">
        <f t="shared" si="234"/>
        <v/>
      </c>
      <c r="AF341" s="16" t="str">
        <f t="shared" si="235"/>
        <v/>
      </c>
      <c r="AG341" s="16" t="str">
        <f t="shared" si="240"/>
        <v/>
      </c>
      <c r="AH341" s="16" t="str">
        <f t="shared" si="241"/>
        <v/>
      </c>
      <c r="AI341" s="29" t="str">
        <f t="shared" si="236"/>
        <v/>
      </c>
      <c r="AJ341" s="29" t="str">
        <f t="shared" si="237"/>
        <v/>
      </c>
    </row>
    <row r="342" spans="4:36" x14ac:dyDescent="0.25">
      <c r="D342" s="54"/>
      <c r="E342" s="54"/>
      <c r="F342" s="54"/>
      <c r="G342" s="54"/>
      <c r="H342" s="54"/>
      <c r="I342" s="54"/>
      <c r="J342" s="2"/>
      <c r="AA342" s="264">
        <v>338</v>
      </c>
      <c r="AB342" s="16" t="str">
        <f t="shared" si="238"/>
        <v/>
      </c>
      <c r="AC342" s="16" t="str">
        <f t="shared" si="239"/>
        <v/>
      </c>
      <c r="AD342" s="16" t="str">
        <f t="shared" si="233"/>
        <v/>
      </c>
      <c r="AE342" s="16" t="str">
        <f t="shared" si="234"/>
        <v/>
      </c>
      <c r="AF342" s="16" t="str">
        <f t="shared" si="235"/>
        <v/>
      </c>
      <c r="AG342" s="16" t="str">
        <f t="shared" si="240"/>
        <v/>
      </c>
      <c r="AH342" s="16" t="str">
        <f t="shared" si="241"/>
        <v/>
      </c>
      <c r="AI342" s="29" t="str">
        <f t="shared" si="236"/>
        <v/>
      </c>
      <c r="AJ342" s="29" t="str">
        <f t="shared" si="237"/>
        <v/>
      </c>
    </row>
    <row r="343" spans="4:36" x14ac:dyDescent="0.25">
      <c r="D343" s="54"/>
      <c r="E343" s="54"/>
      <c r="F343" s="54"/>
      <c r="G343" s="54"/>
      <c r="H343" s="54"/>
      <c r="I343" s="54"/>
      <c r="J343" s="2"/>
      <c r="AA343" s="264">
        <v>339</v>
      </c>
      <c r="AB343" s="16" t="str">
        <f t="shared" si="238"/>
        <v/>
      </c>
      <c r="AC343" s="16" t="str">
        <f t="shared" si="239"/>
        <v/>
      </c>
      <c r="AD343" s="16" t="str">
        <f t="shared" si="233"/>
        <v/>
      </c>
      <c r="AE343" s="16" t="str">
        <f t="shared" si="234"/>
        <v/>
      </c>
      <c r="AF343" s="16" t="str">
        <f t="shared" si="235"/>
        <v/>
      </c>
      <c r="AG343" s="16" t="str">
        <f t="shared" si="240"/>
        <v/>
      </c>
      <c r="AH343" s="16" t="str">
        <f t="shared" si="241"/>
        <v/>
      </c>
      <c r="AI343" s="29" t="str">
        <f t="shared" si="236"/>
        <v/>
      </c>
      <c r="AJ343" s="29" t="str">
        <f t="shared" si="237"/>
        <v/>
      </c>
    </row>
    <row r="344" spans="4:36" x14ac:dyDescent="0.25">
      <c r="D344" s="54"/>
      <c r="E344" s="54"/>
      <c r="F344" s="54"/>
      <c r="G344" s="54"/>
      <c r="H344" s="54"/>
      <c r="I344" s="54"/>
      <c r="J344" s="2"/>
      <c r="AA344" s="264">
        <v>340</v>
      </c>
      <c r="AB344" s="16" t="str">
        <f t="shared" si="238"/>
        <v/>
      </c>
      <c r="AC344" s="16" t="str">
        <f t="shared" si="239"/>
        <v/>
      </c>
      <c r="AD344" s="16" t="str">
        <f t="shared" si="233"/>
        <v/>
      </c>
      <c r="AE344" s="16" t="str">
        <f t="shared" si="234"/>
        <v/>
      </c>
      <c r="AF344" s="16" t="str">
        <f t="shared" si="235"/>
        <v/>
      </c>
      <c r="AG344" s="16" t="str">
        <f t="shared" si="240"/>
        <v/>
      </c>
      <c r="AH344" s="16" t="str">
        <f t="shared" si="241"/>
        <v/>
      </c>
      <c r="AI344" s="29" t="str">
        <f t="shared" si="236"/>
        <v/>
      </c>
      <c r="AJ344" s="29" t="str">
        <f t="shared" si="237"/>
        <v/>
      </c>
    </row>
    <row r="345" spans="4:36" x14ac:dyDescent="0.25">
      <c r="D345" s="54"/>
      <c r="E345" s="54"/>
      <c r="F345" s="54"/>
      <c r="G345" s="54"/>
      <c r="H345" s="54"/>
      <c r="I345" s="54"/>
      <c r="J345" s="2"/>
      <c r="AA345" s="264">
        <v>341</v>
      </c>
      <c r="AB345" s="16" t="str">
        <f t="shared" si="238"/>
        <v/>
      </c>
      <c r="AC345" s="16" t="str">
        <f t="shared" si="239"/>
        <v/>
      </c>
      <c r="AD345" s="16" t="str">
        <f t="shared" si="233"/>
        <v/>
      </c>
      <c r="AE345" s="16" t="str">
        <f t="shared" si="234"/>
        <v/>
      </c>
      <c r="AF345" s="16" t="str">
        <f t="shared" si="235"/>
        <v/>
      </c>
      <c r="AG345" s="16" t="str">
        <f t="shared" si="240"/>
        <v/>
      </c>
      <c r="AH345" s="16" t="str">
        <f t="shared" si="241"/>
        <v/>
      </c>
      <c r="AI345" s="29" t="str">
        <f t="shared" si="236"/>
        <v/>
      </c>
      <c r="AJ345" s="29" t="str">
        <f t="shared" si="237"/>
        <v/>
      </c>
    </row>
    <row r="346" spans="4:36" x14ac:dyDescent="0.25">
      <c r="D346" s="54"/>
      <c r="E346" s="54"/>
      <c r="F346" s="54"/>
      <c r="G346" s="54"/>
      <c r="H346" s="54"/>
      <c r="I346" s="54"/>
      <c r="J346" s="2"/>
      <c r="AA346" s="264">
        <v>342</v>
      </c>
      <c r="AB346" s="16" t="str">
        <f t="shared" si="238"/>
        <v/>
      </c>
      <c r="AC346" s="16" t="str">
        <f t="shared" si="239"/>
        <v/>
      </c>
      <c r="AD346" s="16" t="str">
        <f t="shared" si="233"/>
        <v/>
      </c>
      <c r="AE346" s="16" t="str">
        <f t="shared" si="234"/>
        <v/>
      </c>
      <c r="AF346" s="16" t="str">
        <f t="shared" si="235"/>
        <v/>
      </c>
      <c r="AG346" s="16" t="str">
        <f t="shared" si="240"/>
        <v/>
      </c>
      <c r="AH346" s="16" t="str">
        <f t="shared" si="241"/>
        <v/>
      </c>
      <c r="AI346" s="29" t="str">
        <f t="shared" si="236"/>
        <v/>
      </c>
      <c r="AJ346" s="29" t="str">
        <f t="shared" si="237"/>
        <v/>
      </c>
    </row>
    <row r="347" spans="4:36" x14ac:dyDescent="0.25">
      <c r="D347" s="54"/>
      <c r="E347" s="54"/>
      <c r="F347" s="54"/>
      <c r="G347" s="54"/>
      <c r="H347" s="54"/>
      <c r="I347" s="54"/>
      <c r="J347" s="2"/>
      <c r="AA347" s="264">
        <v>343</v>
      </c>
      <c r="AB347" s="16" t="str">
        <f t="shared" si="238"/>
        <v/>
      </c>
      <c r="AC347" s="16" t="str">
        <f t="shared" si="239"/>
        <v/>
      </c>
      <c r="AD347" s="16" t="str">
        <f t="shared" si="233"/>
        <v/>
      </c>
      <c r="AE347" s="16" t="str">
        <f t="shared" si="234"/>
        <v/>
      </c>
      <c r="AF347" s="16" t="str">
        <f t="shared" si="235"/>
        <v/>
      </c>
      <c r="AG347" s="16" t="str">
        <f t="shared" si="240"/>
        <v/>
      </c>
      <c r="AH347" s="16" t="str">
        <f t="shared" si="241"/>
        <v/>
      </c>
      <c r="AI347" s="29" t="str">
        <f t="shared" si="236"/>
        <v/>
      </c>
      <c r="AJ347" s="29" t="str">
        <f t="shared" si="237"/>
        <v/>
      </c>
    </row>
    <row r="348" spans="4:36" x14ac:dyDescent="0.25">
      <c r="D348" s="54"/>
      <c r="E348" s="54"/>
      <c r="F348" s="54"/>
      <c r="G348" s="54"/>
      <c r="H348" s="54"/>
      <c r="I348" s="54"/>
      <c r="J348" s="2"/>
      <c r="AA348" s="264">
        <v>344</v>
      </c>
      <c r="AB348" s="16" t="str">
        <f t="shared" si="238"/>
        <v/>
      </c>
      <c r="AC348" s="16" t="str">
        <f t="shared" si="239"/>
        <v/>
      </c>
      <c r="AD348" s="16" t="str">
        <f t="shared" si="233"/>
        <v/>
      </c>
      <c r="AE348" s="16" t="str">
        <f t="shared" si="234"/>
        <v/>
      </c>
      <c r="AF348" s="16" t="str">
        <f t="shared" si="235"/>
        <v/>
      </c>
      <c r="AG348" s="16" t="str">
        <f t="shared" si="240"/>
        <v/>
      </c>
      <c r="AH348" s="16" t="str">
        <f t="shared" si="241"/>
        <v/>
      </c>
      <c r="AI348" s="29" t="str">
        <f t="shared" si="236"/>
        <v/>
      </c>
      <c r="AJ348" s="29" t="str">
        <f t="shared" si="237"/>
        <v/>
      </c>
    </row>
    <row r="349" spans="4:36" x14ac:dyDescent="0.25">
      <c r="D349" s="54"/>
      <c r="E349" s="54"/>
      <c r="F349" s="54"/>
      <c r="G349" s="54"/>
      <c r="H349" s="54"/>
      <c r="I349" s="54"/>
      <c r="J349" s="2"/>
      <c r="AA349" s="264">
        <v>345</v>
      </c>
      <c r="AB349" s="16" t="str">
        <f t="shared" si="238"/>
        <v/>
      </c>
      <c r="AC349" s="16" t="str">
        <f t="shared" si="239"/>
        <v/>
      </c>
      <c r="AD349" s="16" t="str">
        <f t="shared" si="233"/>
        <v/>
      </c>
      <c r="AE349" s="16" t="str">
        <f t="shared" si="234"/>
        <v/>
      </c>
      <c r="AF349" s="16" t="str">
        <f t="shared" si="235"/>
        <v/>
      </c>
      <c r="AG349" s="16" t="str">
        <f t="shared" si="240"/>
        <v/>
      </c>
      <c r="AH349" s="16" t="str">
        <f t="shared" si="241"/>
        <v/>
      </c>
      <c r="AI349" s="29" t="str">
        <f t="shared" si="236"/>
        <v/>
      </c>
      <c r="AJ349" s="29" t="str">
        <f t="shared" si="237"/>
        <v/>
      </c>
    </row>
    <row r="350" spans="4:36" x14ac:dyDescent="0.25">
      <c r="D350" s="54"/>
      <c r="E350" s="54"/>
      <c r="F350" s="54"/>
      <c r="G350" s="54"/>
      <c r="H350" s="54"/>
      <c r="I350" s="54"/>
      <c r="J350" s="2"/>
      <c r="AA350" s="264">
        <v>346</v>
      </c>
      <c r="AB350" s="16" t="str">
        <f t="shared" si="238"/>
        <v/>
      </c>
      <c r="AC350" s="16" t="str">
        <f t="shared" si="239"/>
        <v/>
      </c>
      <c r="AD350" s="16" t="str">
        <f t="shared" si="233"/>
        <v/>
      </c>
      <c r="AE350" s="16" t="str">
        <f t="shared" si="234"/>
        <v/>
      </c>
      <c r="AF350" s="16" t="str">
        <f t="shared" si="235"/>
        <v/>
      </c>
      <c r="AG350" s="16" t="str">
        <f t="shared" si="240"/>
        <v/>
      </c>
      <c r="AH350" s="16" t="str">
        <f t="shared" si="241"/>
        <v/>
      </c>
      <c r="AI350" s="29" t="str">
        <f t="shared" si="236"/>
        <v/>
      </c>
      <c r="AJ350" s="29" t="str">
        <f t="shared" si="237"/>
        <v/>
      </c>
    </row>
    <row r="351" spans="4:36" x14ac:dyDescent="0.25">
      <c r="D351" s="54"/>
      <c r="E351" s="54"/>
      <c r="F351" s="54"/>
      <c r="G351" s="54"/>
      <c r="H351" s="54"/>
      <c r="I351" s="54"/>
      <c r="J351" s="2"/>
      <c r="AA351" s="264">
        <v>347</v>
      </c>
      <c r="AB351" s="16" t="str">
        <f t="shared" si="238"/>
        <v/>
      </c>
      <c r="AC351" s="16" t="str">
        <f t="shared" si="239"/>
        <v/>
      </c>
      <c r="AD351" s="16" t="str">
        <f t="shared" si="233"/>
        <v/>
      </c>
      <c r="AE351" s="16" t="str">
        <f t="shared" si="234"/>
        <v/>
      </c>
      <c r="AF351" s="16" t="str">
        <f t="shared" si="235"/>
        <v/>
      </c>
      <c r="AG351" s="16" t="str">
        <f t="shared" si="240"/>
        <v/>
      </c>
      <c r="AH351" s="16" t="str">
        <f t="shared" si="241"/>
        <v/>
      </c>
      <c r="AI351" s="29" t="str">
        <f t="shared" si="236"/>
        <v/>
      </c>
      <c r="AJ351" s="29" t="str">
        <f t="shared" si="237"/>
        <v/>
      </c>
    </row>
    <row r="352" spans="4:36" x14ac:dyDescent="0.25">
      <c r="D352" s="54"/>
      <c r="E352" s="54"/>
      <c r="F352" s="54"/>
      <c r="G352" s="54"/>
      <c r="H352" s="54"/>
      <c r="I352" s="54"/>
      <c r="J352" s="2"/>
      <c r="AA352" s="264">
        <v>348</v>
      </c>
      <c r="AB352" s="16" t="str">
        <f t="shared" si="238"/>
        <v/>
      </c>
      <c r="AC352" s="16" t="str">
        <f t="shared" si="239"/>
        <v/>
      </c>
      <c r="AD352" s="16" t="str">
        <f t="shared" si="233"/>
        <v/>
      </c>
      <c r="AE352" s="16" t="str">
        <f t="shared" si="234"/>
        <v/>
      </c>
      <c r="AF352" s="16" t="str">
        <f t="shared" si="235"/>
        <v/>
      </c>
      <c r="AG352" s="16" t="str">
        <f t="shared" si="240"/>
        <v/>
      </c>
      <c r="AH352" s="16" t="str">
        <f t="shared" si="241"/>
        <v/>
      </c>
      <c r="AI352" s="29" t="str">
        <f t="shared" si="236"/>
        <v/>
      </c>
      <c r="AJ352" s="29" t="str">
        <f t="shared" si="237"/>
        <v/>
      </c>
    </row>
    <row r="353" spans="4:36" x14ac:dyDescent="0.25">
      <c r="D353" s="54"/>
      <c r="E353" s="54"/>
      <c r="F353" s="54"/>
      <c r="G353" s="54"/>
      <c r="H353" s="54"/>
      <c r="I353" s="54"/>
      <c r="J353" s="2"/>
      <c r="AA353" s="264">
        <v>349</v>
      </c>
      <c r="AB353" s="16" t="str">
        <f t="shared" si="238"/>
        <v/>
      </c>
      <c r="AC353" s="16" t="str">
        <f t="shared" si="239"/>
        <v/>
      </c>
      <c r="AD353" s="16" t="str">
        <f t="shared" si="233"/>
        <v/>
      </c>
      <c r="AE353" s="16" t="str">
        <f t="shared" si="234"/>
        <v/>
      </c>
      <c r="AF353" s="16" t="str">
        <f t="shared" si="235"/>
        <v/>
      </c>
      <c r="AG353" s="16" t="str">
        <f t="shared" si="240"/>
        <v/>
      </c>
      <c r="AH353" s="16" t="str">
        <f t="shared" si="241"/>
        <v/>
      </c>
      <c r="AI353" s="29" t="str">
        <f t="shared" si="236"/>
        <v/>
      </c>
      <c r="AJ353" s="29" t="str">
        <f t="shared" si="237"/>
        <v/>
      </c>
    </row>
    <row r="354" spans="4:36" x14ac:dyDescent="0.25">
      <c r="D354" s="54"/>
      <c r="E354" s="54"/>
      <c r="F354" s="54"/>
      <c r="G354" s="54"/>
      <c r="H354" s="54"/>
      <c r="I354" s="54"/>
      <c r="J354" s="2"/>
      <c r="AA354" s="264">
        <v>350</v>
      </c>
      <c r="AB354" s="16" t="str">
        <f t="shared" si="238"/>
        <v/>
      </c>
      <c r="AC354" s="16" t="str">
        <f t="shared" si="239"/>
        <v/>
      </c>
      <c r="AD354" s="16" t="str">
        <f t="shared" si="233"/>
        <v/>
      </c>
      <c r="AE354" s="16" t="str">
        <f t="shared" si="234"/>
        <v/>
      </c>
      <c r="AF354" s="16" t="str">
        <f t="shared" si="235"/>
        <v/>
      </c>
      <c r="AG354" s="16" t="str">
        <f t="shared" si="240"/>
        <v/>
      </c>
      <c r="AH354" s="16" t="str">
        <f t="shared" si="241"/>
        <v/>
      </c>
      <c r="AI354" s="29" t="str">
        <f t="shared" si="236"/>
        <v/>
      </c>
      <c r="AJ354" s="29" t="str">
        <f t="shared" si="237"/>
        <v/>
      </c>
    </row>
    <row r="355" spans="4:36" x14ac:dyDescent="0.25">
      <c r="D355" s="54"/>
      <c r="E355" s="54"/>
      <c r="F355" s="54"/>
      <c r="G355" s="54"/>
      <c r="H355" s="54"/>
      <c r="I355" s="54"/>
      <c r="J355" s="2"/>
      <c r="AA355" s="264">
        <v>351</v>
      </c>
      <c r="AB355" s="16" t="str">
        <f>IF($C$9&gt;=$AA355,$X13+0.000001-$AB$410,"")</f>
        <v/>
      </c>
      <c r="AC355" s="16" t="str">
        <f t="shared" ref="AC355:AC386" si="242">IF($C$9&gt;=$AA355,$W13+0.000001-$AB$409,"")</f>
        <v/>
      </c>
      <c r="AD355" s="16" t="str">
        <f t="shared" si="233"/>
        <v/>
      </c>
      <c r="AE355" s="16" t="str">
        <f t="shared" si="234"/>
        <v/>
      </c>
      <c r="AF355" s="16" t="str">
        <f t="shared" si="235"/>
        <v/>
      </c>
      <c r="AG355" s="16" t="str">
        <f t="shared" ref="AG355:AG386" si="243">IF($C$9&gt;=$AA355,$W13-$AB$409,"")</f>
        <v/>
      </c>
      <c r="AH355" s="16" t="str">
        <f t="shared" ref="AH355:AH386" si="244">IF($C$9&gt;=$AA355,$X13-$AB$410,"")</f>
        <v/>
      </c>
      <c r="AI355" s="29" t="str">
        <f t="shared" si="236"/>
        <v/>
      </c>
      <c r="AJ355" s="29" t="str">
        <f t="shared" si="237"/>
        <v/>
      </c>
    </row>
    <row r="356" spans="4:36" x14ac:dyDescent="0.25">
      <c r="D356" s="54"/>
      <c r="E356" s="54"/>
      <c r="F356" s="54"/>
      <c r="G356" s="54"/>
      <c r="H356" s="54"/>
      <c r="I356" s="54"/>
      <c r="J356" s="2"/>
      <c r="AA356" s="264">
        <v>352</v>
      </c>
      <c r="AB356" s="16" t="str">
        <f t="shared" ref="AB356:AB386" si="245">IF($C$9&gt;=$AA356,$X14+0.000001-$AB$410,"")</f>
        <v/>
      </c>
      <c r="AC356" s="16" t="str">
        <f t="shared" si="242"/>
        <v/>
      </c>
      <c r="AD356" s="16" t="str">
        <f t="shared" si="233"/>
        <v/>
      </c>
      <c r="AE356" s="16" t="str">
        <f t="shared" si="234"/>
        <v/>
      </c>
      <c r="AF356" s="16" t="str">
        <f t="shared" si="235"/>
        <v/>
      </c>
      <c r="AG356" s="16" t="str">
        <f t="shared" si="243"/>
        <v/>
      </c>
      <c r="AH356" s="16" t="str">
        <f t="shared" si="244"/>
        <v/>
      </c>
      <c r="AI356" s="29" t="str">
        <f t="shared" si="236"/>
        <v/>
      </c>
      <c r="AJ356" s="29" t="str">
        <f t="shared" si="237"/>
        <v/>
      </c>
    </row>
    <row r="357" spans="4:36" x14ac:dyDescent="0.25">
      <c r="D357" s="54"/>
      <c r="E357" s="54"/>
      <c r="F357" s="54"/>
      <c r="G357" s="54"/>
      <c r="H357" s="54"/>
      <c r="I357" s="54"/>
      <c r="J357" s="2"/>
      <c r="AA357" s="264">
        <v>353</v>
      </c>
      <c r="AB357" s="16" t="str">
        <f t="shared" si="245"/>
        <v/>
      </c>
      <c r="AC357" s="16" t="str">
        <f t="shared" si="242"/>
        <v/>
      </c>
      <c r="AD357" s="16" t="str">
        <f t="shared" si="233"/>
        <v/>
      </c>
      <c r="AE357" s="16" t="str">
        <f t="shared" si="234"/>
        <v/>
      </c>
      <c r="AF357" s="16" t="str">
        <f t="shared" si="235"/>
        <v/>
      </c>
      <c r="AG357" s="16" t="str">
        <f t="shared" si="243"/>
        <v/>
      </c>
      <c r="AH357" s="16" t="str">
        <f t="shared" si="244"/>
        <v/>
      </c>
      <c r="AI357" s="29" t="str">
        <f t="shared" si="236"/>
        <v/>
      </c>
      <c r="AJ357" s="29" t="str">
        <f t="shared" si="237"/>
        <v/>
      </c>
    </row>
    <row r="358" spans="4:36" x14ac:dyDescent="0.25">
      <c r="D358" s="54"/>
      <c r="E358" s="54"/>
      <c r="F358" s="54"/>
      <c r="G358" s="54"/>
      <c r="H358" s="54"/>
      <c r="I358" s="54"/>
      <c r="J358" s="2"/>
      <c r="AA358" s="264">
        <v>354</v>
      </c>
      <c r="AB358" s="16" t="str">
        <f t="shared" si="245"/>
        <v/>
      </c>
      <c r="AC358" s="16" t="str">
        <f t="shared" si="242"/>
        <v/>
      </c>
      <c r="AD358" s="16" t="str">
        <f t="shared" si="233"/>
        <v/>
      </c>
      <c r="AE358" s="16" t="str">
        <f t="shared" si="234"/>
        <v/>
      </c>
      <c r="AF358" s="16" t="str">
        <f t="shared" si="235"/>
        <v/>
      </c>
      <c r="AG358" s="16" t="str">
        <f t="shared" si="243"/>
        <v/>
      </c>
      <c r="AH358" s="16" t="str">
        <f t="shared" si="244"/>
        <v/>
      </c>
      <c r="AI358" s="29" t="str">
        <f t="shared" si="236"/>
        <v/>
      </c>
      <c r="AJ358" s="29" t="str">
        <f t="shared" si="237"/>
        <v/>
      </c>
    </row>
    <row r="359" spans="4:36" x14ac:dyDescent="0.25">
      <c r="D359" s="54"/>
      <c r="E359" s="54"/>
      <c r="F359" s="54"/>
      <c r="G359" s="54"/>
      <c r="H359" s="54"/>
      <c r="I359" s="54"/>
      <c r="J359" s="2"/>
      <c r="AA359" s="264">
        <v>355</v>
      </c>
      <c r="AB359" s="16" t="str">
        <f t="shared" si="245"/>
        <v/>
      </c>
      <c r="AC359" s="16" t="str">
        <f t="shared" si="242"/>
        <v/>
      </c>
      <c r="AD359" s="16" t="str">
        <f t="shared" si="233"/>
        <v/>
      </c>
      <c r="AE359" s="16" t="str">
        <f t="shared" si="234"/>
        <v/>
      </c>
      <c r="AF359" s="16" t="str">
        <f t="shared" si="235"/>
        <v/>
      </c>
      <c r="AG359" s="16" t="str">
        <f t="shared" si="243"/>
        <v/>
      </c>
      <c r="AH359" s="16" t="str">
        <f t="shared" si="244"/>
        <v/>
      </c>
      <c r="AI359" s="29" t="str">
        <f t="shared" si="236"/>
        <v/>
      </c>
      <c r="AJ359" s="29" t="str">
        <f t="shared" si="237"/>
        <v/>
      </c>
    </row>
    <row r="360" spans="4:36" x14ac:dyDescent="0.25">
      <c r="D360" s="54"/>
      <c r="E360" s="54"/>
      <c r="F360" s="54"/>
      <c r="G360" s="54"/>
      <c r="H360" s="54"/>
      <c r="I360" s="54"/>
      <c r="J360" s="2"/>
      <c r="AA360" s="264">
        <v>356</v>
      </c>
      <c r="AB360" s="16" t="str">
        <f t="shared" si="245"/>
        <v/>
      </c>
      <c r="AC360" s="16" t="str">
        <f t="shared" si="242"/>
        <v/>
      </c>
      <c r="AD360" s="16" t="str">
        <f t="shared" si="233"/>
        <v/>
      </c>
      <c r="AE360" s="16" t="str">
        <f t="shared" si="234"/>
        <v/>
      </c>
      <c r="AF360" s="16" t="str">
        <f t="shared" si="235"/>
        <v/>
      </c>
      <c r="AG360" s="16" t="str">
        <f t="shared" si="243"/>
        <v/>
      </c>
      <c r="AH360" s="16" t="str">
        <f t="shared" si="244"/>
        <v/>
      </c>
      <c r="AI360" s="29" t="str">
        <f t="shared" si="236"/>
        <v/>
      </c>
      <c r="AJ360" s="29" t="str">
        <f t="shared" si="237"/>
        <v/>
      </c>
    </row>
    <row r="361" spans="4:36" x14ac:dyDescent="0.25">
      <c r="D361" s="54"/>
      <c r="E361" s="54"/>
      <c r="F361" s="54"/>
      <c r="G361" s="54"/>
      <c r="H361" s="54"/>
      <c r="I361" s="54"/>
      <c r="J361" s="2"/>
      <c r="AA361" s="264">
        <v>357</v>
      </c>
      <c r="AB361" s="16" t="str">
        <f t="shared" si="245"/>
        <v/>
      </c>
      <c r="AC361" s="16" t="str">
        <f t="shared" si="242"/>
        <v/>
      </c>
      <c r="AD361" s="16" t="str">
        <f t="shared" si="233"/>
        <v/>
      </c>
      <c r="AE361" s="16" t="str">
        <f t="shared" si="234"/>
        <v/>
      </c>
      <c r="AF361" s="16" t="str">
        <f t="shared" si="235"/>
        <v/>
      </c>
      <c r="AG361" s="16" t="str">
        <f t="shared" si="243"/>
        <v/>
      </c>
      <c r="AH361" s="16" t="str">
        <f t="shared" si="244"/>
        <v/>
      </c>
      <c r="AI361" s="29" t="str">
        <f t="shared" si="236"/>
        <v/>
      </c>
      <c r="AJ361" s="29" t="str">
        <f t="shared" si="237"/>
        <v/>
      </c>
    </row>
    <row r="362" spans="4:36" x14ac:dyDescent="0.25">
      <c r="D362" s="54"/>
      <c r="E362" s="54"/>
      <c r="F362" s="54"/>
      <c r="G362" s="54"/>
      <c r="H362" s="54"/>
      <c r="I362" s="54"/>
      <c r="J362" s="2"/>
      <c r="AA362" s="264">
        <v>358</v>
      </c>
      <c r="AB362" s="16" t="str">
        <f t="shared" si="245"/>
        <v/>
      </c>
      <c r="AC362" s="16" t="str">
        <f t="shared" si="242"/>
        <v/>
      </c>
      <c r="AD362" s="16" t="str">
        <f t="shared" si="233"/>
        <v/>
      </c>
      <c r="AE362" s="16" t="str">
        <f t="shared" si="234"/>
        <v/>
      </c>
      <c r="AF362" s="16" t="str">
        <f t="shared" si="235"/>
        <v/>
      </c>
      <c r="AG362" s="16" t="str">
        <f t="shared" si="243"/>
        <v/>
      </c>
      <c r="AH362" s="16" t="str">
        <f t="shared" si="244"/>
        <v/>
      </c>
      <c r="AI362" s="29" t="str">
        <f t="shared" si="236"/>
        <v/>
      </c>
      <c r="AJ362" s="29" t="str">
        <f t="shared" si="237"/>
        <v/>
      </c>
    </row>
    <row r="363" spans="4:36" x14ac:dyDescent="0.25">
      <c r="D363" s="54"/>
      <c r="E363" s="54"/>
      <c r="F363" s="54"/>
      <c r="G363" s="54"/>
      <c r="H363" s="54"/>
      <c r="I363" s="54"/>
      <c r="J363" s="2"/>
      <c r="AA363" s="264">
        <v>359</v>
      </c>
      <c r="AB363" s="16" t="str">
        <f t="shared" si="245"/>
        <v/>
      </c>
      <c r="AC363" s="16" t="str">
        <f t="shared" si="242"/>
        <v/>
      </c>
      <c r="AD363" s="16" t="str">
        <f t="shared" si="233"/>
        <v/>
      </c>
      <c r="AE363" s="16" t="str">
        <f t="shared" si="234"/>
        <v/>
      </c>
      <c r="AF363" s="16" t="str">
        <f t="shared" si="235"/>
        <v/>
      </c>
      <c r="AG363" s="16" t="str">
        <f t="shared" si="243"/>
        <v/>
      </c>
      <c r="AH363" s="16" t="str">
        <f t="shared" si="244"/>
        <v/>
      </c>
      <c r="AI363" s="29" t="str">
        <f t="shared" si="236"/>
        <v/>
      </c>
      <c r="AJ363" s="29" t="str">
        <f t="shared" si="237"/>
        <v/>
      </c>
    </row>
    <row r="364" spans="4:36" x14ac:dyDescent="0.25">
      <c r="D364" s="54"/>
      <c r="E364" s="54"/>
      <c r="F364" s="54"/>
      <c r="G364" s="54"/>
      <c r="H364" s="54"/>
      <c r="I364" s="54"/>
      <c r="J364" s="2"/>
      <c r="AA364" s="264">
        <v>360</v>
      </c>
      <c r="AB364" s="16" t="str">
        <f t="shared" si="245"/>
        <v/>
      </c>
      <c r="AC364" s="16" t="str">
        <f t="shared" si="242"/>
        <v/>
      </c>
      <c r="AD364" s="16" t="str">
        <f t="shared" si="233"/>
        <v/>
      </c>
      <c r="AE364" s="16" t="str">
        <f t="shared" si="234"/>
        <v/>
      </c>
      <c r="AF364" s="16" t="str">
        <f t="shared" si="235"/>
        <v/>
      </c>
      <c r="AG364" s="16" t="str">
        <f t="shared" si="243"/>
        <v/>
      </c>
      <c r="AH364" s="16" t="str">
        <f t="shared" si="244"/>
        <v/>
      </c>
      <c r="AI364" s="29" t="str">
        <f t="shared" si="236"/>
        <v/>
      </c>
      <c r="AJ364" s="29" t="str">
        <f t="shared" si="237"/>
        <v/>
      </c>
    </row>
    <row r="365" spans="4:36" x14ac:dyDescent="0.25">
      <c r="D365" s="54"/>
      <c r="E365" s="54"/>
      <c r="F365" s="54"/>
      <c r="G365" s="54"/>
      <c r="H365" s="54"/>
      <c r="I365" s="54"/>
      <c r="J365" s="2"/>
      <c r="AA365" s="264">
        <v>361</v>
      </c>
      <c r="AB365" s="16" t="str">
        <f t="shared" si="245"/>
        <v/>
      </c>
      <c r="AC365" s="16" t="str">
        <f t="shared" si="242"/>
        <v/>
      </c>
      <c r="AD365" s="16" t="str">
        <f t="shared" si="233"/>
        <v/>
      </c>
      <c r="AE365" s="16" t="str">
        <f t="shared" si="234"/>
        <v/>
      </c>
      <c r="AF365" s="16" t="str">
        <f t="shared" si="235"/>
        <v/>
      </c>
      <c r="AG365" s="16" t="str">
        <f t="shared" si="243"/>
        <v/>
      </c>
      <c r="AH365" s="16" t="str">
        <f t="shared" si="244"/>
        <v/>
      </c>
      <c r="AI365" s="29" t="str">
        <f t="shared" si="236"/>
        <v/>
      </c>
      <c r="AJ365" s="29" t="str">
        <f t="shared" si="237"/>
        <v/>
      </c>
    </row>
    <row r="366" spans="4:36" x14ac:dyDescent="0.25">
      <c r="D366" s="54"/>
      <c r="E366" s="54"/>
      <c r="F366" s="54"/>
      <c r="G366" s="54"/>
      <c r="H366" s="54"/>
      <c r="I366" s="54"/>
      <c r="J366" s="2"/>
      <c r="AA366" s="264">
        <v>362</v>
      </c>
      <c r="AB366" s="16" t="str">
        <f t="shared" si="245"/>
        <v/>
      </c>
      <c r="AC366" s="16" t="str">
        <f t="shared" si="242"/>
        <v/>
      </c>
      <c r="AD366" s="16" t="str">
        <f t="shared" si="233"/>
        <v/>
      </c>
      <c r="AE366" s="16" t="str">
        <f t="shared" si="234"/>
        <v/>
      </c>
      <c r="AF366" s="16" t="str">
        <f t="shared" si="235"/>
        <v/>
      </c>
      <c r="AG366" s="16" t="str">
        <f t="shared" si="243"/>
        <v/>
      </c>
      <c r="AH366" s="16" t="str">
        <f t="shared" si="244"/>
        <v/>
      </c>
      <c r="AI366" s="29" t="str">
        <f t="shared" si="236"/>
        <v/>
      </c>
      <c r="AJ366" s="29" t="str">
        <f t="shared" si="237"/>
        <v/>
      </c>
    </row>
    <row r="367" spans="4:36" x14ac:dyDescent="0.25">
      <c r="D367" s="54"/>
      <c r="E367" s="54"/>
      <c r="F367" s="54"/>
      <c r="G367" s="54"/>
      <c r="H367" s="54"/>
      <c r="I367" s="54"/>
      <c r="J367" s="2"/>
      <c r="AA367" s="264">
        <v>363</v>
      </c>
      <c r="AB367" s="16" t="str">
        <f t="shared" si="245"/>
        <v/>
      </c>
      <c r="AC367" s="16" t="str">
        <f t="shared" si="242"/>
        <v/>
      </c>
      <c r="AD367" s="16" t="str">
        <f t="shared" si="233"/>
        <v/>
      </c>
      <c r="AE367" s="16" t="str">
        <f t="shared" si="234"/>
        <v/>
      </c>
      <c r="AF367" s="16" t="str">
        <f t="shared" si="235"/>
        <v/>
      </c>
      <c r="AG367" s="16" t="str">
        <f t="shared" si="243"/>
        <v/>
      </c>
      <c r="AH367" s="16" t="str">
        <f t="shared" si="244"/>
        <v/>
      </c>
      <c r="AI367" s="29" t="str">
        <f t="shared" si="236"/>
        <v/>
      </c>
      <c r="AJ367" s="29" t="str">
        <f t="shared" si="237"/>
        <v/>
      </c>
    </row>
    <row r="368" spans="4:36" x14ac:dyDescent="0.25">
      <c r="D368" s="54"/>
      <c r="E368" s="54"/>
      <c r="F368" s="54"/>
      <c r="G368" s="54"/>
      <c r="H368" s="54"/>
      <c r="I368" s="54"/>
      <c r="J368" s="2"/>
      <c r="AA368" s="264">
        <v>364</v>
      </c>
      <c r="AB368" s="16" t="str">
        <f t="shared" si="245"/>
        <v/>
      </c>
      <c r="AC368" s="16" t="str">
        <f t="shared" si="242"/>
        <v/>
      </c>
      <c r="AD368" s="16" t="str">
        <f t="shared" si="233"/>
        <v/>
      </c>
      <c r="AE368" s="16" t="str">
        <f t="shared" si="234"/>
        <v/>
      </c>
      <c r="AF368" s="16" t="str">
        <f t="shared" si="235"/>
        <v/>
      </c>
      <c r="AG368" s="16" t="str">
        <f t="shared" si="243"/>
        <v/>
      </c>
      <c r="AH368" s="16" t="str">
        <f t="shared" si="244"/>
        <v/>
      </c>
      <c r="AI368" s="29" t="str">
        <f t="shared" si="236"/>
        <v/>
      </c>
      <c r="AJ368" s="29" t="str">
        <f t="shared" si="237"/>
        <v/>
      </c>
    </row>
    <row r="369" spans="4:36" x14ac:dyDescent="0.25">
      <c r="D369" s="54"/>
      <c r="E369" s="54"/>
      <c r="F369" s="54"/>
      <c r="G369" s="54"/>
      <c r="H369" s="54"/>
      <c r="I369" s="54"/>
      <c r="J369" s="2"/>
      <c r="AA369" s="264">
        <v>365</v>
      </c>
      <c r="AB369" s="16" t="str">
        <f t="shared" si="245"/>
        <v/>
      </c>
      <c r="AC369" s="16" t="str">
        <f t="shared" si="242"/>
        <v/>
      </c>
      <c r="AD369" s="16" t="str">
        <f t="shared" si="233"/>
        <v/>
      </c>
      <c r="AE369" s="16" t="str">
        <f t="shared" si="234"/>
        <v/>
      </c>
      <c r="AF369" s="16" t="str">
        <f t="shared" si="235"/>
        <v/>
      </c>
      <c r="AG369" s="16" t="str">
        <f t="shared" si="243"/>
        <v/>
      </c>
      <c r="AH369" s="16" t="str">
        <f t="shared" si="244"/>
        <v/>
      </c>
      <c r="AI369" s="29" t="str">
        <f t="shared" si="236"/>
        <v/>
      </c>
      <c r="AJ369" s="29" t="str">
        <f t="shared" si="237"/>
        <v/>
      </c>
    </row>
    <row r="370" spans="4:36" x14ac:dyDescent="0.25">
      <c r="D370" s="54"/>
      <c r="E370" s="54"/>
      <c r="F370" s="54"/>
      <c r="G370" s="54"/>
      <c r="H370" s="54"/>
      <c r="I370" s="54"/>
      <c r="J370" s="2"/>
      <c r="AA370" s="264">
        <v>366</v>
      </c>
      <c r="AB370" s="16" t="str">
        <f t="shared" si="245"/>
        <v/>
      </c>
      <c r="AC370" s="16" t="str">
        <f t="shared" si="242"/>
        <v/>
      </c>
      <c r="AD370" s="16" t="str">
        <f t="shared" si="233"/>
        <v/>
      </c>
      <c r="AE370" s="16" t="str">
        <f t="shared" si="234"/>
        <v/>
      </c>
      <c r="AF370" s="16" t="str">
        <f t="shared" si="235"/>
        <v/>
      </c>
      <c r="AG370" s="16" t="str">
        <f t="shared" si="243"/>
        <v/>
      </c>
      <c r="AH370" s="16" t="str">
        <f t="shared" si="244"/>
        <v/>
      </c>
      <c r="AI370" s="29" t="str">
        <f t="shared" si="236"/>
        <v/>
      </c>
      <c r="AJ370" s="29" t="str">
        <f t="shared" si="237"/>
        <v/>
      </c>
    </row>
    <row r="371" spans="4:36" x14ac:dyDescent="0.25">
      <c r="D371" s="54"/>
      <c r="E371" s="54"/>
      <c r="F371" s="54"/>
      <c r="G371" s="54"/>
      <c r="H371" s="54"/>
      <c r="I371" s="54"/>
      <c r="J371" s="2"/>
      <c r="AA371" s="264">
        <v>367</v>
      </c>
      <c r="AB371" s="16" t="str">
        <f t="shared" si="245"/>
        <v/>
      </c>
      <c r="AC371" s="16" t="str">
        <f t="shared" si="242"/>
        <v/>
      </c>
      <c r="AD371" s="16" t="str">
        <f t="shared" si="233"/>
        <v/>
      </c>
      <c r="AE371" s="16" t="str">
        <f t="shared" si="234"/>
        <v/>
      </c>
      <c r="AF371" s="16" t="str">
        <f t="shared" si="235"/>
        <v/>
      </c>
      <c r="AG371" s="16" t="str">
        <f t="shared" si="243"/>
        <v/>
      </c>
      <c r="AH371" s="16" t="str">
        <f t="shared" si="244"/>
        <v/>
      </c>
      <c r="AI371" s="29" t="str">
        <f t="shared" si="236"/>
        <v/>
      </c>
      <c r="AJ371" s="29" t="str">
        <f t="shared" si="237"/>
        <v/>
      </c>
    </row>
    <row r="372" spans="4:36" x14ac:dyDescent="0.25">
      <c r="D372" s="54"/>
      <c r="E372" s="54"/>
      <c r="F372" s="54"/>
      <c r="G372" s="54"/>
      <c r="H372" s="54"/>
      <c r="I372" s="54"/>
      <c r="J372" s="2"/>
      <c r="K372" s="2"/>
      <c r="L372" s="2"/>
      <c r="M372" s="2"/>
      <c r="N372" s="2"/>
      <c r="O372" s="2"/>
      <c r="P372" s="2"/>
      <c r="Q372" s="2"/>
      <c r="R372" s="2"/>
      <c r="S372" s="2"/>
      <c r="T372" s="2"/>
      <c r="U372" s="2"/>
      <c r="V372" s="2"/>
      <c r="W372" s="2"/>
      <c r="X372" s="2"/>
      <c r="Y372" s="2"/>
      <c r="Z372" s="2"/>
      <c r="AA372" s="264">
        <v>368</v>
      </c>
      <c r="AB372" s="16" t="str">
        <f t="shared" si="245"/>
        <v/>
      </c>
      <c r="AC372" s="16" t="str">
        <f t="shared" si="242"/>
        <v/>
      </c>
      <c r="AD372" s="16" t="str">
        <f t="shared" si="233"/>
        <v/>
      </c>
      <c r="AE372" s="16" t="str">
        <f t="shared" si="234"/>
        <v/>
      </c>
      <c r="AF372" s="16" t="str">
        <f t="shared" si="235"/>
        <v/>
      </c>
      <c r="AG372" s="16" t="str">
        <f t="shared" si="243"/>
        <v/>
      </c>
      <c r="AH372" s="16" t="str">
        <f t="shared" si="244"/>
        <v/>
      </c>
      <c r="AI372" s="29" t="str">
        <f t="shared" si="236"/>
        <v/>
      </c>
      <c r="AJ372" s="29" t="str">
        <f t="shared" si="237"/>
        <v/>
      </c>
    </row>
    <row r="373" spans="4:36" x14ac:dyDescent="0.25">
      <c r="D373" s="54"/>
      <c r="E373" s="54"/>
      <c r="F373" s="54"/>
      <c r="G373" s="54"/>
      <c r="H373" s="54"/>
      <c r="I373" s="54"/>
      <c r="J373" s="2"/>
      <c r="K373" s="2"/>
      <c r="L373" s="2"/>
      <c r="M373" s="2"/>
      <c r="N373" s="2"/>
      <c r="O373" s="2"/>
      <c r="P373" s="2"/>
      <c r="Q373" s="2"/>
      <c r="R373" s="2"/>
      <c r="S373" s="2"/>
      <c r="T373" s="2"/>
      <c r="U373" s="2"/>
      <c r="V373" s="2"/>
      <c r="W373" s="2"/>
      <c r="X373" s="2"/>
      <c r="Y373" s="2"/>
      <c r="Z373" s="2"/>
      <c r="AA373" s="264">
        <v>369</v>
      </c>
      <c r="AB373" s="16" t="str">
        <f t="shared" si="245"/>
        <v/>
      </c>
      <c r="AC373" s="16" t="str">
        <f t="shared" si="242"/>
        <v/>
      </c>
      <c r="AD373" s="16" t="str">
        <f t="shared" si="233"/>
        <v/>
      </c>
      <c r="AE373" s="16" t="str">
        <f t="shared" si="234"/>
        <v/>
      </c>
      <c r="AF373" s="16" t="str">
        <f t="shared" si="235"/>
        <v/>
      </c>
      <c r="AG373" s="16" t="str">
        <f t="shared" si="243"/>
        <v/>
      </c>
      <c r="AH373" s="16" t="str">
        <f t="shared" si="244"/>
        <v/>
      </c>
      <c r="AI373" s="29" t="str">
        <f t="shared" si="236"/>
        <v/>
      </c>
      <c r="AJ373" s="29" t="str">
        <f t="shared" si="237"/>
        <v/>
      </c>
    </row>
    <row r="374" spans="4:36" x14ac:dyDescent="0.25">
      <c r="D374" s="54"/>
      <c r="E374" s="54"/>
      <c r="F374" s="54"/>
      <c r="G374" s="54"/>
      <c r="H374" s="54"/>
      <c r="I374" s="54"/>
      <c r="J374" s="2"/>
      <c r="K374" s="2"/>
      <c r="L374" s="2"/>
      <c r="M374" s="2"/>
      <c r="N374" s="2"/>
      <c r="O374" s="2"/>
      <c r="P374" s="2"/>
      <c r="Q374" s="2"/>
      <c r="R374" s="2"/>
      <c r="S374" s="2"/>
      <c r="T374" s="2"/>
      <c r="U374" s="2"/>
      <c r="V374" s="2"/>
      <c r="W374" s="2"/>
      <c r="X374" s="2"/>
      <c r="Y374" s="2"/>
      <c r="Z374" s="2"/>
      <c r="AA374" s="264">
        <v>370</v>
      </c>
      <c r="AB374" s="16" t="str">
        <f t="shared" si="245"/>
        <v/>
      </c>
      <c r="AC374" s="16" t="str">
        <f t="shared" si="242"/>
        <v/>
      </c>
      <c r="AD374" s="16" t="str">
        <f t="shared" si="233"/>
        <v/>
      </c>
      <c r="AE374" s="16" t="str">
        <f t="shared" si="234"/>
        <v/>
      </c>
      <c r="AF374" s="16" t="str">
        <f t="shared" si="235"/>
        <v/>
      </c>
      <c r="AG374" s="16" t="str">
        <f t="shared" si="243"/>
        <v/>
      </c>
      <c r="AH374" s="16" t="str">
        <f t="shared" si="244"/>
        <v/>
      </c>
      <c r="AI374" s="29" t="str">
        <f t="shared" si="236"/>
        <v/>
      </c>
      <c r="AJ374" s="29" t="str">
        <f t="shared" si="237"/>
        <v/>
      </c>
    </row>
    <row r="375" spans="4:36" x14ac:dyDescent="0.25">
      <c r="D375" s="54"/>
      <c r="E375" s="54"/>
      <c r="F375" s="54"/>
      <c r="G375" s="54"/>
      <c r="H375" s="54"/>
      <c r="I375" s="54"/>
      <c r="J375" s="2"/>
      <c r="K375" s="2"/>
      <c r="L375" s="2"/>
      <c r="M375" s="2"/>
      <c r="N375" s="2"/>
      <c r="O375" s="2"/>
      <c r="P375" s="2"/>
      <c r="Q375" s="2"/>
      <c r="R375" s="2"/>
      <c r="S375" s="2"/>
      <c r="T375" s="2"/>
      <c r="U375" s="2"/>
      <c r="V375" s="2"/>
      <c r="W375" s="2"/>
      <c r="X375" s="2"/>
      <c r="Y375" s="2"/>
      <c r="Z375" s="2"/>
      <c r="AA375" s="264">
        <v>371</v>
      </c>
      <c r="AB375" s="16" t="str">
        <f t="shared" si="245"/>
        <v/>
      </c>
      <c r="AC375" s="16" t="str">
        <f t="shared" si="242"/>
        <v/>
      </c>
      <c r="AD375" s="16" t="str">
        <f t="shared" si="233"/>
        <v/>
      </c>
      <c r="AE375" s="16" t="str">
        <f t="shared" si="234"/>
        <v/>
      </c>
      <c r="AF375" s="16" t="str">
        <f t="shared" si="235"/>
        <v/>
      </c>
      <c r="AG375" s="16" t="str">
        <f t="shared" si="243"/>
        <v/>
      </c>
      <c r="AH375" s="16" t="str">
        <f t="shared" si="244"/>
        <v/>
      </c>
      <c r="AI375" s="29" t="str">
        <f t="shared" si="236"/>
        <v/>
      </c>
      <c r="AJ375" s="29" t="str">
        <f t="shared" si="237"/>
        <v/>
      </c>
    </row>
    <row r="376" spans="4:36" x14ac:dyDescent="0.25">
      <c r="D376" s="54"/>
      <c r="E376" s="54"/>
      <c r="F376" s="54"/>
      <c r="G376" s="54"/>
      <c r="H376" s="54"/>
      <c r="I376" s="54"/>
      <c r="J376" s="2"/>
      <c r="AA376" s="264">
        <v>372</v>
      </c>
      <c r="AB376" s="16" t="str">
        <f t="shared" si="245"/>
        <v/>
      </c>
      <c r="AC376" s="16" t="str">
        <f t="shared" si="242"/>
        <v/>
      </c>
      <c r="AD376" s="16" t="str">
        <f t="shared" si="233"/>
        <v/>
      </c>
      <c r="AE376" s="16" t="str">
        <f t="shared" si="234"/>
        <v/>
      </c>
      <c r="AF376" s="16" t="str">
        <f t="shared" si="235"/>
        <v/>
      </c>
      <c r="AG376" s="16" t="str">
        <f t="shared" si="243"/>
        <v/>
      </c>
      <c r="AH376" s="16" t="str">
        <f t="shared" si="244"/>
        <v/>
      </c>
      <c r="AI376" s="29" t="str">
        <f t="shared" si="236"/>
        <v/>
      </c>
      <c r="AJ376" s="29" t="str">
        <f t="shared" si="237"/>
        <v/>
      </c>
    </row>
    <row r="377" spans="4:36" x14ac:dyDescent="0.25">
      <c r="D377" s="54"/>
      <c r="E377" s="54"/>
      <c r="F377" s="54"/>
      <c r="G377" s="54"/>
      <c r="H377" s="54"/>
      <c r="I377" s="54"/>
      <c r="J377" s="2"/>
      <c r="AA377" s="264">
        <v>373</v>
      </c>
      <c r="AB377" s="16" t="str">
        <f t="shared" si="245"/>
        <v/>
      </c>
      <c r="AC377" s="16" t="str">
        <f t="shared" si="242"/>
        <v/>
      </c>
      <c r="AD377" s="16" t="str">
        <f t="shared" si="233"/>
        <v/>
      </c>
      <c r="AE377" s="16" t="str">
        <f t="shared" si="234"/>
        <v/>
      </c>
      <c r="AF377" s="16" t="str">
        <f t="shared" si="235"/>
        <v/>
      </c>
      <c r="AG377" s="16" t="str">
        <f t="shared" si="243"/>
        <v/>
      </c>
      <c r="AH377" s="16" t="str">
        <f t="shared" si="244"/>
        <v/>
      </c>
      <c r="AI377" s="29" t="str">
        <f t="shared" si="236"/>
        <v/>
      </c>
      <c r="AJ377" s="29" t="str">
        <f t="shared" si="237"/>
        <v/>
      </c>
    </row>
    <row r="378" spans="4:36" x14ac:dyDescent="0.25">
      <c r="D378" s="54"/>
      <c r="E378" s="54"/>
      <c r="F378" s="54"/>
      <c r="G378" s="54"/>
      <c r="H378" s="54"/>
      <c r="I378" s="54"/>
      <c r="J378" s="2"/>
      <c r="AA378" s="264">
        <v>374</v>
      </c>
      <c r="AB378" s="16" t="str">
        <f t="shared" si="245"/>
        <v/>
      </c>
      <c r="AC378" s="16" t="str">
        <f t="shared" si="242"/>
        <v/>
      </c>
      <c r="AD378" s="16" t="str">
        <f t="shared" si="233"/>
        <v/>
      </c>
      <c r="AE378" s="16" t="str">
        <f t="shared" si="234"/>
        <v/>
      </c>
      <c r="AF378" s="16" t="str">
        <f t="shared" si="235"/>
        <v/>
      </c>
      <c r="AG378" s="16" t="str">
        <f t="shared" si="243"/>
        <v/>
      </c>
      <c r="AH378" s="16" t="str">
        <f t="shared" si="244"/>
        <v/>
      </c>
      <c r="AI378" s="29" t="str">
        <f t="shared" si="236"/>
        <v/>
      </c>
      <c r="AJ378" s="29" t="str">
        <f t="shared" si="237"/>
        <v/>
      </c>
    </row>
    <row r="379" spans="4:36" x14ac:dyDescent="0.25">
      <c r="D379" s="54"/>
      <c r="E379" s="54"/>
      <c r="F379" s="54"/>
      <c r="G379" s="54"/>
      <c r="H379" s="54"/>
      <c r="I379" s="54"/>
      <c r="J379" s="2"/>
      <c r="AA379" s="264">
        <v>375</v>
      </c>
      <c r="AB379" s="16" t="str">
        <f t="shared" si="245"/>
        <v/>
      </c>
      <c r="AC379" s="16" t="str">
        <f t="shared" si="242"/>
        <v/>
      </c>
      <c r="AD379" s="16" t="str">
        <f t="shared" si="233"/>
        <v/>
      </c>
      <c r="AE379" s="16" t="str">
        <f t="shared" si="234"/>
        <v/>
      </c>
      <c r="AF379" s="16" t="str">
        <f t="shared" si="235"/>
        <v/>
      </c>
      <c r="AG379" s="16" t="str">
        <f t="shared" si="243"/>
        <v/>
      </c>
      <c r="AH379" s="16" t="str">
        <f t="shared" si="244"/>
        <v/>
      </c>
      <c r="AI379" s="29" t="str">
        <f t="shared" si="236"/>
        <v/>
      </c>
      <c r="AJ379" s="29" t="str">
        <f t="shared" si="237"/>
        <v/>
      </c>
    </row>
    <row r="380" spans="4:36" x14ac:dyDescent="0.25">
      <c r="D380" s="54"/>
      <c r="E380" s="54"/>
      <c r="F380" s="54"/>
      <c r="G380" s="54"/>
      <c r="H380" s="54"/>
      <c r="I380" s="54"/>
      <c r="J380" s="2"/>
      <c r="AA380" s="264">
        <v>376</v>
      </c>
      <c r="AB380" s="16" t="str">
        <f t="shared" si="245"/>
        <v/>
      </c>
      <c r="AC380" s="16" t="str">
        <f t="shared" si="242"/>
        <v/>
      </c>
      <c r="AD380" s="16" t="str">
        <f t="shared" si="233"/>
        <v/>
      </c>
      <c r="AE380" s="16" t="str">
        <f t="shared" si="234"/>
        <v/>
      </c>
      <c r="AF380" s="16" t="str">
        <f t="shared" si="235"/>
        <v/>
      </c>
      <c r="AG380" s="16" t="str">
        <f t="shared" si="243"/>
        <v/>
      </c>
      <c r="AH380" s="16" t="str">
        <f t="shared" si="244"/>
        <v/>
      </c>
      <c r="AI380" s="29" t="str">
        <f t="shared" si="236"/>
        <v/>
      </c>
      <c r="AJ380" s="29" t="str">
        <f t="shared" si="237"/>
        <v/>
      </c>
    </row>
    <row r="381" spans="4:36" x14ac:dyDescent="0.25">
      <c r="D381" s="54"/>
      <c r="E381" s="54"/>
      <c r="F381" s="54"/>
      <c r="G381" s="54"/>
      <c r="H381" s="54"/>
      <c r="I381" s="54"/>
      <c r="J381" s="2"/>
      <c r="AA381" s="264">
        <v>377</v>
      </c>
      <c r="AB381" s="16" t="str">
        <f t="shared" si="245"/>
        <v/>
      </c>
      <c r="AC381" s="16" t="str">
        <f t="shared" si="242"/>
        <v/>
      </c>
      <c r="AD381" s="16" t="str">
        <f t="shared" si="233"/>
        <v/>
      </c>
      <c r="AE381" s="16" t="str">
        <f t="shared" si="234"/>
        <v/>
      </c>
      <c r="AF381" s="16" t="str">
        <f t="shared" si="235"/>
        <v/>
      </c>
      <c r="AG381" s="16" t="str">
        <f t="shared" si="243"/>
        <v/>
      </c>
      <c r="AH381" s="16" t="str">
        <f t="shared" si="244"/>
        <v/>
      </c>
      <c r="AI381" s="29" t="str">
        <f t="shared" si="236"/>
        <v/>
      </c>
      <c r="AJ381" s="29" t="str">
        <f t="shared" si="237"/>
        <v/>
      </c>
    </row>
    <row r="382" spans="4:36" x14ac:dyDescent="0.25">
      <c r="D382" s="54"/>
      <c r="E382" s="54"/>
      <c r="F382" s="54"/>
      <c r="G382" s="54"/>
      <c r="H382" s="54"/>
      <c r="I382" s="54"/>
      <c r="J382" s="2"/>
      <c r="AA382" s="264">
        <v>378</v>
      </c>
      <c r="AB382" s="16" t="str">
        <f t="shared" si="245"/>
        <v/>
      </c>
      <c r="AC382" s="16" t="str">
        <f t="shared" si="242"/>
        <v/>
      </c>
      <c r="AD382" s="16" t="str">
        <f t="shared" si="233"/>
        <v/>
      </c>
      <c r="AE382" s="16" t="str">
        <f t="shared" si="234"/>
        <v/>
      </c>
      <c r="AF382" s="16" t="str">
        <f t="shared" si="235"/>
        <v/>
      </c>
      <c r="AG382" s="16" t="str">
        <f t="shared" si="243"/>
        <v/>
      </c>
      <c r="AH382" s="16" t="str">
        <f t="shared" si="244"/>
        <v/>
      </c>
      <c r="AI382" s="29" t="str">
        <f t="shared" si="236"/>
        <v/>
      </c>
      <c r="AJ382" s="29" t="str">
        <f t="shared" si="237"/>
        <v/>
      </c>
    </row>
    <row r="383" spans="4:36" x14ac:dyDescent="0.25">
      <c r="D383" s="54"/>
      <c r="E383" s="54"/>
      <c r="F383" s="54"/>
      <c r="G383" s="54"/>
      <c r="H383" s="54"/>
      <c r="I383" s="54"/>
      <c r="J383" s="2"/>
      <c r="AA383" s="264">
        <v>379</v>
      </c>
      <c r="AB383" s="16" t="str">
        <f t="shared" si="245"/>
        <v/>
      </c>
      <c r="AC383" s="16" t="str">
        <f t="shared" si="242"/>
        <v/>
      </c>
      <c r="AD383" s="16" t="str">
        <f t="shared" si="233"/>
        <v/>
      </c>
      <c r="AE383" s="16" t="str">
        <f t="shared" si="234"/>
        <v/>
      </c>
      <c r="AF383" s="16" t="str">
        <f t="shared" si="235"/>
        <v/>
      </c>
      <c r="AG383" s="16" t="str">
        <f t="shared" si="243"/>
        <v/>
      </c>
      <c r="AH383" s="16" t="str">
        <f t="shared" si="244"/>
        <v/>
      </c>
      <c r="AI383" s="29" t="str">
        <f t="shared" si="236"/>
        <v/>
      </c>
      <c r="AJ383" s="29" t="str">
        <f t="shared" si="237"/>
        <v/>
      </c>
    </row>
    <row r="384" spans="4:36" x14ac:dyDescent="0.25">
      <c r="D384" s="54"/>
      <c r="E384" s="54"/>
      <c r="F384" s="54"/>
      <c r="G384" s="54"/>
      <c r="H384" s="54"/>
      <c r="I384" s="54"/>
      <c r="J384" s="2"/>
      <c r="AA384" s="264">
        <v>380</v>
      </c>
      <c r="AB384" s="16" t="str">
        <f t="shared" si="245"/>
        <v/>
      </c>
      <c r="AC384" s="16" t="str">
        <f t="shared" si="242"/>
        <v/>
      </c>
      <c r="AD384" s="16" t="str">
        <f t="shared" si="233"/>
        <v/>
      </c>
      <c r="AE384" s="16" t="str">
        <f t="shared" si="234"/>
        <v/>
      </c>
      <c r="AF384" s="16" t="str">
        <f t="shared" si="235"/>
        <v/>
      </c>
      <c r="AG384" s="16" t="str">
        <f t="shared" si="243"/>
        <v/>
      </c>
      <c r="AH384" s="16" t="str">
        <f t="shared" si="244"/>
        <v/>
      </c>
      <c r="AI384" s="29" t="str">
        <f t="shared" si="236"/>
        <v/>
      </c>
      <c r="AJ384" s="29" t="str">
        <f t="shared" si="237"/>
        <v/>
      </c>
    </row>
    <row r="385" spans="1:36" x14ac:dyDescent="0.25">
      <c r="D385" s="54"/>
      <c r="E385" s="54"/>
      <c r="F385" s="54"/>
      <c r="G385" s="54"/>
      <c r="H385" s="54"/>
      <c r="I385" s="54"/>
      <c r="J385" s="2"/>
      <c r="AA385" s="264">
        <v>381</v>
      </c>
      <c r="AB385" s="16" t="str">
        <f t="shared" si="245"/>
        <v/>
      </c>
      <c r="AC385" s="16" t="str">
        <f t="shared" si="242"/>
        <v/>
      </c>
      <c r="AD385" s="16" t="str">
        <f t="shared" si="233"/>
        <v/>
      </c>
      <c r="AE385" s="16" t="str">
        <f t="shared" si="234"/>
        <v/>
      </c>
      <c r="AF385" s="16" t="str">
        <f t="shared" si="235"/>
        <v/>
      </c>
      <c r="AG385" s="16" t="str">
        <f t="shared" si="243"/>
        <v/>
      </c>
      <c r="AH385" s="16" t="str">
        <f t="shared" si="244"/>
        <v/>
      </c>
      <c r="AI385" s="29" t="str">
        <f t="shared" si="236"/>
        <v/>
      </c>
      <c r="AJ385" s="29" t="str">
        <f t="shared" si="237"/>
        <v/>
      </c>
    </row>
    <row r="386" spans="1:36" x14ac:dyDescent="0.25">
      <c r="D386" s="54"/>
      <c r="E386" s="54"/>
      <c r="F386" s="54"/>
      <c r="G386" s="54"/>
      <c r="H386" s="54"/>
      <c r="I386" s="54"/>
      <c r="J386" s="2"/>
      <c r="AA386" s="264">
        <v>382</v>
      </c>
      <c r="AB386" s="16" t="str">
        <f t="shared" si="245"/>
        <v/>
      </c>
      <c r="AC386" s="16" t="str">
        <f t="shared" si="242"/>
        <v/>
      </c>
      <c r="AD386" s="16" t="str">
        <f t="shared" si="233"/>
        <v/>
      </c>
      <c r="AE386" s="16" t="str">
        <f t="shared" si="234"/>
        <v/>
      </c>
      <c r="AF386" s="16" t="str">
        <f t="shared" si="235"/>
        <v/>
      </c>
      <c r="AG386" s="16" t="str">
        <f t="shared" si="243"/>
        <v/>
      </c>
      <c r="AH386" s="16" t="str">
        <f t="shared" si="244"/>
        <v/>
      </c>
      <c r="AI386" s="29" t="str">
        <f t="shared" si="236"/>
        <v/>
      </c>
      <c r="AJ386" s="29" t="str">
        <f t="shared" si="237"/>
        <v/>
      </c>
    </row>
    <row r="387" spans="1:36" x14ac:dyDescent="0.25">
      <c r="D387" s="54"/>
      <c r="E387" s="54"/>
      <c r="F387" s="54"/>
      <c r="G387" s="54"/>
      <c r="H387" s="54"/>
      <c r="I387" s="54"/>
      <c r="J387" s="2"/>
      <c r="AA387" s="264">
        <v>383</v>
      </c>
      <c r="AB387" s="16" t="str">
        <f t="shared" ref="AB387:AB404" si="246">IF($C$9&gt;=$AA387,$X45+0.000001-$AB$410,"")</f>
        <v/>
      </c>
      <c r="AC387" s="16" t="str">
        <f t="shared" ref="AC387:AC404" si="247">IF($C$9&gt;=$AA387,$W45+0.000001-$AB$409,"")</f>
        <v/>
      </c>
      <c r="AD387" s="16" t="str">
        <f t="shared" si="233"/>
        <v/>
      </c>
      <c r="AE387" s="16" t="str">
        <f t="shared" si="234"/>
        <v/>
      </c>
      <c r="AF387" s="16" t="str">
        <f t="shared" si="235"/>
        <v/>
      </c>
      <c r="AG387" s="16" t="str">
        <f t="shared" ref="AG387:AG404" si="248">IF($C$9&gt;=$AA387,$W45-$AB$409,"")</f>
        <v/>
      </c>
      <c r="AH387" s="16" t="str">
        <f t="shared" ref="AH387:AH404" si="249">IF($C$9&gt;=$AA387,$X45-$AB$410,"")</f>
        <v/>
      </c>
      <c r="AI387" s="29" t="str">
        <f t="shared" si="236"/>
        <v/>
      </c>
      <c r="AJ387" s="29" t="str">
        <f t="shared" si="237"/>
        <v/>
      </c>
    </row>
    <row r="388" spans="1:36" x14ac:dyDescent="0.25">
      <c r="D388" s="54"/>
      <c r="E388" s="54"/>
      <c r="F388" s="54"/>
      <c r="G388" s="54"/>
      <c r="H388" s="54"/>
      <c r="I388" s="54"/>
      <c r="J388" s="2"/>
      <c r="AA388" s="264">
        <v>384</v>
      </c>
      <c r="AB388" s="16" t="str">
        <f t="shared" si="246"/>
        <v/>
      </c>
      <c r="AC388" s="16" t="str">
        <f t="shared" si="247"/>
        <v/>
      </c>
      <c r="AD388" s="16" t="str">
        <f t="shared" si="233"/>
        <v/>
      </c>
      <c r="AE388" s="16" t="str">
        <f t="shared" si="234"/>
        <v/>
      </c>
      <c r="AF388" s="16" t="str">
        <f t="shared" si="235"/>
        <v/>
      </c>
      <c r="AG388" s="16" t="str">
        <f t="shared" si="248"/>
        <v/>
      </c>
      <c r="AH388" s="16" t="str">
        <f t="shared" si="249"/>
        <v/>
      </c>
      <c r="AI388" s="29" t="str">
        <f t="shared" si="236"/>
        <v/>
      </c>
      <c r="AJ388" s="29" t="str">
        <f t="shared" si="237"/>
        <v/>
      </c>
    </row>
    <row r="389" spans="1:36" x14ac:dyDescent="0.25">
      <c r="D389" s="54"/>
      <c r="E389" s="54"/>
      <c r="F389" s="54"/>
      <c r="G389" s="54"/>
      <c r="H389" s="54"/>
      <c r="I389" s="54"/>
      <c r="J389" s="2"/>
      <c r="AA389" s="264">
        <v>385</v>
      </c>
      <c r="AB389" s="16" t="str">
        <f t="shared" si="246"/>
        <v/>
      </c>
      <c r="AC389" s="16" t="str">
        <f t="shared" si="247"/>
        <v/>
      </c>
      <c r="AD389" s="16" t="str">
        <f t="shared" ref="AD389:AD404" si="250">IF($C$9&gt;=$AA389,$AB389^2,"")</f>
        <v/>
      </c>
      <c r="AE389" s="16" t="str">
        <f t="shared" ref="AE389:AE404" si="251">IF($C$9&gt;=$AA389,$AC389^2,"")</f>
        <v/>
      </c>
      <c r="AF389" s="16" t="str">
        <f t="shared" ref="AF389:AF404" si="252">IF($C$9&gt;=$AA389,$AB389*$AC389,"")</f>
        <v/>
      </c>
      <c r="AG389" s="16" t="str">
        <f t="shared" si="248"/>
        <v/>
      </c>
      <c r="AH389" s="16" t="str">
        <f t="shared" si="249"/>
        <v/>
      </c>
      <c r="AI389" s="29" t="str">
        <f t="shared" ref="AI389:AI404" si="253">IF($C$9&gt;=$AA389,(-$AF$418/$C$9+($AF$422*$AB$411--$AF$421*$AB$414)/($AB$411*$AB$412-$AB$414^2)*$AG389+(-$AF$421*$AB$412-$AF$422*$AB$414)/($AB$411*$AB$412-$AB$414^2)*$AH389),"")</f>
        <v/>
      </c>
      <c r="AJ389" s="29" t="str">
        <f t="shared" ref="AJ389:AJ404" si="254">IF($C$9&gt;=$AA389,((($AF$419/$C$9+$AF$423*-$AH389/$AB$413)^2+($AF$420/$C$9+$AF$423*$AG389/$AB$413)^2)^(1/2)),"")</f>
        <v/>
      </c>
    </row>
    <row r="390" spans="1:36" x14ac:dyDescent="0.25">
      <c r="D390" s="54"/>
      <c r="E390" s="54"/>
      <c r="F390" s="54"/>
      <c r="G390" s="54"/>
      <c r="H390" s="54"/>
      <c r="I390" s="54"/>
      <c r="J390" s="2"/>
      <c r="AA390" s="264">
        <v>386</v>
      </c>
      <c r="AB390" s="16" t="str">
        <f t="shared" si="246"/>
        <v/>
      </c>
      <c r="AC390" s="16" t="str">
        <f t="shared" si="247"/>
        <v/>
      </c>
      <c r="AD390" s="16" t="str">
        <f t="shared" si="250"/>
        <v/>
      </c>
      <c r="AE390" s="16" t="str">
        <f t="shared" si="251"/>
        <v/>
      </c>
      <c r="AF390" s="16" t="str">
        <f t="shared" si="252"/>
        <v/>
      </c>
      <c r="AG390" s="16" t="str">
        <f t="shared" si="248"/>
        <v/>
      </c>
      <c r="AH390" s="16" t="str">
        <f t="shared" si="249"/>
        <v/>
      </c>
      <c r="AI390" s="29" t="str">
        <f t="shared" si="253"/>
        <v/>
      </c>
      <c r="AJ390" s="29" t="str">
        <f t="shared" si="254"/>
        <v/>
      </c>
    </row>
    <row r="391" spans="1:36" x14ac:dyDescent="0.25">
      <c r="D391" s="54"/>
      <c r="E391" s="54"/>
      <c r="F391" s="54"/>
      <c r="G391" s="54"/>
      <c r="H391" s="54"/>
      <c r="I391" s="54"/>
      <c r="J391" s="2"/>
      <c r="AA391" s="264">
        <v>387</v>
      </c>
      <c r="AB391" s="16" t="str">
        <f t="shared" si="246"/>
        <v/>
      </c>
      <c r="AC391" s="16" t="str">
        <f t="shared" si="247"/>
        <v/>
      </c>
      <c r="AD391" s="16" t="str">
        <f t="shared" si="250"/>
        <v/>
      </c>
      <c r="AE391" s="16" t="str">
        <f t="shared" si="251"/>
        <v/>
      </c>
      <c r="AF391" s="16" t="str">
        <f t="shared" si="252"/>
        <v/>
      </c>
      <c r="AG391" s="16" t="str">
        <f t="shared" si="248"/>
        <v/>
      </c>
      <c r="AH391" s="16" t="str">
        <f t="shared" si="249"/>
        <v/>
      </c>
      <c r="AI391" s="29" t="str">
        <f t="shared" si="253"/>
        <v/>
      </c>
      <c r="AJ391" s="29" t="str">
        <f t="shared" si="254"/>
        <v/>
      </c>
    </row>
    <row r="392" spans="1:36" x14ac:dyDescent="0.25">
      <c r="D392" s="54"/>
      <c r="E392" s="54"/>
      <c r="F392" s="54"/>
      <c r="G392" s="54"/>
      <c r="H392" s="54"/>
      <c r="I392" s="54"/>
      <c r="J392" s="2"/>
      <c r="AA392" s="264">
        <v>388</v>
      </c>
      <c r="AB392" s="16" t="str">
        <f t="shared" si="246"/>
        <v/>
      </c>
      <c r="AC392" s="16" t="str">
        <f t="shared" si="247"/>
        <v/>
      </c>
      <c r="AD392" s="16" t="str">
        <f t="shared" si="250"/>
        <v/>
      </c>
      <c r="AE392" s="16" t="str">
        <f t="shared" si="251"/>
        <v/>
      </c>
      <c r="AF392" s="16" t="str">
        <f t="shared" si="252"/>
        <v/>
      </c>
      <c r="AG392" s="16" t="str">
        <f t="shared" si="248"/>
        <v/>
      </c>
      <c r="AH392" s="16" t="str">
        <f t="shared" si="249"/>
        <v/>
      </c>
      <c r="AI392" s="29" t="str">
        <f t="shared" si="253"/>
        <v/>
      </c>
      <c r="AJ392" s="29" t="str">
        <f t="shared" si="254"/>
        <v/>
      </c>
    </row>
    <row r="393" spans="1:36" x14ac:dyDescent="0.25">
      <c r="D393" s="54"/>
      <c r="E393" s="54"/>
      <c r="F393" s="54"/>
      <c r="G393" s="54"/>
      <c r="H393" s="54"/>
      <c r="I393" s="54"/>
      <c r="J393" s="2"/>
      <c r="AA393" s="264">
        <v>389</v>
      </c>
      <c r="AB393" s="16" t="str">
        <f t="shared" si="246"/>
        <v/>
      </c>
      <c r="AC393" s="16" t="str">
        <f t="shared" si="247"/>
        <v/>
      </c>
      <c r="AD393" s="16" t="str">
        <f t="shared" si="250"/>
        <v/>
      </c>
      <c r="AE393" s="16" t="str">
        <f t="shared" si="251"/>
        <v/>
      </c>
      <c r="AF393" s="16" t="str">
        <f t="shared" si="252"/>
        <v/>
      </c>
      <c r="AG393" s="16" t="str">
        <f t="shared" si="248"/>
        <v/>
      </c>
      <c r="AH393" s="16" t="str">
        <f t="shared" si="249"/>
        <v/>
      </c>
      <c r="AI393" s="29" t="str">
        <f t="shared" si="253"/>
        <v/>
      </c>
      <c r="AJ393" s="29" t="str">
        <f t="shared" si="254"/>
        <v/>
      </c>
    </row>
    <row r="394" spans="1:36" x14ac:dyDescent="0.25">
      <c r="D394" s="54"/>
      <c r="E394" s="54"/>
      <c r="F394" s="54"/>
      <c r="G394" s="54"/>
      <c r="H394" s="54"/>
      <c r="I394" s="54"/>
      <c r="J394" s="2"/>
      <c r="AA394" s="264">
        <v>390</v>
      </c>
      <c r="AB394" s="16" t="str">
        <f t="shared" si="246"/>
        <v/>
      </c>
      <c r="AC394" s="16" t="str">
        <f t="shared" si="247"/>
        <v/>
      </c>
      <c r="AD394" s="16" t="str">
        <f t="shared" si="250"/>
        <v/>
      </c>
      <c r="AE394" s="16" t="str">
        <f t="shared" si="251"/>
        <v/>
      </c>
      <c r="AF394" s="16" t="str">
        <f t="shared" si="252"/>
        <v/>
      </c>
      <c r="AG394" s="16" t="str">
        <f t="shared" si="248"/>
        <v/>
      </c>
      <c r="AH394" s="16" t="str">
        <f t="shared" si="249"/>
        <v/>
      </c>
      <c r="AI394" s="29" t="str">
        <f t="shared" si="253"/>
        <v/>
      </c>
      <c r="AJ394" s="29" t="str">
        <f t="shared" si="254"/>
        <v/>
      </c>
    </row>
    <row r="395" spans="1:36" x14ac:dyDescent="0.25">
      <c r="D395" s="54"/>
      <c r="E395" s="54"/>
      <c r="F395" s="54"/>
      <c r="G395" s="54"/>
      <c r="H395" s="54"/>
      <c r="I395" s="54"/>
      <c r="J395" s="2"/>
      <c r="AA395" s="264">
        <v>391</v>
      </c>
      <c r="AB395" s="16" t="str">
        <f t="shared" si="246"/>
        <v/>
      </c>
      <c r="AC395" s="16" t="str">
        <f t="shared" si="247"/>
        <v/>
      </c>
      <c r="AD395" s="16" t="str">
        <f t="shared" si="250"/>
        <v/>
      </c>
      <c r="AE395" s="16" t="str">
        <f t="shared" si="251"/>
        <v/>
      </c>
      <c r="AF395" s="16" t="str">
        <f t="shared" si="252"/>
        <v/>
      </c>
      <c r="AG395" s="16" t="str">
        <f t="shared" si="248"/>
        <v/>
      </c>
      <c r="AH395" s="16" t="str">
        <f t="shared" si="249"/>
        <v/>
      </c>
      <c r="AI395" s="29" t="str">
        <f t="shared" si="253"/>
        <v/>
      </c>
      <c r="AJ395" s="29" t="str">
        <f t="shared" si="254"/>
        <v/>
      </c>
    </row>
    <row r="396" spans="1:36" x14ac:dyDescent="0.25">
      <c r="D396" s="54"/>
      <c r="E396" s="54"/>
      <c r="F396" s="54"/>
      <c r="G396" s="54"/>
      <c r="H396" s="54"/>
      <c r="I396" s="54"/>
      <c r="J396" s="2"/>
      <c r="AA396" s="264">
        <v>392</v>
      </c>
      <c r="AB396" s="16" t="str">
        <f t="shared" si="246"/>
        <v/>
      </c>
      <c r="AC396" s="16" t="str">
        <f t="shared" si="247"/>
        <v/>
      </c>
      <c r="AD396" s="16" t="str">
        <f t="shared" si="250"/>
        <v/>
      </c>
      <c r="AE396" s="16" t="str">
        <f t="shared" si="251"/>
        <v/>
      </c>
      <c r="AF396" s="16" t="str">
        <f t="shared" si="252"/>
        <v/>
      </c>
      <c r="AG396" s="16" t="str">
        <f t="shared" si="248"/>
        <v/>
      </c>
      <c r="AH396" s="16" t="str">
        <f t="shared" si="249"/>
        <v/>
      </c>
      <c r="AI396" s="29" t="str">
        <f t="shared" si="253"/>
        <v/>
      </c>
      <c r="AJ396" s="29" t="str">
        <f t="shared" si="254"/>
        <v/>
      </c>
    </row>
    <row r="397" spans="1:36" x14ac:dyDescent="0.25">
      <c r="D397" s="54"/>
      <c r="E397" s="54"/>
      <c r="F397" s="54"/>
      <c r="G397" s="54"/>
      <c r="H397" s="54"/>
      <c r="I397" s="54"/>
      <c r="J397" s="2"/>
      <c r="AA397" s="264">
        <v>393</v>
      </c>
      <c r="AB397" s="16" t="str">
        <f t="shared" si="246"/>
        <v/>
      </c>
      <c r="AC397" s="16" t="str">
        <f t="shared" si="247"/>
        <v/>
      </c>
      <c r="AD397" s="16" t="str">
        <f t="shared" si="250"/>
        <v/>
      </c>
      <c r="AE397" s="16" t="str">
        <f t="shared" si="251"/>
        <v/>
      </c>
      <c r="AF397" s="16" t="str">
        <f t="shared" si="252"/>
        <v/>
      </c>
      <c r="AG397" s="16" t="str">
        <f t="shared" si="248"/>
        <v/>
      </c>
      <c r="AH397" s="16" t="str">
        <f t="shared" si="249"/>
        <v/>
      </c>
      <c r="AI397" s="29" t="str">
        <f t="shared" si="253"/>
        <v/>
      </c>
      <c r="AJ397" s="29" t="str">
        <f t="shared" si="254"/>
        <v/>
      </c>
    </row>
    <row r="398" spans="1:36" x14ac:dyDescent="0.25">
      <c r="A398" s="54"/>
      <c r="B398" s="54"/>
      <c r="C398" s="54"/>
      <c r="D398" s="54"/>
      <c r="E398" s="54"/>
      <c r="F398" s="54"/>
      <c r="G398" s="54"/>
      <c r="H398" s="54"/>
      <c r="I398" s="54"/>
      <c r="J398" s="2"/>
      <c r="AA398" s="264">
        <v>394</v>
      </c>
      <c r="AB398" s="16" t="str">
        <f t="shared" si="246"/>
        <v/>
      </c>
      <c r="AC398" s="16" t="str">
        <f t="shared" si="247"/>
        <v/>
      </c>
      <c r="AD398" s="16" t="str">
        <f t="shared" si="250"/>
        <v/>
      </c>
      <c r="AE398" s="16" t="str">
        <f t="shared" si="251"/>
        <v/>
      </c>
      <c r="AF398" s="16" t="str">
        <f t="shared" si="252"/>
        <v/>
      </c>
      <c r="AG398" s="16" t="str">
        <f t="shared" si="248"/>
        <v/>
      </c>
      <c r="AH398" s="16" t="str">
        <f t="shared" si="249"/>
        <v/>
      </c>
      <c r="AI398" s="29" t="str">
        <f t="shared" si="253"/>
        <v/>
      </c>
      <c r="AJ398" s="29" t="str">
        <f t="shared" si="254"/>
        <v/>
      </c>
    </row>
    <row r="399" spans="1:36" x14ac:dyDescent="0.25">
      <c r="A399" s="54"/>
      <c r="E399" s="54"/>
      <c r="F399" s="54"/>
      <c r="G399" s="54"/>
      <c r="H399" s="54"/>
      <c r="I399" s="54"/>
      <c r="J399" s="2"/>
      <c r="AA399" s="264">
        <v>395</v>
      </c>
      <c r="AB399" s="16" t="str">
        <f t="shared" si="246"/>
        <v/>
      </c>
      <c r="AC399" s="16" t="str">
        <f t="shared" si="247"/>
        <v/>
      </c>
      <c r="AD399" s="16" t="str">
        <f t="shared" si="250"/>
        <v/>
      </c>
      <c r="AE399" s="16" t="str">
        <f t="shared" si="251"/>
        <v/>
      </c>
      <c r="AF399" s="16" t="str">
        <f t="shared" si="252"/>
        <v/>
      </c>
      <c r="AG399" s="16" t="str">
        <f t="shared" si="248"/>
        <v/>
      </c>
      <c r="AH399" s="16" t="str">
        <f t="shared" si="249"/>
        <v/>
      </c>
      <c r="AI399" s="29" t="str">
        <f t="shared" si="253"/>
        <v/>
      </c>
      <c r="AJ399" s="29" t="str">
        <f t="shared" si="254"/>
        <v/>
      </c>
    </row>
    <row r="400" spans="1:36" x14ac:dyDescent="0.25">
      <c r="A400" s="54"/>
      <c r="E400" s="54"/>
      <c r="F400" s="54"/>
      <c r="G400" s="54"/>
      <c r="H400" s="54"/>
      <c r="I400" s="54"/>
      <c r="J400" s="2"/>
      <c r="AA400" s="264">
        <v>396</v>
      </c>
      <c r="AB400" s="16" t="str">
        <f t="shared" si="246"/>
        <v/>
      </c>
      <c r="AC400" s="16" t="str">
        <f t="shared" si="247"/>
        <v/>
      </c>
      <c r="AD400" s="16" t="str">
        <f t="shared" si="250"/>
        <v/>
      </c>
      <c r="AE400" s="16" t="str">
        <f t="shared" si="251"/>
        <v/>
      </c>
      <c r="AF400" s="16" t="str">
        <f t="shared" si="252"/>
        <v/>
      </c>
      <c r="AG400" s="16" t="str">
        <f t="shared" si="248"/>
        <v/>
      </c>
      <c r="AH400" s="16" t="str">
        <f t="shared" si="249"/>
        <v/>
      </c>
      <c r="AI400" s="29" t="str">
        <f t="shared" si="253"/>
        <v/>
      </c>
      <c r="AJ400" s="29" t="str">
        <f t="shared" si="254"/>
        <v/>
      </c>
    </row>
    <row r="401" spans="1:56" x14ac:dyDescent="0.25">
      <c r="A401" s="54"/>
      <c r="E401" s="54"/>
      <c r="F401" s="54"/>
      <c r="G401" s="54"/>
      <c r="H401" s="54"/>
      <c r="I401" s="54"/>
      <c r="J401" s="2"/>
      <c r="AA401" s="264">
        <v>397</v>
      </c>
      <c r="AB401" s="16" t="str">
        <f t="shared" si="246"/>
        <v/>
      </c>
      <c r="AC401" s="16" t="str">
        <f t="shared" si="247"/>
        <v/>
      </c>
      <c r="AD401" s="16" t="str">
        <f t="shared" si="250"/>
        <v/>
      </c>
      <c r="AE401" s="16" t="str">
        <f t="shared" si="251"/>
        <v/>
      </c>
      <c r="AF401" s="16" t="str">
        <f t="shared" si="252"/>
        <v/>
      </c>
      <c r="AG401" s="16" t="str">
        <f t="shared" si="248"/>
        <v/>
      </c>
      <c r="AH401" s="16" t="str">
        <f t="shared" si="249"/>
        <v/>
      </c>
      <c r="AI401" s="29" t="str">
        <f t="shared" si="253"/>
        <v/>
      </c>
      <c r="AJ401" s="29" t="str">
        <f t="shared" si="254"/>
        <v/>
      </c>
    </row>
    <row r="402" spans="1:56" x14ac:dyDescent="0.25">
      <c r="A402" s="54"/>
      <c r="E402" s="54"/>
      <c r="F402" s="54"/>
      <c r="G402" s="54"/>
      <c r="H402" s="54"/>
      <c r="I402" s="54"/>
      <c r="J402" s="2"/>
      <c r="AA402" s="264">
        <v>398</v>
      </c>
      <c r="AB402" s="16" t="str">
        <f t="shared" si="246"/>
        <v/>
      </c>
      <c r="AC402" s="16" t="str">
        <f t="shared" si="247"/>
        <v/>
      </c>
      <c r="AD402" s="16" t="str">
        <f t="shared" si="250"/>
        <v/>
      </c>
      <c r="AE402" s="16" t="str">
        <f t="shared" si="251"/>
        <v/>
      </c>
      <c r="AF402" s="16" t="str">
        <f t="shared" si="252"/>
        <v/>
      </c>
      <c r="AG402" s="16" t="str">
        <f t="shared" si="248"/>
        <v/>
      </c>
      <c r="AH402" s="16" t="str">
        <f t="shared" si="249"/>
        <v/>
      </c>
      <c r="AI402" s="29" t="str">
        <f t="shared" si="253"/>
        <v/>
      </c>
      <c r="AJ402" s="29" t="str">
        <f t="shared" si="254"/>
        <v/>
      </c>
    </row>
    <row r="403" spans="1:56" x14ac:dyDescent="0.25">
      <c r="A403" s="54"/>
      <c r="B403" s="54"/>
      <c r="C403" s="54"/>
      <c r="D403" s="54"/>
      <c r="E403" s="54"/>
      <c r="F403" s="54"/>
      <c r="G403" s="54"/>
      <c r="H403" s="54"/>
      <c r="I403" s="54"/>
      <c r="J403" s="2"/>
      <c r="AA403" s="264">
        <v>399</v>
      </c>
      <c r="AB403" s="16" t="str">
        <f t="shared" si="246"/>
        <v/>
      </c>
      <c r="AC403" s="16" t="str">
        <f t="shared" si="247"/>
        <v/>
      </c>
      <c r="AD403" s="16" t="str">
        <f t="shared" si="250"/>
        <v/>
      </c>
      <c r="AE403" s="16" t="str">
        <f t="shared" si="251"/>
        <v/>
      </c>
      <c r="AF403" s="16" t="str">
        <f t="shared" si="252"/>
        <v/>
      </c>
      <c r="AG403" s="16" t="str">
        <f t="shared" si="248"/>
        <v/>
      </c>
      <c r="AH403" s="16" t="str">
        <f t="shared" si="249"/>
        <v/>
      </c>
      <c r="AI403" s="29" t="str">
        <f t="shared" si="253"/>
        <v/>
      </c>
      <c r="AJ403" s="29" t="str">
        <f t="shared" si="254"/>
        <v/>
      </c>
    </row>
    <row r="404" spans="1:56" x14ac:dyDescent="0.25">
      <c r="A404" s="54"/>
      <c r="J404" s="2"/>
      <c r="AA404" s="264">
        <v>400</v>
      </c>
      <c r="AB404" s="16" t="str">
        <f t="shared" si="246"/>
        <v/>
      </c>
      <c r="AC404" s="16" t="str">
        <f t="shared" si="247"/>
        <v/>
      </c>
      <c r="AD404" s="16" t="str">
        <f t="shared" si="250"/>
        <v/>
      </c>
      <c r="AE404" s="16" t="str">
        <f t="shared" si="251"/>
        <v/>
      </c>
      <c r="AF404" s="16" t="str">
        <f t="shared" si="252"/>
        <v/>
      </c>
      <c r="AG404" s="16" t="str">
        <f t="shared" si="248"/>
        <v/>
      </c>
      <c r="AH404" s="16" t="str">
        <f t="shared" si="249"/>
        <v/>
      </c>
      <c r="AI404" s="29" t="str">
        <f t="shared" si="253"/>
        <v/>
      </c>
      <c r="AJ404" s="29" t="str">
        <f t="shared" si="254"/>
        <v/>
      </c>
    </row>
    <row r="405" spans="1:56" x14ac:dyDescent="0.25">
      <c r="J405" s="2"/>
      <c r="AA405" s="264"/>
    </row>
    <row r="406" spans="1:56" x14ac:dyDescent="0.25">
      <c r="J406" s="2"/>
      <c r="AA406" s="7" t="s">
        <v>32</v>
      </c>
      <c r="AB406" s="5"/>
      <c r="AC406" s="5"/>
      <c r="AD406" s="3"/>
      <c r="AE406" s="7" t="s">
        <v>7</v>
      </c>
      <c r="AF406" s="2"/>
      <c r="AG406" s="2"/>
      <c r="AH406" s="2"/>
      <c r="AI406" s="2"/>
      <c r="AJ406" s="278"/>
      <c r="AK406" s="2"/>
      <c r="AL406" s="2"/>
      <c r="AM406" s="2"/>
      <c r="AN406" s="2"/>
      <c r="AO406" s="2"/>
      <c r="AP406" s="2"/>
      <c r="AQ406" s="2"/>
      <c r="AR406" s="2"/>
      <c r="AS406" s="2"/>
      <c r="AT406" s="2"/>
      <c r="AU406" s="2"/>
      <c r="AV406" s="2"/>
      <c r="AW406" s="2"/>
      <c r="AX406" s="2"/>
      <c r="AY406" s="2"/>
      <c r="AZ406" s="2"/>
      <c r="BA406" s="2"/>
      <c r="BB406" s="2"/>
      <c r="BC406" s="2"/>
    </row>
    <row r="407" spans="1:56" x14ac:dyDescent="0.25">
      <c r="J407" s="2"/>
      <c r="AA407" s="11" t="s">
        <v>85</v>
      </c>
      <c r="AB407" s="4">
        <f>SUM($B$13:$B$62,$E$13:$E$62,$H$13:$H$62,$K$13:$K$62,$N$13:$N$62,$Q$13:$Q$62,$T$13:$T$62,$W$13:$W$62)</f>
        <v>180</v>
      </c>
      <c r="AC407" s="2"/>
      <c r="AD407" s="2"/>
      <c r="AE407" s="5"/>
      <c r="AF407" s="23" t="s">
        <v>8</v>
      </c>
      <c r="AG407" s="23" t="s">
        <v>9</v>
      </c>
      <c r="AH407" s="23" t="s">
        <v>10</v>
      </c>
      <c r="AI407" s="23" t="s">
        <v>11</v>
      </c>
      <c r="AJ407" s="23" t="s">
        <v>45</v>
      </c>
      <c r="AK407" s="23" t="s">
        <v>46</v>
      </c>
      <c r="AL407" s="23" t="s">
        <v>47</v>
      </c>
      <c r="AM407" s="23" t="s">
        <v>48</v>
      </c>
      <c r="AN407" s="23" t="s">
        <v>243</v>
      </c>
      <c r="AO407" s="23" t="s">
        <v>244</v>
      </c>
      <c r="AP407" s="23" t="s">
        <v>245</v>
      </c>
      <c r="AQ407" s="23" t="s">
        <v>246</v>
      </c>
      <c r="AR407" s="23" t="s">
        <v>247</v>
      </c>
      <c r="AS407" s="23" t="s">
        <v>248</v>
      </c>
      <c r="AT407" s="23" t="s">
        <v>249</v>
      </c>
      <c r="AU407" s="23" t="s">
        <v>250</v>
      </c>
      <c r="AV407" s="23" t="s">
        <v>350</v>
      </c>
      <c r="AW407" s="23" t="s">
        <v>351</v>
      </c>
      <c r="AX407" s="23" t="s">
        <v>352</v>
      </c>
      <c r="AY407" s="23" t="s">
        <v>353</v>
      </c>
      <c r="AZ407" s="23" t="s">
        <v>354</v>
      </c>
      <c r="BA407" s="23" t="s">
        <v>355</v>
      </c>
      <c r="BB407" s="23" t="s">
        <v>356</v>
      </c>
      <c r="BC407" s="23"/>
    </row>
    <row r="408" spans="1:56" x14ac:dyDescent="0.25">
      <c r="Z408" s="2"/>
      <c r="AA408" s="11" t="s">
        <v>86</v>
      </c>
      <c r="AB408" s="4">
        <f>SUM($C$13:$C$62,$F$13:$F$62,$I$13:$I$62,$L$13:$L$62,$O$13:$O$62,$R$13:$R$62,$U$13:$U$62,$X$13:$X$62)</f>
        <v>540</v>
      </c>
      <c r="AC408" s="2"/>
      <c r="AD408" s="2"/>
      <c r="AE408" s="4" t="s">
        <v>88</v>
      </c>
      <c r="AF408" s="3">
        <f>IF($B$64&gt;=1,$B$67-$AB$409,"")</f>
        <v>0</v>
      </c>
      <c r="AG408" s="3">
        <f>IF($B$64&gt;=2,$C$67-$AB$409,"")</f>
        <v>0</v>
      </c>
      <c r="AH408" s="3" t="str">
        <f>IF($B$64&gt;=3,$D$67-$AB$409,"")</f>
        <v/>
      </c>
      <c r="AI408" s="3" t="str">
        <f>IF($B$64&gt;=4,$E$67-$AB$409,"")</f>
        <v/>
      </c>
      <c r="AJ408" s="3" t="str">
        <f>IF($B$64&gt;=5,$F$67-$AB$409,"")</f>
        <v/>
      </c>
      <c r="AK408" s="3" t="str">
        <f>IF($B$64&gt;=6,$G$67-$AB$409,"")</f>
        <v/>
      </c>
      <c r="AL408" s="3" t="str">
        <f>IF($B$64&gt;=7,$H$67-$AB$409,"")</f>
        <v/>
      </c>
      <c r="AM408" s="3" t="str">
        <f>IF($B$64&gt;=8,$I$67-$AB$409,"")</f>
        <v/>
      </c>
      <c r="AN408" s="3" t="str">
        <f>IF($B$64&gt;=9,$J$67-$AB$409,"")</f>
        <v/>
      </c>
      <c r="AO408" s="3" t="str">
        <f>IF($B$64&gt;=10,$K$67-$AB$409,"")</f>
        <v/>
      </c>
      <c r="AP408" s="3" t="str">
        <f>IF($B$64&gt;=11,$L$67-$AB$409,"")</f>
        <v/>
      </c>
      <c r="AQ408" s="3" t="str">
        <f>IF($B$64&gt;=12,$M$67-$AB$409,"")</f>
        <v/>
      </c>
      <c r="AR408" s="3" t="str">
        <f>IF($B$64&gt;=13,$N$67-$AB$409,"")</f>
        <v/>
      </c>
      <c r="AS408" s="3" t="str">
        <f>IF($B$64&gt;=14,$O$67-$AB$409,"")</f>
        <v/>
      </c>
      <c r="AT408" s="3" t="str">
        <f>IF($B$64&gt;=15,$P$67-$AB$409,"")</f>
        <v/>
      </c>
      <c r="AU408" s="3" t="str">
        <f>IF($B$64&gt;=16,$Q$67-$AB$409,"")</f>
        <v/>
      </c>
      <c r="AV408" s="3" t="str">
        <f>IF($B$64&gt;=17,$R$67-$AB$409,"")</f>
        <v/>
      </c>
      <c r="AW408" s="3" t="str">
        <f>IF($B$64&gt;=18,$S$67-$AB$409,"")</f>
        <v/>
      </c>
      <c r="AX408" s="3" t="str">
        <f>IF($B$64&gt;=19,$T$67-$AB$409,"")</f>
        <v/>
      </c>
      <c r="AY408" s="3" t="str">
        <f>IF($B$64&gt;=20,$U$67-$AB$409,"")</f>
        <v/>
      </c>
      <c r="AZ408" s="3" t="str">
        <f>IF($B$64&gt;=21,$V$67-$AB$409,"")</f>
        <v/>
      </c>
      <c r="BA408" s="3" t="str">
        <f>IF($B$64&gt;=22,$W$67-$AB$409,"")</f>
        <v/>
      </c>
      <c r="BB408" s="3" t="str">
        <f>IF($B$64=23,$X$67-$AB$409,"")</f>
        <v/>
      </c>
      <c r="BC408" s="3"/>
    </row>
    <row r="409" spans="1:56" x14ac:dyDescent="0.25">
      <c r="Z409" s="2"/>
      <c r="AA409" s="19" t="s">
        <v>5</v>
      </c>
      <c r="AB409" s="16">
        <f>$AB$407/$C$9</f>
        <v>4.5</v>
      </c>
      <c r="AC409" s="2"/>
      <c r="AD409" s="2"/>
      <c r="AE409" s="4" t="s">
        <v>87</v>
      </c>
      <c r="AF409" s="3">
        <f>IF($B$64&gt;=1,$B$68-$AB$410,"")</f>
        <v>-4.5</v>
      </c>
      <c r="AG409" s="3">
        <f>IF($B$64&gt;=2,$C$68-$AB$410,"")</f>
        <v>4.5</v>
      </c>
      <c r="AH409" s="3" t="str">
        <f>IF($B$64&gt;=3,$D$68-$AB$410,"")</f>
        <v/>
      </c>
      <c r="AI409" s="3" t="str">
        <f>IF($B$64&gt;=4,$E$68-$AB$410,"")</f>
        <v/>
      </c>
      <c r="AJ409" s="3" t="str">
        <f>IF($B$64&gt;=5,$F$68-$AB$410,"")</f>
        <v/>
      </c>
      <c r="AK409" s="3" t="str">
        <f>IF($B$64&gt;=6,$G$68-$AB$410,"")</f>
        <v/>
      </c>
      <c r="AL409" s="3" t="str">
        <f>IF($B$64&gt;=7,$H$68-$AB$410,"")</f>
        <v/>
      </c>
      <c r="AM409" s="3" t="str">
        <f>IF($B$64&gt;=8,$I$68-$AB$410,"")</f>
        <v/>
      </c>
      <c r="AN409" s="3" t="str">
        <f>IF($B$64&gt;=9,$J$68-$AB$410,"")</f>
        <v/>
      </c>
      <c r="AO409" s="3" t="str">
        <f>IF($B$64&gt;=10,$K$68-$AB$410,"")</f>
        <v/>
      </c>
      <c r="AP409" s="3" t="str">
        <f>IF($B$64&gt;=11,$L$68-$AB$410,"")</f>
        <v/>
      </c>
      <c r="AQ409" s="3" t="str">
        <f>IF($B$64&gt;=12,$M$68-$AB$410,"")</f>
        <v/>
      </c>
      <c r="AR409" s="3" t="str">
        <f>IF($B$64&gt;=13,$N$68-$AB$410,"")</f>
        <v/>
      </c>
      <c r="AS409" s="3" t="str">
        <f>IF($B$64&gt;=14,$O$68-$AB$410,"")</f>
        <v/>
      </c>
      <c r="AT409" s="3" t="str">
        <f>IF($B$64&gt;=15,$P$68-$AB$410,"")</f>
        <v/>
      </c>
      <c r="AU409" s="3" t="str">
        <f>IF($B$64&gt;=16,$Q$68-$AB$410,"")</f>
        <v/>
      </c>
      <c r="AV409" s="3" t="str">
        <f>IF($B$64&gt;=17,$R$68-$AB$410,"")</f>
        <v/>
      </c>
      <c r="AW409" s="3" t="str">
        <f>IF($B$64&gt;=18,$S$68-$AB$410,"")</f>
        <v/>
      </c>
      <c r="AX409" s="3" t="str">
        <f>IF($B$64&gt;=19,$T$68-$AB$410,"")</f>
        <v/>
      </c>
      <c r="AY409" s="3" t="str">
        <f>IF($B$64&gt;=20,$U$68-$AB$410,"")</f>
        <v/>
      </c>
      <c r="AZ409" s="3" t="str">
        <f>IF($B$64&gt;=21,$V$68-$AB$410,"")</f>
        <v/>
      </c>
      <c r="BA409" s="3" t="str">
        <f>IF($B$64&gt;=22,$W$68-$AB$410,"")</f>
        <v/>
      </c>
      <c r="BB409" s="3" t="str">
        <f>IF($B$64=23,$X$68-$AB$410,"")</f>
        <v/>
      </c>
      <c r="BC409" s="3"/>
      <c r="BD409" s="23"/>
    </row>
    <row r="410" spans="1:56" x14ac:dyDescent="0.25">
      <c r="Z410" s="2"/>
      <c r="AA410" s="19" t="s">
        <v>6</v>
      </c>
      <c r="AB410" s="16">
        <f>$AB$408/$C$9</f>
        <v>13.5</v>
      </c>
      <c r="AC410" s="2"/>
      <c r="AD410" s="2"/>
      <c r="AE410" s="23" t="s">
        <v>12</v>
      </c>
      <c r="AF410" s="3">
        <f>IF($B$64&gt;=1,$B$70*$AF$409,"")</f>
        <v>6750</v>
      </c>
      <c r="AG410" s="3">
        <f>IF($B$64&gt;=2,$C$70*$AG$409,"")</f>
        <v>-6750</v>
      </c>
      <c r="AH410" s="3" t="str">
        <f>IF($B$64&gt;=3,$D$70*$AH$409,"")</f>
        <v/>
      </c>
      <c r="AI410" s="3" t="str">
        <f>IF($B$64&gt;=4,$E$70*$AI$409,"")</f>
        <v/>
      </c>
      <c r="AJ410" s="3" t="str">
        <f>IF($B$64&gt;=5,$F$70*$AJ$409,"")</f>
        <v/>
      </c>
      <c r="AK410" s="3" t="str">
        <f>IF($B$64&gt;=6,$G$70*$AK$409,"")</f>
        <v/>
      </c>
      <c r="AL410" s="3" t="str">
        <f>IF($B$64&gt;=7,$H$70*$AL$409,"")</f>
        <v/>
      </c>
      <c r="AM410" s="3" t="str">
        <f>IF($B$64&gt;=8,$I$70*$AM$409,"")</f>
        <v/>
      </c>
      <c r="AN410" s="3" t="str">
        <f>IF($B$64&gt;=9,$J$70*$AN$409,"")</f>
        <v/>
      </c>
      <c r="AO410" s="3" t="str">
        <f>IF($B$64&gt;=10,$K$70*$AO$409,"")</f>
        <v/>
      </c>
      <c r="AP410" s="3" t="str">
        <f>IF($B$64&gt;=11,$L$70*$AP$409,"")</f>
        <v/>
      </c>
      <c r="AQ410" s="3" t="str">
        <f>IF($B$64&gt;=12,$M$70*$AQ$409,"")</f>
        <v/>
      </c>
      <c r="AR410" s="3" t="str">
        <f>IF($B$64&gt;=13,$N$70*$AR$409,"")</f>
        <v/>
      </c>
      <c r="AS410" s="3" t="str">
        <f>IF($B$64&gt;=14,$O$70*$AS$409,"")</f>
        <v/>
      </c>
      <c r="AT410" s="3" t="str">
        <f>IF($B$64&gt;=15,$P$70*$AT$409,"")</f>
        <v/>
      </c>
      <c r="AU410" s="3" t="str">
        <f>IF($B$64&gt;=16,$Q$70*$AU$409,"")</f>
        <v/>
      </c>
      <c r="AV410" s="3" t="str">
        <f>IF($B$64&gt;=17,$R$70*$AV$409,"")</f>
        <v/>
      </c>
      <c r="AW410" s="3" t="str">
        <f>IF($B$64&gt;=18,$S$70*$AW$409,"")</f>
        <v/>
      </c>
      <c r="AX410" s="3" t="str">
        <f>IF($B$64&gt;=19,$T$70*$AX$409,"")</f>
        <v/>
      </c>
      <c r="AY410" s="3" t="str">
        <f>IF($B$64&gt;=20,$U$70*$AY$409,"")</f>
        <v/>
      </c>
      <c r="AZ410" s="3" t="str">
        <f>IF($B$64&gt;=21,$V$70*$AZ$409,"")</f>
        <v/>
      </c>
      <c r="BA410" s="3" t="str">
        <f>IF($B$64&gt;=22,$W$70*$BA$409,"")</f>
        <v/>
      </c>
      <c r="BB410" s="3" t="str">
        <f>IF($B$64=23,$X$70*$BB$409,"")</f>
        <v/>
      </c>
      <c r="BC410" s="3"/>
    </row>
    <row r="411" spans="1:56" x14ac:dyDescent="0.25">
      <c r="Z411" s="2"/>
      <c r="AA411" s="20" t="s">
        <v>92</v>
      </c>
      <c r="AB411" s="30">
        <f>SUM($AD$5:$AD$404)</f>
        <v>2970.0000000000405</v>
      </c>
      <c r="AC411" s="2"/>
      <c r="AD411" s="2"/>
      <c r="AE411" s="23" t="s">
        <v>13</v>
      </c>
      <c r="AF411" s="3">
        <f>IF($B$64&gt;=1,$B$70*-$AF$408,"")</f>
        <v>0</v>
      </c>
      <c r="AG411" s="3">
        <f>IF($B$64&gt;=2,$C$70*-$AG$408,"")</f>
        <v>0</v>
      </c>
      <c r="AH411" s="3" t="str">
        <f>IF($B$64&gt;=3,$D$70*-$AH$408,"")</f>
        <v/>
      </c>
      <c r="AI411" s="3" t="str">
        <f>IF($B$64&gt;=4,$E$70*-$AI$408,"")</f>
        <v/>
      </c>
      <c r="AJ411" s="3" t="str">
        <f>IF($B$64&gt;=5,$F$70*-$AJ$408,"")</f>
        <v/>
      </c>
      <c r="AK411" s="3" t="str">
        <f>IF($B$64&gt;=6,$G$70*-$AK$408,"")</f>
        <v/>
      </c>
      <c r="AL411" s="3" t="str">
        <f>IF($B$64&gt;=7,$H$70*-$AL$408,"")</f>
        <v/>
      </c>
      <c r="AM411" s="3" t="str">
        <f>IF($B$64&gt;=8,$I$70*-$AM$408,"")</f>
        <v/>
      </c>
      <c r="AN411" s="3" t="str">
        <f>IF($B$64&gt;=9,$J$70*-$AN$408,"")</f>
        <v/>
      </c>
      <c r="AO411" s="3" t="str">
        <f>IF($B$64&gt;=10,$K$70*-$AO$408,"")</f>
        <v/>
      </c>
      <c r="AP411" s="3" t="str">
        <f>IF($B$64&gt;=11,$L$70*-$AP$408,"")</f>
        <v/>
      </c>
      <c r="AQ411" s="3" t="str">
        <f>IF($B$64&gt;=12,$M$70*-$AQ$408,"")</f>
        <v/>
      </c>
      <c r="AR411" s="3" t="str">
        <f>IF($B$64&gt;=13,$N$70*-$AR$408,"")</f>
        <v/>
      </c>
      <c r="AS411" s="3" t="str">
        <f>IF($B$64&gt;=14,$O$70*-$AS$408,"")</f>
        <v/>
      </c>
      <c r="AT411" s="3" t="str">
        <f>IF($B$64&gt;=15,$P$70*-$AT$408,"")</f>
        <v/>
      </c>
      <c r="AU411" s="3" t="str">
        <f>IF($B$64&gt;=16,$Q$70*-$AU$408,"")</f>
        <v/>
      </c>
      <c r="AV411" s="3" t="str">
        <f>IF($B$64&gt;=17,$R$70*-$AV$408,"")</f>
        <v/>
      </c>
      <c r="AW411" s="3" t="str">
        <f>IF($B$64&gt;=18,$S$70*-$AW$408,"")</f>
        <v/>
      </c>
      <c r="AX411" s="3" t="str">
        <f>IF($B$64&gt;=19,$T$70*-$AX$408,"")</f>
        <v/>
      </c>
      <c r="AY411" s="3" t="str">
        <f>IF($B$64&gt;=20,$U$70*-$AY$408,"")</f>
        <v/>
      </c>
      <c r="AZ411" s="3" t="str">
        <f>IF($B$64&gt;=21,$V$70*-$AZ$408,"")</f>
        <v/>
      </c>
      <c r="BA411" s="3" t="str">
        <f>IF($B$64&gt;=22,$W$70*-$BA$408,"")</f>
        <v/>
      </c>
      <c r="BB411" s="3" t="str">
        <f>IF($B$64=23,$X$70*-$BB$408,"")</f>
        <v/>
      </c>
      <c r="BC411" s="3"/>
    </row>
    <row r="412" spans="1:56" x14ac:dyDescent="0.25">
      <c r="Z412" s="2"/>
      <c r="AA412" s="20" t="s">
        <v>93</v>
      </c>
      <c r="AB412" s="30">
        <f>SUM($AE$5:$AE$404)</f>
        <v>450.00000000003985</v>
      </c>
      <c r="AC412" s="2"/>
      <c r="AD412" s="2"/>
      <c r="AE412" s="23" t="s">
        <v>14</v>
      </c>
      <c r="AF412" s="3">
        <f>IF($B$64&gt;=1,$B$69*-$B$72,"")</f>
        <v>150</v>
      </c>
      <c r="AG412" s="3">
        <f>IF($B$64&gt;=2,$C$69*-$C$72,"")</f>
        <v>150</v>
      </c>
      <c r="AH412" s="3" t="str">
        <f>IF($B$64&gt;=3,$D$69*-$D$72,"")</f>
        <v/>
      </c>
      <c r="AI412" s="3" t="str">
        <f>IF($B$64&gt;=4,$E$69*-$E$72,"")</f>
        <v/>
      </c>
      <c r="AJ412" s="3" t="str">
        <f>IF($B$64&gt;=5,$F$69*-$F$72,"")</f>
        <v/>
      </c>
      <c r="AK412" s="3" t="str">
        <f>IF($B$64&gt;=6,$G$69*-$G$72,"")</f>
        <v/>
      </c>
      <c r="AL412" s="3" t="str">
        <f>IF($B$64&gt;=7,$H$69*-$H$72,"")</f>
        <v/>
      </c>
      <c r="AM412" s="3" t="str">
        <f>IF($B$64&gt;=8,$I$69*-$I$72,"")</f>
        <v/>
      </c>
      <c r="AN412" s="3" t="str">
        <f>IF($B$64&gt;=9,$J$69*-$J$72,"")</f>
        <v/>
      </c>
      <c r="AO412" s="3" t="str">
        <f>IF($B$64&gt;=10,$K$69*-$K$72,"")</f>
        <v/>
      </c>
      <c r="AP412" s="3" t="str">
        <f>IF($B$64&gt;=11,$L$69*-$L$72,"")</f>
        <v/>
      </c>
      <c r="AQ412" s="3" t="str">
        <f>IF($B$64&gt;=12,$M$69*-$M$72,"")</f>
        <v/>
      </c>
      <c r="AR412" s="3" t="str">
        <f>IF($B$64&gt;=13,$N$69*-$N$72,"")</f>
        <v/>
      </c>
      <c r="AS412" s="3" t="str">
        <f>IF($B$64&gt;=14,$O$69*-$O$72,"")</f>
        <v/>
      </c>
      <c r="AT412" s="3" t="str">
        <f>IF($B$64&gt;=15,$P$69*-$P$72,"")</f>
        <v/>
      </c>
      <c r="AU412" s="3" t="str">
        <f>IF($B$64&gt;=16,$Q$69*-$Q$72,"")</f>
        <v/>
      </c>
      <c r="AV412" s="3" t="str">
        <f>IF($B$64&gt;=17,$R$69*-$R$72,"")</f>
        <v/>
      </c>
      <c r="AW412" s="3" t="str">
        <f>IF($B$64&gt;=18,$S$69*-$S$72,"")</f>
        <v/>
      </c>
      <c r="AX412" s="3" t="str">
        <f>IF($B$64&gt;=19,$T$69*-$T$72,"")</f>
        <v/>
      </c>
      <c r="AY412" s="3" t="str">
        <f>IF($B$64&gt;=20,$U$69*-$U$72,"")</f>
        <v/>
      </c>
      <c r="AZ412" s="3" t="str">
        <f>IF($B$64&gt;=21,$V$69*-$V$72,"")</f>
        <v/>
      </c>
      <c r="BA412" s="3" t="str">
        <f>IF($B$64&gt;=22,$W$69*-$W$72,"")</f>
        <v/>
      </c>
      <c r="BB412" s="3" t="str">
        <f>IF($B$64=23,$X$69*-$X$72,"")</f>
        <v/>
      </c>
      <c r="BC412" s="3"/>
    </row>
    <row r="413" spans="1:56" x14ac:dyDescent="0.25">
      <c r="Z413" s="2"/>
      <c r="AA413" s="20" t="s">
        <v>22</v>
      </c>
      <c r="AB413" s="30">
        <f>$AB$411+$AB$412</f>
        <v>3420.0000000000805</v>
      </c>
      <c r="AE413" s="23" t="s">
        <v>15</v>
      </c>
      <c r="AF413" s="3">
        <f>IF($B$64&gt;=1,$B$69*$B$71,"")</f>
        <v>-100</v>
      </c>
      <c r="AG413" s="3">
        <f>IF($B$64&gt;=2,$C$69*$C$71,"")</f>
        <v>-100</v>
      </c>
      <c r="AH413" s="3" t="str">
        <f>IF($B$64&gt;=3,$D$69*$D$71,"")</f>
        <v/>
      </c>
      <c r="AI413" s="3" t="str">
        <f>IF($B$64&gt;=4,$E$69*$E$71,"")</f>
        <v/>
      </c>
      <c r="AJ413" s="3" t="str">
        <f>IF($B$64&gt;=5,$F$69*$F$71,"")</f>
        <v/>
      </c>
      <c r="AK413" s="3" t="str">
        <f>IF($B$64&gt;=6,$G$69*$G$71,"")</f>
        <v/>
      </c>
      <c r="AL413" s="3" t="str">
        <f>IF($B$64&gt;=7,$H$69*$H$71,"")</f>
        <v/>
      </c>
      <c r="AM413" s="3" t="str">
        <f>IF($B$64&gt;=8,$I$69*$I$71,"")</f>
        <v/>
      </c>
      <c r="AN413" s="3" t="str">
        <f>IF($B$64&gt;=9,$J$69*$J$71,"")</f>
        <v/>
      </c>
      <c r="AO413" s="3" t="str">
        <f>IF($B$64&gt;=10,$K$69*$K$71,"")</f>
        <v/>
      </c>
      <c r="AP413" s="3" t="str">
        <f>IF($B$64&gt;=11,$L$69*$L$71,"")</f>
        <v/>
      </c>
      <c r="AQ413" s="3" t="str">
        <f>IF($B$64&gt;=12,$M$69*$M$71,"")</f>
        <v/>
      </c>
      <c r="AR413" s="3" t="str">
        <f>IF($B$64&gt;=13,$N$69*$N$71,"")</f>
        <v/>
      </c>
      <c r="AS413" s="3" t="str">
        <f>IF($B$64&gt;=14,$O$69*$O$71,"")</f>
        <v/>
      </c>
      <c r="AT413" s="3" t="str">
        <f>IF($B$64&gt;=15,$P$69*$P$71,"")</f>
        <v/>
      </c>
      <c r="AU413" s="3" t="str">
        <f>IF($B$64&gt;=16,$Q$69*$Q$71,"")</f>
        <v/>
      </c>
      <c r="AV413" s="3" t="str">
        <f>IF($B$64&gt;=17,$R$69*$R$71,"")</f>
        <v/>
      </c>
      <c r="AW413" s="3" t="str">
        <f>IF($B$64&gt;=18,$S$69*$S$71,"")</f>
        <v/>
      </c>
      <c r="AX413" s="3" t="str">
        <f>IF($B$64&gt;=19,$T$69*$T$71,"")</f>
        <v/>
      </c>
      <c r="AY413" s="3" t="str">
        <f>IF($B$64&gt;=20,$U$69*$U$71,"")</f>
        <v/>
      </c>
      <c r="AZ413" s="3" t="str">
        <f>IF($B$64&gt;=21,$V$69*$V$71,"")</f>
        <v/>
      </c>
      <c r="BA413" s="3" t="str">
        <f>IF($B$64&gt;=22,$W$69*$W$71,"")</f>
        <v/>
      </c>
      <c r="BB413" s="3" t="str">
        <f>IF($B$64=23,$X$69*$X$71,"")</f>
        <v/>
      </c>
      <c r="BC413" s="3"/>
    </row>
    <row r="414" spans="1:56" x14ac:dyDescent="0.25">
      <c r="Z414" s="2"/>
      <c r="AA414" s="20" t="s">
        <v>94</v>
      </c>
      <c r="AB414" s="4">
        <f>IF(ABS(SUM($AF$5:$AF$404))&lt;0.0005,0,SUM($AF$5:$AF$404))</f>
        <v>0</v>
      </c>
      <c r="AE414" s="9" t="s">
        <v>16</v>
      </c>
      <c r="AF414" s="28">
        <f>IF($B$64&gt;=1,$B$71*-$AF$409,"")</f>
        <v>-90</v>
      </c>
      <c r="AG414" s="3">
        <f>IF($B$64&gt;=2,$C$71*-$AG$409,"")</f>
        <v>90</v>
      </c>
      <c r="AH414" s="28" t="str">
        <f>IF($B$64&gt;=3,$D$71*-$AH$409,"")</f>
        <v/>
      </c>
      <c r="AI414" s="28" t="str">
        <f>IF($B$64&gt;=4,$E$71*-$AI$409,"")</f>
        <v/>
      </c>
      <c r="AJ414" s="28" t="str">
        <f>IF($B$64&gt;=5,$F$71*-$AJ$409,"")</f>
        <v/>
      </c>
      <c r="AK414" s="3" t="str">
        <f>IF($B$64&gt;=6,$G$71*-$AK$409,"")</f>
        <v/>
      </c>
      <c r="AL414" s="28" t="str">
        <f>IF($B$64&gt;=7,$H$71*-$AL$409,"")</f>
        <v/>
      </c>
      <c r="AM414" s="28" t="str">
        <f>IF($B$64&gt;=8,$I$71*-$AM$409,"")</f>
        <v/>
      </c>
      <c r="AN414" s="28" t="str">
        <f>IF($B$64&gt;=9,$J$71*-$AN$409,"")</f>
        <v/>
      </c>
      <c r="AO414" s="28" t="str">
        <f>IF($B$64&gt;=10,$K$71*-$AO$409,"")</f>
        <v/>
      </c>
      <c r="AP414" s="28" t="str">
        <f>IF($B$64&gt;=11,$L$71*-$AP$409,"")</f>
        <v/>
      </c>
      <c r="AQ414" s="28" t="str">
        <f>IF($B$64&gt;=12,$M$71*-$AQ$409,"")</f>
        <v/>
      </c>
      <c r="AR414" s="28" t="str">
        <f>IF($B$64&gt;=13,$N$71*-$AR$409,"")</f>
        <v/>
      </c>
      <c r="AS414" s="28" t="str">
        <f>IF($B$64&gt;=14,$O$71*-$AS$409,"")</f>
        <v/>
      </c>
      <c r="AT414" s="28" t="str">
        <f>IF($B$64&gt;=15,$P$71*-$AT$409,"")</f>
        <v/>
      </c>
      <c r="AU414" s="28" t="str">
        <f>IF($B$64&gt;=16,$Q$71*-$AU$409,"")</f>
        <v/>
      </c>
      <c r="AV414" s="28" t="str">
        <f>IF($B$64&gt;=17,$R$71*-$AV$409,"")</f>
        <v/>
      </c>
      <c r="AW414" s="28" t="str">
        <f>IF($B$64&gt;=18,$S$71*-$AW$409,"")</f>
        <v/>
      </c>
      <c r="AX414" s="28" t="str">
        <f>IF($B$64&gt;=19,$T$71*-$AX$409,"")</f>
        <v/>
      </c>
      <c r="AY414" s="28" t="str">
        <f>IF($B$64&gt;=20,$U$71*-$AY$409,"")</f>
        <v/>
      </c>
      <c r="AZ414" s="28" t="str">
        <f>IF($B$64&gt;=21,$V$71*-$AZ$409,"")</f>
        <v/>
      </c>
      <c r="BA414" s="28" t="str">
        <f>IF($B$64&gt;=22,$W$71*-$BA$409,"")</f>
        <v/>
      </c>
      <c r="BB414" s="28" t="str">
        <f>IF($B$64=23,$X$71*-$BB$409,"")</f>
        <v/>
      </c>
      <c r="BC414" s="28"/>
    </row>
    <row r="415" spans="1:56" x14ac:dyDescent="0.25">
      <c r="AA415" s="11" t="s">
        <v>23</v>
      </c>
      <c r="AB415" s="4">
        <f>IF(ABS($AB$411-$AB$412)&lt;0.0005,IF($AB$414&gt;0,-45,IF($AB$414&lt;0,45,0)),DEGREES(ATAN(-2*$AB$414/($AB$411-$AB$412))/2))</f>
        <v>0</v>
      </c>
      <c r="AE415" s="9" t="s">
        <v>17</v>
      </c>
      <c r="AF415" s="28">
        <f>IF($B$64&gt;=1,$B$72*$AF$408,"")</f>
        <v>0</v>
      </c>
      <c r="AG415" s="3">
        <f>IF($B$64&gt;=2,$C$72*$AG$408,"")</f>
        <v>0</v>
      </c>
      <c r="AH415" s="28" t="str">
        <f>IF($B$64&gt;=3,$D$72*$AH$408,"")</f>
        <v/>
      </c>
      <c r="AI415" s="28" t="str">
        <f>IF($B$64&gt;=4,$E$72*$AI$408,"")</f>
        <v/>
      </c>
      <c r="AJ415" s="28" t="str">
        <f>IF($B$64&gt;=5,$F$72*$AJ$408,"")</f>
        <v/>
      </c>
      <c r="AK415" s="3" t="str">
        <f>IF($B$64&gt;=6,$G$72*$AK$408,"")</f>
        <v/>
      </c>
      <c r="AL415" s="28" t="str">
        <f>IF($B$64&gt;=7,$H$72*$AL$408,"")</f>
        <v/>
      </c>
      <c r="AM415" s="28" t="str">
        <f>IF($B$64&gt;=8,$I$72*$AM$408,"")</f>
        <v/>
      </c>
      <c r="AN415" s="28" t="str">
        <f>IF($B$64&gt;=9,$J$72*$AN$408,"")</f>
        <v/>
      </c>
      <c r="AO415" s="28" t="str">
        <f>IF($B$64&gt;=10,$K$72*$AO$408,"")</f>
        <v/>
      </c>
      <c r="AP415" s="28" t="str">
        <f>IF($B$64&gt;=11,$L$72*$AP$408,"")</f>
        <v/>
      </c>
      <c r="AQ415" s="28" t="str">
        <f>IF($B$64&gt;=12,$M$72*$AQ$408,"")</f>
        <v/>
      </c>
      <c r="AR415" s="28" t="str">
        <f>IF($B$64&gt;=13,$N$72*$AR$408,"")</f>
        <v/>
      </c>
      <c r="AS415" s="28" t="str">
        <f>IF($B$64&gt;=14,$O$72*$AS$408,"")</f>
        <v/>
      </c>
      <c r="AT415" s="28" t="str">
        <f>IF($B$64&gt;=15,$P$72*$AT$408,"")</f>
        <v/>
      </c>
      <c r="AU415" s="28" t="str">
        <f>IF($B$64&gt;=16,$Q$72*$AU$408,"")</f>
        <v/>
      </c>
      <c r="AV415" s="28" t="str">
        <f>IF($B$64&gt;=17,$R$72*$AV$408,"")</f>
        <v/>
      </c>
      <c r="AW415" s="28" t="str">
        <f>IF($B$64&gt;=18,$S$72*$AW$408,"")</f>
        <v/>
      </c>
      <c r="AX415" s="28" t="str">
        <f>IF($B$64&gt;=19,$T$72*$AX$408,"")</f>
        <v/>
      </c>
      <c r="AY415" s="28" t="str">
        <f>IF($B$64&gt;=20,$U$72*$AY$408,"")</f>
        <v/>
      </c>
      <c r="AZ415" s="28" t="str">
        <f>IF($B$64&gt;=21,$V$72*$AZ$408,"")</f>
        <v/>
      </c>
      <c r="BA415" s="28" t="str">
        <f>IF($B$64&gt;=22,$W$72*$BA$408,"")</f>
        <v/>
      </c>
      <c r="BB415" s="28" t="str">
        <f>IF($B$64=23,$X$72*$BB$408,"")</f>
        <v/>
      </c>
      <c r="BC415" s="28"/>
    </row>
    <row r="416" spans="1:56" x14ac:dyDescent="0.25">
      <c r="AE416" s="24"/>
      <c r="AF416" s="24"/>
      <c r="AG416" s="24"/>
      <c r="AH416" s="24"/>
      <c r="AI416" s="24"/>
      <c r="AJ416" s="24"/>
    </row>
    <row r="417" spans="31:36" x14ac:dyDescent="0.25">
      <c r="AE417" s="26" t="s">
        <v>98</v>
      </c>
      <c r="AG417" s="24"/>
      <c r="AH417" s="24"/>
      <c r="AI417" s="24"/>
      <c r="AJ417" s="24"/>
    </row>
    <row r="418" spans="31:36" x14ac:dyDescent="0.25">
      <c r="AE418" s="11" t="s">
        <v>26</v>
      </c>
      <c r="AF418" s="3">
        <f>SUM($B$70:$X$70)</f>
        <v>-3000</v>
      </c>
      <c r="AG418" s="24" t="s">
        <v>33</v>
      </c>
      <c r="AH418" s="24"/>
      <c r="AI418" s="24"/>
      <c r="AJ418" s="24"/>
    </row>
    <row r="419" spans="31:36" x14ac:dyDescent="0.25">
      <c r="AE419" s="11" t="s">
        <v>27</v>
      </c>
      <c r="AF419" s="3">
        <f>SUM($B$71:$X$71)</f>
        <v>-40</v>
      </c>
      <c r="AG419" s="24" t="s">
        <v>33</v>
      </c>
      <c r="AH419" s="24"/>
      <c r="AI419" s="24"/>
      <c r="AJ419" s="24"/>
    </row>
    <row r="420" spans="31:36" x14ac:dyDescent="0.25">
      <c r="AE420" s="11" t="s">
        <v>28</v>
      </c>
      <c r="AF420" s="3">
        <f>SUM($B$72:$X$72)</f>
        <v>-60</v>
      </c>
      <c r="AG420" s="24" t="s">
        <v>33</v>
      </c>
      <c r="AH420" s="24"/>
      <c r="AI420" s="24"/>
      <c r="AJ420" s="24"/>
    </row>
    <row r="421" spans="31:36" x14ac:dyDescent="0.25">
      <c r="AE421" s="11" t="s">
        <v>29</v>
      </c>
      <c r="AF421" s="18">
        <f>ROUND(SUM($B$73:$X$73)+SUM($AF$410:$BB$410)+SUM($AF$412:$BB$412),2)</f>
        <v>500</v>
      </c>
      <c r="AG421" s="24" t="s">
        <v>34</v>
      </c>
      <c r="AH421" s="24"/>
      <c r="AI421" s="24"/>
      <c r="AJ421" s="24"/>
    </row>
    <row r="422" spans="31:36" x14ac:dyDescent="0.25">
      <c r="AE422" s="11" t="s">
        <v>30</v>
      </c>
      <c r="AF422" s="18">
        <f>ROUND(SUM($B$74:$X$74)+SUM($AF$411:$BB$411)+SUM($AF$413:$BB$413),2)</f>
        <v>-500</v>
      </c>
      <c r="AG422" s="24" t="s">
        <v>34</v>
      </c>
      <c r="AH422" s="24"/>
      <c r="AI422" s="24"/>
      <c r="AJ422" s="24"/>
    </row>
    <row r="423" spans="31:36" x14ac:dyDescent="0.25">
      <c r="AE423" s="11" t="s">
        <v>31</v>
      </c>
      <c r="AF423" s="29">
        <f>ROUND(SUM($B$75:$X$75)+SUM($AF$414:$BB$414)+SUM($AF$415:$BB$415),2)</f>
        <v>0</v>
      </c>
      <c r="AG423" s="24" t="s">
        <v>34</v>
      </c>
      <c r="AH423" s="24"/>
      <c r="AI423" s="24"/>
      <c r="AJ423" s="24"/>
    </row>
  </sheetData>
  <sheetProtection sheet="1" objects="1" scenarios="1"/>
  <phoneticPr fontId="41" type="noConversion"/>
  <conditionalFormatting sqref="N82">
    <cfRule type="cellIs" dxfId="2" priority="1" stopIfTrue="1" operator="notEqual">
      <formula>"OK"</formula>
    </cfRule>
  </conditionalFormatting>
  <dataValidations xWindow="31820" yWindow="99" count="7">
    <dataValidation type="decimal" operator="greaterThanOrEqual" allowBlank="1" showInputMessage="1" showErrorMessage="1" prompt="'Xo' is the x-coordinate location of the center of the pile circle from the origin Y-axis.  Xo &gt;=  Dc/2" sqref="BI86">
      <formula1>$BI$85/2</formula1>
    </dataValidation>
    <dataValidation allowBlank="1" showInputMessage="1" showErrorMessage="1" prompt="'Dc' is the diameter of the pile circle." sqref="BI85"/>
    <dataValidation type="decimal" operator="greaterThanOrEqual" allowBlank="1" showInputMessage="1" showErrorMessage="1" prompt="'Yo' is the y-coordinate location of the center of the pile circle from the origin X-axis.  Yo &gt;=  Dc/2" sqref="BI87">
      <formula1>$BI$85/2</formula1>
    </dataValidation>
    <dataValidation type="decimal" operator="greaterThanOrEqual" allowBlank="1" showInputMessage="1" showErrorMessage="1" prompt="The angle to Pile #1 is measured counterclockwise from the origin X-axis." sqref="BI88">
      <formula1>0</formula1>
    </dataValidation>
    <dataValidation type="list" allowBlank="1" showInputMessage="1" showErrorMessage="1" errorTitle="Warning!" error="Invalid input for number of piles_x000a_(must input a value between 2 and 300)" sqref="BI84">
      <formula1>$AA$6:$AA$304</formula1>
    </dataValidation>
    <dataValidation type="list" allowBlank="1" showInputMessage="1" showErrorMessage="1" errorTitle="Warning!" error="Invalid input for number of piers_x000a_(must input a value between 1 and 4)" sqref="B64">
      <formula1>$AA$5:$AA$27</formula1>
    </dataValidation>
    <dataValidation type="list" allowBlank="1" showInputMessage="1" showErrorMessage="1" errorTitle="Warning!" error="Invalid input for number of piles_x000a_(must input a value between 2 and 300)" sqref="C9">
      <formula1>$AA$6:$AA$404</formula1>
    </dataValidation>
  </dataValidations>
  <pageMargins left="0.75" right="0.25" top="0.75" bottom="0.75" header="0.5" footer="0.5"/>
  <pageSetup scale="52" orientation="landscape" r:id="rId1"/>
  <headerFooter alignWithMargins="0">
    <oddHeader>&amp;R"PILEGRP.xls" Program
Version 3.6</oddHeader>
    <oddFooter>&amp;C&amp;P of &amp;N&amp;R&amp;D  &amp;T</oddFooter>
  </headerFooter>
  <rowBreaks count="3" manualBreakCount="3">
    <brk id="77" max="24" man="1"/>
    <brk id="154" max="24" man="1"/>
    <brk id="325" max="18" man="1"/>
  </rowBreaks>
  <drawing r:id="rId2"/>
  <mc:AlternateContent xmlns:mc="http://schemas.openxmlformats.org/markup-compatibility/2006">
    <mc:Choice Requires="v">
      <legacyDrawing r:id="rId3"/>
    </mc:Choice>
  </mc:AlternateContent>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dimension ref="A1:CK423"/>
  <sheetViews>
    <sheetView zoomScale="80" zoomScaleNormal="80" workbookViewId="0"/>
  </sheetViews>
  <sheetFormatPr defaultColWidth="9.109375" defaultRowHeight="13.2" x14ac:dyDescent="0.25"/>
  <cols>
    <col min="1" max="1" width="11.88671875" style="92" customWidth="1"/>
    <col min="2" max="2" width="12.6640625" style="92" customWidth="1"/>
    <col min="3" max="4" width="9.109375" style="92"/>
    <col min="5" max="5" width="12.6640625" style="92" customWidth="1"/>
    <col min="6" max="6" width="11.109375" style="92" customWidth="1"/>
    <col min="7" max="7" width="9.109375" style="92"/>
    <col min="8" max="8" width="9.6640625" style="92" customWidth="1"/>
    <col min="9" max="9" width="9.109375" style="92"/>
    <col min="10" max="25" width="9.109375" style="1"/>
    <col min="26" max="27" width="9.109375" style="1" hidden="1" customWidth="1"/>
    <col min="28" max="28" width="10.6640625" style="1" hidden="1" customWidth="1"/>
    <col min="29" max="31" width="9.109375" style="1" hidden="1" customWidth="1"/>
    <col min="32" max="32" width="12.6640625" style="1" hidden="1" customWidth="1"/>
    <col min="33" max="55" width="9.109375" style="1" hidden="1" customWidth="1"/>
    <col min="56" max="56" width="9.109375" style="1"/>
    <col min="57" max="57" width="9.109375" style="9"/>
    <col min="58" max="59" width="9.109375" style="1"/>
    <col min="60" max="60" width="11.88671875" style="1" customWidth="1"/>
    <col min="61" max="16384" width="9.109375" style="1"/>
  </cols>
  <sheetData>
    <row r="1" spans="1:82" ht="15.6" x14ac:dyDescent="0.3">
      <c r="A1" s="32" t="s">
        <v>67</v>
      </c>
      <c r="B1" s="33"/>
      <c r="C1" s="34"/>
      <c r="D1" s="34"/>
      <c r="E1" s="34"/>
      <c r="F1" s="33"/>
      <c r="G1" s="33"/>
      <c r="H1" s="34"/>
      <c r="I1" s="33"/>
      <c r="J1" s="242"/>
      <c r="K1" s="33"/>
      <c r="L1" s="33"/>
      <c r="M1" s="242"/>
      <c r="N1" s="35"/>
      <c r="O1" s="243"/>
      <c r="P1" s="243"/>
      <c r="Q1" s="243"/>
      <c r="R1" s="243"/>
      <c r="S1" s="243"/>
      <c r="T1" s="243"/>
      <c r="U1" s="243"/>
      <c r="V1" s="243"/>
      <c r="W1" s="243"/>
      <c r="X1" s="243"/>
      <c r="Y1" s="244"/>
      <c r="Z1" s="93"/>
      <c r="AA1" s="7" t="s">
        <v>4</v>
      </c>
      <c r="AD1" s="7"/>
      <c r="BD1" s="184" t="s">
        <v>373</v>
      </c>
    </row>
    <row r="2" spans="1:82" x14ac:dyDescent="0.25">
      <c r="A2" s="36" t="s">
        <v>325</v>
      </c>
      <c r="B2" s="37"/>
      <c r="C2" s="38"/>
      <c r="D2" s="37"/>
      <c r="E2" s="37"/>
      <c r="F2" s="39"/>
      <c r="G2" s="39"/>
      <c r="H2" s="37"/>
      <c r="I2" s="39"/>
      <c r="J2" s="245"/>
      <c r="K2" s="39"/>
      <c r="L2" s="39"/>
      <c r="M2" s="245"/>
      <c r="N2" s="40"/>
      <c r="O2" s="93"/>
      <c r="P2" s="93"/>
      <c r="Q2" s="93"/>
      <c r="R2" s="93"/>
      <c r="S2" s="93"/>
      <c r="T2" s="93"/>
      <c r="U2" s="93"/>
      <c r="V2" s="93"/>
      <c r="W2" s="93"/>
      <c r="X2" s="93"/>
      <c r="Y2" s="246"/>
      <c r="Z2" s="93"/>
      <c r="BE2" s="134" t="s">
        <v>109</v>
      </c>
      <c r="BF2" s="129"/>
    </row>
    <row r="3" spans="1:82" x14ac:dyDescent="0.25">
      <c r="A3" s="136" t="s">
        <v>162</v>
      </c>
      <c r="B3" s="41"/>
      <c r="C3" s="41"/>
      <c r="D3" s="41"/>
      <c r="E3" s="41"/>
      <c r="F3" s="42"/>
      <c r="G3" s="42"/>
      <c r="H3" s="41"/>
      <c r="I3" s="42"/>
      <c r="J3" s="247"/>
      <c r="K3" s="42"/>
      <c r="L3" s="42"/>
      <c r="M3" s="247"/>
      <c r="N3" s="43"/>
      <c r="O3" s="93"/>
      <c r="P3" s="93"/>
      <c r="Q3" s="93"/>
      <c r="R3" s="93"/>
      <c r="S3" s="93"/>
      <c r="T3" s="93"/>
      <c r="U3" s="93"/>
      <c r="V3" s="93"/>
      <c r="W3" s="93"/>
      <c r="X3" s="93"/>
      <c r="Y3" s="246"/>
      <c r="Z3" s="93"/>
      <c r="AB3" s="25" t="s">
        <v>55</v>
      </c>
      <c r="AC3" s="21"/>
      <c r="AD3" s="25" t="s">
        <v>84</v>
      </c>
      <c r="AE3" s="6"/>
      <c r="AF3" s="21"/>
      <c r="AG3" s="25" t="s">
        <v>24</v>
      </c>
      <c r="AH3" s="21"/>
      <c r="AI3" s="25" t="s">
        <v>25</v>
      </c>
      <c r="AJ3" s="22"/>
      <c r="BE3" s="130" t="s">
        <v>110</v>
      </c>
      <c r="BF3" s="130" t="s">
        <v>111</v>
      </c>
    </row>
    <row r="4" spans="1:82" x14ac:dyDescent="0.25">
      <c r="A4" s="44" t="s">
        <v>2</v>
      </c>
      <c r="B4" s="248"/>
      <c r="C4" s="249"/>
      <c r="D4" s="249"/>
      <c r="E4" s="249"/>
      <c r="F4" s="93"/>
      <c r="G4" s="93"/>
      <c r="H4" s="120" t="s">
        <v>108</v>
      </c>
      <c r="I4" s="253"/>
      <c r="J4" s="369"/>
      <c r="K4" s="126"/>
      <c r="L4" s="123"/>
      <c r="M4" s="369"/>
      <c r="N4" s="124"/>
      <c r="O4" s="93"/>
      <c r="P4" s="93"/>
      <c r="Q4" s="93"/>
      <c r="R4" s="93"/>
      <c r="S4" s="93"/>
      <c r="T4" s="93"/>
      <c r="U4" s="93"/>
      <c r="V4" s="93"/>
      <c r="W4" s="93"/>
      <c r="X4" s="93"/>
      <c r="Y4" s="246"/>
      <c r="Z4" s="93"/>
      <c r="AA4" s="13" t="s">
        <v>56</v>
      </c>
      <c r="AB4" s="14" t="s">
        <v>87</v>
      </c>
      <c r="AC4" s="14" t="s">
        <v>88</v>
      </c>
      <c r="AD4" s="23" t="s">
        <v>95</v>
      </c>
      <c r="AE4" s="23" t="s">
        <v>96</v>
      </c>
      <c r="AF4" s="23" t="s">
        <v>97</v>
      </c>
      <c r="AG4" s="15" t="s">
        <v>18</v>
      </c>
      <c r="AH4" s="15" t="s">
        <v>19</v>
      </c>
      <c r="AI4" s="15" t="s">
        <v>20</v>
      </c>
      <c r="AJ4" s="15" t="s">
        <v>21</v>
      </c>
      <c r="BE4" s="27">
        <v>3</v>
      </c>
      <c r="BF4" s="133">
        <v>8</v>
      </c>
    </row>
    <row r="5" spans="1:82" x14ac:dyDescent="0.25">
      <c r="A5" s="44" t="s">
        <v>3</v>
      </c>
      <c r="B5" s="122"/>
      <c r="C5" s="123"/>
      <c r="D5" s="123"/>
      <c r="E5" s="123"/>
      <c r="F5" s="369"/>
      <c r="G5" s="370"/>
      <c r="H5" s="127" t="s">
        <v>107</v>
      </c>
      <c r="I5" s="366"/>
      <c r="J5" s="355"/>
      <c r="K5" s="367"/>
      <c r="L5" s="255" t="s">
        <v>106</v>
      </c>
      <c r="M5" s="366"/>
      <c r="N5" s="368"/>
      <c r="O5" s="93"/>
      <c r="P5" s="93"/>
      <c r="Q5" s="93"/>
      <c r="R5" s="93"/>
      <c r="S5" s="93"/>
      <c r="T5" s="93"/>
      <c r="U5" s="93"/>
      <c r="V5" s="93"/>
      <c r="W5" s="93"/>
      <c r="X5" s="93"/>
      <c r="Y5" s="246"/>
      <c r="Z5" s="93"/>
      <c r="AA5" s="256">
        <v>1</v>
      </c>
      <c r="AB5" s="16">
        <f t="shared" ref="AB5:AB54" si="0">IF($C$9&gt;=$AA5,$C13+0.000001-$AB$410,"")</f>
        <v>-4.1147990000000014</v>
      </c>
      <c r="AC5" s="16">
        <f t="shared" ref="AC5:AC54" si="1">IF($C$9&gt;=$AA5,$B13+0.000001-$AB$409,"")</f>
        <v>-1.3715990000000007</v>
      </c>
      <c r="AD5" s="16">
        <f t="shared" ref="AD5:AD68" si="2">IF($C$9&gt;=$AA5,$AB5^2,"")</f>
        <v>16.931570810401013</v>
      </c>
      <c r="AE5" s="16">
        <f t="shared" ref="AE5:AE68" si="3">IF($C$9&gt;=$AA5,$AC5^2,"")</f>
        <v>1.8812838168010018</v>
      </c>
      <c r="AF5" s="16">
        <f t="shared" ref="AF5:AF68" si="4">IF($C$9&gt;=$AA5,$AB5*$AC5,"")</f>
        <v>5.6438541936010047</v>
      </c>
      <c r="AG5" s="17">
        <f t="shared" ref="AG5:AG54" si="5">IF($C$9&gt;=$AA5,$B13-$AB$409,"")</f>
        <v>-1.3716000000000006</v>
      </c>
      <c r="AH5" s="17">
        <f t="shared" ref="AH5:AH54" si="6">IF($C$9&gt;=$AA5,$C13-$AB$410,"")</f>
        <v>-4.1148000000000016</v>
      </c>
      <c r="AI5" s="18">
        <f t="shared" ref="AI5:AI68" si="7">IF($C$9&gt;=$AA5,(-$AF$418/$C$9+($AF$422*$AB$411--$AF$421*$AB$414)/($AB$411*$AB$412-$AB$414^2)*$AG5+(-$AF$421*$AB$412-$AF$422*$AB$414)/($AB$411*$AB$412-$AB$414^2)*$AH5),"")</f>
        <v>365.96740161057141</v>
      </c>
      <c r="AJ5" s="18">
        <f t="shared" ref="AJ5:AJ68" si="8">IF($C$9&gt;=$AA5,((($AF$419/$C$9+$AF$423*-$AH5/$AB$413)^2+($AF$420/$C$9+$AF$423*$AG5/$AB$413)^2)^(1/2)),"")</f>
        <v>8.0191462528234894</v>
      </c>
      <c r="BH5" s="139" t="s">
        <v>169</v>
      </c>
      <c r="BI5" s="137"/>
      <c r="BJ5" s="137"/>
      <c r="BK5" s="137"/>
      <c r="BL5" s="138"/>
    </row>
    <row r="6" spans="1:82" x14ac:dyDescent="0.25">
      <c r="A6" s="45"/>
      <c r="B6" s="93"/>
      <c r="C6" s="93"/>
      <c r="D6" s="93"/>
      <c r="E6" s="93"/>
      <c r="F6" s="93"/>
      <c r="G6" s="93"/>
      <c r="H6" s="185"/>
      <c r="I6" s="257"/>
      <c r="J6" s="93"/>
      <c r="K6" s="93"/>
      <c r="L6" s="93"/>
      <c r="M6" s="93"/>
      <c r="N6" s="93"/>
      <c r="O6" s="93"/>
      <c r="P6" s="93"/>
      <c r="Q6" s="93"/>
      <c r="R6" s="93"/>
      <c r="S6" s="93"/>
      <c r="T6" s="93"/>
      <c r="U6" s="93"/>
      <c r="V6" s="93"/>
      <c r="W6" s="93"/>
      <c r="X6" s="93"/>
      <c r="Y6" s="246"/>
      <c r="Z6" s="93"/>
      <c r="AA6" s="256">
        <v>2</v>
      </c>
      <c r="AB6" s="16">
        <f t="shared" si="0"/>
        <v>-3.2003990000000013</v>
      </c>
      <c r="AC6" s="16">
        <f t="shared" si="1"/>
        <v>-1.3715990000000007</v>
      </c>
      <c r="AD6" s="16">
        <f t="shared" si="2"/>
        <v>10.242553759201009</v>
      </c>
      <c r="AE6" s="16">
        <f t="shared" si="3"/>
        <v>1.8812838168010018</v>
      </c>
      <c r="AF6" s="16">
        <f t="shared" si="4"/>
        <v>4.3896640680010037</v>
      </c>
      <c r="AG6" s="17">
        <f t="shared" si="5"/>
        <v>-1.3716000000000006</v>
      </c>
      <c r="AH6" s="17">
        <f t="shared" si="6"/>
        <v>-3.2004000000000015</v>
      </c>
      <c r="AI6" s="18">
        <f t="shared" si="7"/>
        <v>363.72082163761382</v>
      </c>
      <c r="AJ6" s="18">
        <f t="shared" si="8"/>
        <v>8.0191462528234894</v>
      </c>
      <c r="BH6" s="137" t="s">
        <v>167</v>
      </c>
      <c r="BI6" s="137"/>
      <c r="BJ6" s="137"/>
      <c r="BK6" s="137"/>
      <c r="BL6" s="138"/>
    </row>
    <row r="7" spans="1:82" x14ac:dyDescent="0.25">
      <c r="A7" s="47" t="s">
        <v>1</v>
      </c>
      <c r="B7" s="93"/>
      <c r="C7" s="94"/>
      <c r="D7" s="93"/>
      <c r="E7" s="93"/>
      <c r="F7" s="93"/>
      <c r="G7" s="93"/>
      <c r="H7" s="185"/>
      <c r="I7" s="258"/>
      <c r="J7" s="93"/>
      <c r="K7" s="93"/>
      <c r="L7" s="93"/>
      <c r="M7" s="93"/>
      <c r="N7" s="93"/>
      <c r="O7" s="93"/>
      <c r="P7" s="93"/>
      <c r="Q7" s="93"/>
      <c r="R7" s="93"/>
      <c r="S7" s="93"/>
      <c r="T7" s="93"/>
      <c r="U7" s="93"/>
      <c r="V7" s="93"/>
      <c r="W7" s="93"/>
      <c r="X7" s="93"/>
      <c r="Y7" s="246"/>
      <c r="Z7" s="93"/>
      <c r="AA7" s="256">
        <v>3</v>
      </c>
      <c r="AB7" s="16">
        <f t="shared" si="0"/>
        <v>-2.2859990000000012</v>
      </c>
      <c r="AC7" s="16">
        <f t="shared" si="1"/>
        <v>-1.3715990000000007</v>
      </c>
      <c r="AD7" s="16">
        <f t="shared" si="2"/>
        <v>5.2257914280010054</v>
      </c>
      <c r="AE7" s="16">
        <f t="shared" si="3"/>
        <v>1.8812838168010018</v>
      </c>
      <c r="AF7" s="16">
        <f t="shared" si="4"/>
        <v>3.1354739424010032</v>
      </c>
      <c r="AG7" s="17">
        <f t="shared" si="5"/>
        <v>-1.3716000000000006</v>
      </c>
      <c r="AH7" s="17">
        <f t="shared" si="6"/>
        <v>-2.2860000000000014</v>
      </c>
      <c r="AI7" s="18">
        <f t="shared" si="7"/>
        <v>361.47424166465623</v>
      </c>
      <c r="AJ7" s="18">
        <f t="shared" si="8"/>
        <v>8.0191462528234894</v>
      </c>
      <c r="BH7" s="137" t="s">
        <v>172</v>
      </c>
      <c r="BI7" s="137"/>
      <c r="BJ7" s="137"/>
      <c r="BK7" s="137"/>
      <c r="BL7" s="138"/>
    </row>
    <row r="8" spans="1:82" x14ac:dyDescent="0.25">
      <c r="A8" s="48"/>
      <c r="B8" s="128"/>
      <c r="C8" s="93"/>
      <c r="D8" s="93"/>
      <c r="E8" s="93"/>
      <c r="F8" s="93"/>
      <c r="G8" s="93"/>
      <c r="H8" s="185"/>
      <c r="I8" s="185"/>
      <c r="J8" s="93"/>
      <c r="K8" s="93"/>
      <c r="L8" s="93"/>
      <c r="M8" s="93"/>
      <c r="N8" s="93"/>
      <c r="O8" s="93"/>
      <c r="P8" s="93"/>
      <c r="Q8" s="93"/>
      <c r="R8" s="93"/>
      <c r="S8" s="93"/>
      <c r="T8" s="93"/>
      <c r="U8" s="93"/>
      <c r="V8" s="93"/>
      <c r="W8" s="93"/>
      <c r="X8" s="93"/>
      <c r="Y8" s="246"/>
      <c r="Z8" s="93"/>
      <c r="AA8" s="256">
        <v>4</v>
      </c>
      <c r="AB8" s="16">
        <f t="shared" si="0"/>
        <v>-1.3715990000000011</v>
      </c>
      <c r="AC8" s="16">
        <f t="shared" si="1"/>
        <v>-1.3715990000000007</v>
      </c>
      <c r="AD8" s="16">
        <f t="shared" si="2"/>
        <v>1.8812838168010031</v>
      </c>
      <c r="AE8" s="16">
        <f t="shared" si="3"/>
        <v>1.8812838168010018</v>
      </c>
      <c r="AF8" s="16">
        <f t="shared" si="4"/>
        <v>1.8812838168010024</v>
      </c>
      <c r="AG8" s="17">
        <f t="shared" si="5"/>
        <v>-1.3716000000000006</v>
      </c>
      <c r="AH8" s="17">
        <f t="shared" si="6"/>
        <v>-1.3716000000000013</v>
      </c>
      <c r="AI8" s="18">
        <f t="shared" si="7"/>
        <v>359.22766169169864</v>
      </c>
      <c r="AJ8" s="18">
        <f t="shared" si="8"/>
        <v>8.0191462528234894</v>
      </c>
      <c r="BH8" s="137" t="s">
        <v>168</v>
      </c>
      <c r="BI8" s="137"/>
      <c r="BJ8" s="137"/>
      <c r="BK8" s="137"/>
      <c r="BL8" s="138"/>
    </row>
    <row r="9" spans="1:82" x14ac:dyDescent="0.25">
      <c r="A9" s="45"/>
      <c r="B9" s="50" t="s">
        <v>57</v>
      </c>
      <c r="C9" s="27">
        <v>40</v>
      </c>
      <c r="D9" s="54"/>
      <c r="E9" s="54"/>
      <c r="F9" s="53"/>
      <c r="G9" s="54"/>
      <c r="H9" s="54"/>
      <c r="I9" s="54" t="s">
        <v>0</v>
      </c>
      <c r="J9" s="2"/>
      <c r="K9" s="2"/>
      <c r="L9" s="2"/>
      <c r="M9" s="2"/>
      <c r="N9" s="2"/>
      <c r="O9" s="93"/>
      <c r="P9" s="93"/>
      <c r="Q9" s="93"/>
      <c r="R9" s="93"/>
      <c r="S9" s="93"/>
      <c r="T9" s="93"/>
      <c r="U9" s="93"/>
      <c r="V9" s="93"/>
      <c r="W9" s="93"/>
      <c r="X9" s="93"/>
      <c r="Y9" s="246"/>
      <c r="Z9" s="2"/>
      <c r="AA9" s="256">
        <v>5</v>
      </c>
      <c r="AB9" s="16">
        <f t="shared" si="0"/>
        <v>-0.45719900000000102</v>
      </c>
      <c r="AC9" s="16">
        <f t="shared" si="1"/>
        <v>-1.3715990000000007</v>
      </c>
      <c r="AD9" s="16">
        <f t="shared" si="2"/>
        <v>0.20903092560100092</v>
      </c>
      <c r="AE9" s="16">
        <f t="shared" si="3"/>
        <v>1.8812838168010018</v>
      </c>
      <c r="AF9" s="16">
        <f t="shared" si="4"/>
        <v>0.62709369120100167</v>
      </c>
      <c r="AG9" s="17">
        <f t="shared" si="5"/>
        <v>-1.3716000000000006</v>
      </c>
      <c r="AH9" s="17">
        <f t="shared" si="6"/>
        <v>-0.45720000000000116</v>
      </c>
      <c r="AI9" s="18">
        <f t="shared" si="7"/>
        <v>356.98108171874105</v>
      </c>
      <c r="AJ9" s="18">
        <f t="shared" si="8"/>
        <v>8.0191462528234894</v>
      </c>
      <c r="BP9" s="2"/>
    </row>
    <row r="10" spans="1:82" x14ac:dyDescent="0.25">
      <c r="A10" s="48"/>
      <c r="B10" s="54"/>
      <c r="C10" s="54"/>
      <c r="D10" s="54"/>
      <c r="E10" s="54"/>
      <c r="F10" s="54"/>
      <c r="G10" s="54"/>
      <c r="H10" s="54"/>
      <c r="I10" s="54"/>
      <c r="J10" s="2"/>
      <c r="K10" s="2"/>
      <c r="L10" s="2"/>
      <c r="M10" s="2"/>
      <c r="N10" s="2"/>
      <c r="O10" s="2"/>
      <c r="P10" s="2"/>
      <c r="Q10" s="2"/>
      <c r="R10" s="2"/>
      <c r="S10" s="2"/>
      <c r="T10" s="2"/>
      <c r="U10" s="2"/>
      <c r="V10" s="2"/>
      <c r="W10" s="2"/>
      <c r="X10" s="2"/>
      <c r="Y10" s="259"/>
      <c r="Z10" s="2"/>
      <c r="AA10" s="256">
        <v>6</v>
      </c>
      <c r="AB10" s="16">
        <f t="shared" si="0"/>
        <v>0.45720099999999864</v>
      </c>
      <c r="AC10" s="16">
        <f t="shared" si="1"/>
        <v>-1.3715990000000007</v>
      </c>
      <c r="AD10" s="16">
        <f t="shared" si="2"/>
        <v>0.20903275440099875</v>
      </c>
      <c r="AE10" s="16">
        <f t="shared" si="3"/>
        <v>1.8812838168010018</v>
      </c>
      <c r="AF10" s="16">
        <f t="shared" si="4"/>
        <v>-0.62709643439899843</v>
      </c>
      <c r="AG10" s="17">
        <f t="shared" si="5"/>
        <v>-1.3716000000000006</v>
      </c>
      <c r="AH10" s="17">
        <f t="shared" si="6"/>
        <v>0.4571999999999985</v>
      </c>
      <c r="AI10" s="18">
        <f t="shared" si="7"/>
        <v>354.7345017457834</v>
      </c>
      <c r="AJ10" s="18">
        <f t="shared" si="8"/>
        <v>8.0191462528234894</v>
      </c>
      <c r="BK10" s="8"/>
    </row>
    <row r="11" spans="1:82" x14ac:dyDescent="0.25">
      <c r="A11" s="97"/>
      <c r="B11" s="56" t="s">
        <v>53</v>
      </c>
      <c r="C11" s="53"/>
      <c r="D11" s="74"/>
      <c r="E11" s="56" t="s">
        <v>53</v>
      </c>
      <c r="F11" s="53"/>
      <c r="G11" s="74"/>
      <c r="H11" s="56" t="s">
        <v>54</v>
      </c>
      <c r="I11" s="53"/>
      <c r="J11" s="2"/>
      <c r="K11" s="56" t="s">
        <v>54</v>
      </c>
      <c r="L11" s="53"/>
      <c r="M11" s="2"/>
      <c r="N11" s="56" t="s">
        <v>54</v>
      </c>
      <c r="O11" s="53"/>
      <c r="P11" s="2"/>
      <c r="Q11" s="56" t="s">
        <v>54</v>
      </c>
      <c r="R11" s="53"/>
      <c r="S11" s="2"/>
      <c r="T11" s="56" t="s">
        <v>54</v>
      </c>
      <c r="U11" s="53"/>
      <c r="V11" s="2"/>
      <c r="W11" s="56" t="s">
        <v>54</v>
      </c>
      <c r="X11" s="53"/>
      <c r="Y11" s="259"/>
      <c r="Z11" s="2"/>
      <c r="AA11" s="256">
        <v>7</v>
      </c>
      <c r="AB11" s="16">
        <f t="shared" si="0"/>
        <v>1.3716009999999992</v>
      </c>
      <c r="AC11" s="16">
        <f t="shared" si="1"/>
        <v>-1.3715990000000007</v>
      </c>
      <c r="AD11" s="16">
        <f t="shared" si="2"/>
        <v>1.8812893032009979</v>
      </c>
      <c r="AE11" s="16">
        <f t="shared" si="3"/>
        <v>1.8812838168010018</v>
      </c>
      <c r="AF11" s="16">
        <f t="shared" si="4"/>
        <v>-1.8812865599989999</v>
      </c>
      <c r="AG11" s="17">
        <f t="shared" si="5"/>
        <v>-1.3716000000000006</v>
      </c>
      <c r="AH11" s="17">
        <f t="shared" si="6"/>
        <v>1.371599999999999</v>
      </c>
      <c r="AI11" s="18">
        <f t="shared" si="7"/>
        <v>352.48792177282581</v>
      </c>
      <c r="AJ11" s="18">
        <f t="shared" si="8"/>
        <v>8.0191462528234894</v>
      </c>
      <c r="AM11" s="2"/>
      <c r="AN11" s="2"/>
      <c r="AO11" s="2"/>
      <c r="AP11" s="2"/>
      <c r="AQ11" s="2"/>
      <c r="AR11" s="2"/>
      <c r="AS11" s="2"/>
      <c r="AT11" s="2"/>
      <c r="AU11" s="2"/>
      <c r="AV11" s="2"/>
      <c r="AW11" s="2"/>
      <c r="AX11" s="2"/>
      <c r="AY11" s="2"/>
      <c r="AZ11" s="2"/>
      <c r="BA11" s="2"/>
      <c r="BB11" s="2"/>
      <c r="BC11" s="2"/>
      <c r="BG11" s="239" t="s">
        <v>165</v>
      </c>
      <c r="BH11" s="22"/>
      <c r="BI11" s="22"/>
      <c r="BJ11" s="22"/>
      <c r="BK11" s="196"/>
    </row>
    <row r="12" spans="1:82" x14ac:dyDescent="0.25">
      <c r="A12" s="45"/>
      <c r="B12" s="77" t="s">
        <v>192</v>
      </c>
      <c r="C12" s="77" t="s">
        <v>193</v>
      </c>
      <c r="D12" s="54"/>
      <c r="E12" s="77" t="s">
        <v>127</v>
      </c>
      <c r="F12" s="77" t="s">
        <v>128</v>
      </c>
      <c r="G12" s="54"/>
      <c r="H12" s="77" t="s">
        <v>127</v>
      </c>
      <c r="I12" s="77" t="s">
        <v>128</v>
      </c>
      <c r="J12" s="2"/>
      <c r="K12" s="77" t="s">
        <v>127</v>
      </c>
      <c r="L12" s="77" t="s">
        <v>128</v>
      </c>
      <c r="M12" s="2"/>
      <c r="N12" s="77" t="s">
        <v>127</v>
      </c>
      <c r="O12" s="77" t="s">
        <v>128</v>
      </c>
      <c r="P12" s="2"/>
      <c r="Q12" s="77" t="s">
        <v>127</v>
      </c>
      <c r="R12" s="77" t="s">
        <v>128</v>
      </c>
      <c r="S12" s="2"/>
      <c r="T12" s="77" t="s">
        <v>127</v>
      </c>
      <c r="U12" s="77" t="s">
        <v>128</v>
      </c>
      <c r="V12" s="2"/>
      <c r="W12" s="77" t="s">
        <v>127</v>
      </c>
      <c r="X12" s="77" t="s">
        <v>128</v>
      </c>
      <c r="Y12" s="259"/>
      <c r="Z12" s="2"/>
      <c r="AA12" s="256">
        <v>8</v>
      </c>
      <c r="AB12" s="16">
        <f t="shared" si="0"/>
        <v>2.2860009999999988</v>
      </c>
      <c r="AC12" s="16">
        <f t="shared" si="1"/>
        <v>-1.3715990000000007</v>
      </c>
      <c r="AD12" s="16">
        <f t="shared" si="2"/>
        <v>5.2258005720009946</v>
      </c>
      <c r="AE12" s="16">
        <f t="shared" si="3"/>
        <v>1.8812838168010018</v>
      </c>
      <c r="AF12" s="16">
        <f t="shared" si="4"/>
        <v>-3.1354766855989999</v>
      </c>
      <c r="AG12" s="17">
        <f t="shared" si="5"/>
        <v>-1.3716000000000006</v>
      </c>
      <c r="AH12" s="17">
        <f t="shared" si="6"/>
        <v>2.2859999999999987</v>
      </c>
      <c r="AI12" s="18">
        <f t="shared" si="7"/>
        <v>350.24134179986822</v>
      </c>
      <c r="AJ12" s="18">
        <f t="shared" si="8"/>
        <v>8.0191462528234894</v>
      </c>
      <c r="AM12" s="2"/>
      <c r="AN12" s="2"/>
      <c r="AO12" s="2"/>
      <c r="AP12" s="2"/>
      <c r="AQ12" s="2"/>
      <c r="AR12" s="2"/>
      <c r="AS12" s="2"/>
      <c r="AT12" s="2"/>
      <c r="AU12" s="2"/>
      <c r="AV12" s="2"/>
      <c r="AW12" s="2"/>
      <c r="AX12" s="2"/>
      <c r="AY12" s="2"/>
      <c r="AZ12" s="2"/>
      <c r="BA12" s="2"/>
      <c r="BB12" s="2"/>
      <c r="BC12" s="2"/>
      <c r="BG12" s="199"/>
      <c r="BH12" s="196" t="s">
        <v>196</v>
      </c>
      <c r="BI12" s="196" t="s">
        <v>197</v>
      </c>
      <c r="BJ12" s="194"/>
      <c r="BK12" s="196" t="s">
        <v>196</v>
      </c>
      <c r="BL12" s="196" t="s">
        <v>197</v>
      </c>
      <c r="BN12" s="196" t="s">
        <v>196</v>
      </c>
      <c r="BO12" s="196" t="s">
        <v>197</v>
      </c>
      <c r="BQ12" s="196" t="s">
        <v>196</v>
      </c>
      <c r="BR12" s="196" t="s">
        <v>197</v>
      </c>
      <c r="BT12" s="196" t="s">
        <v>196</v>
      </c>
      <c r="BU12" s="196" t="s">
        <v>197</v>
      </c>
      <c r="BW12" s="196" t="s">
        <v>196</v>
      </c>
      <c r="BX12" s="196" t="s">
        <v>197</v>
      </c>
      <c r="BZ12" s="196" t="s">
        <v>196</v>
      </c>
      <c r="CA12" s="196" t="s">
        <v>197</v>
      </c>
      <c r="CC12" s="196" t="s">
        <v>196</v>
      </c>
      <c r="CD12" s="196" t="s">
        <v>197</v>
      </c>
    </row>
    <row r="13" spans="1:82" x14ac:dyDescent="0.25">
      <c r="A13" s="260" t="str">
        <f t="shared" ref="A13:A44" si="9">IF($C$9&gt;=$AA5,"#"&amp;$AA5&amp;":","")</f>
        <v>#1:</v>
      </c>
      <c r="B13" s="141">
        <v>0</v>
      </c>
      <c r="C13" s="141">
        <v>0</v>
      </c>
      <c r="D13" s="260" t="str">
        <f t="shared" ref="D13:D44" si="10">IF($C$9&gt;=$AA55,"#"&amp;$AA55&amp;":","")</f>
        <v/>
      </c>
      <c r="E13" s="141"/>
      <c r="F13" s="141"/>
      <c r="G13" s="260" t="str">
        <f t="shared" ref="G13:G44" si="11">IF($C$9&gt;=$AA105,"#"&amp;$AA105&amp;":","")</f>
        <v/>
      </c>
      <c r="H13" s="141"/>
      <c r="I13" s="141"/>
      <c r="J13" s="261" t="str">
        <f t="shared" ref="J13:J44" si="12">IF($C$9&gt;=$AA155,"#"&amp;$AA155&amp;":","")</f>
        <v/>
      </c>
      <c r="K13" s="141"/>
      <c r="L13" s="142"/>
      <c r="M13" s="260" t="str">
        <f t="shared" ref="M13:M44" si="13">IF($C$9&gt;=$AA205,"#"&amp;$AA205&amp;":","")</f>
        <v/>
      </c>
      <c r="N13" s="141"/>
      <c r="O13" s="141"/>
      <c r="P13" s="260" t="str">
        <f t="shared" ref="P13:P44" si="14">IF($C$9&gt;=$AA255,"#"&amp;$AA255&amp;":","")</f>
        <v/>
      </c>
      <c r="Q13" s="141"/>
      <c r="R13" s="141"/>
      <c r="S13" s="260" t="str">
        <f t="shared" ref="S13:S44" si="15">IF($C$9&gt;=$AA305,"#"&amp;$AA305&amp;":","")</f>
        <v/>
      </c>
      <c r="T13" s="141"/>
      <c r="U13" s="141"/>
      <c r="V13" s="260" t="str">
        <f t="shared" ref="V13:V44" si="16">IF($C$9&gt;=$AA355,"#"&amp;$AA355&amp;":","")</f>
        <v/>
      </c>
      <c r="W13" s="141"/>
      <c r="X13" s="141"/>
      <c r="Y13" s="259"/>
      <c r="Z13" s="2"/>
      <c r="AA13" s="256">
        <v>9</v>
      </c>
      <c r="AB13" s="16">
        <f t="shared" si="0"/>
        <v>3.2004009999999994</v>
      </c>
      <c r="AC13" s="16">
        <f t="shared" si="1"/>
        <v>-1.3715990000000007</v>
      </c>
      <c r="AD13" s="16">
        <f t="shared" si="2"/>
        <v>10.242566560800997</v>
      </c>
      <c r="AE13" s="16">
        <f t="shared" si="3"/>
        <v>1.8812838168010018</v>
      </c>
      <c r="AF13" s="16">
        <f t="shared" si="4"/>
        <v>-4.3896668111990014</v>
      </c>
      <c r="AG13" s="17">
        <f t="shared" si="5"/>
        <v>-1.3716000000000006</v>
      </c>
      <c r="AH13" s="17">
        <f t="shared" si="6"/>
        <v>3.2003999999999992</v>
      </c>
      <c r="AI13" s="18">
        <f t="shared" si="7"/>
        <v>347.99476182691063</v>
      </c>
      <c r="AJ13" s="18">
        <f t="shared" si="8"/>
        <v>8.0191462528234894</v>
      </c>
      <c r="AM13" s="2"/>
      <c r="AN13" s="2"/>
      <c r="AO13" s="2"/>
      <c r="AP13" s="2"/>
      <c r="AQ13" s="2"/>
      <c r="AR13" s="2"/>
      <c r="AS13" s="2"/>
      <c r="AT13" s="2"/>
      <c r="AU13" s="2"/>
      <c r="AV13" s="2"/>
      <c r="AW13" s="2"/>
      <c r="AX13" s="2"/>
      <c r="AY13" s="2"/>
      <c r="AZ13" s="2"/>
      <c r="BA13" s="2"/>
      <c r="BB13" s="2"/>
      <c r="BC13" s="2"/>
      <c r="BG13" s="262" t="str">
        <f t="shared" ref="BG13:BG44" si="17">IF($C$9&gt;=$AA5,"#"&amp;$AA5&amp;":","")</f>
        <v>#1:</v>
      </c>
      <c r="BH13" s="216">
        <f>IF($C$9&gt;=$AA5,$B13*3.28084,"")</f>
        <v>0</v>
      </c>
      <c r="BI13" s="228">
        <f>IF($C$9&gt;=$AA5,$C13*3.28084,"")</f>
        <v>0</v>
      </c>
      <c r="BJ13" s="262" t="str">
        <f t="shared" ref="BJ13:BJ44" si="18">IF($C$9&gt;=$AA55,"#"&amp;$AA55&amp;":","")</f>
        <v/>
      </c>
      <c r="BK13" s="216" t="str">
        <f>IF($C$9&gt;=$AA55,$E13*3.28084,"")</f>
        <v/>
      </c>
      <c r="BL13" s="228" t="str">
        <f>IF($C$9&gt;=$AA55,$F13*3.28084,"")</f>
        <v/>
      </c>
      <c r="BM13" s="262" t="str">
        <f t="shared" ref="BM13:BM44" si="19">IF($C$9&gt;=$AA105,"#"&amp;$AA105&amp;":","")</f>
        <v/>
      </c>
      <c r="BN13" s="216" t="str">
        <f>IF($C$9&gt;=$AA105,$H13*3.28084,"")</f>
        <v/>
      </c>
      <c r="BO13" s="228" t="str">
        <f>IF($C$9&gt;=$AA105,$I13*3.28084,"")</f>
        <v/>
      </c>
      <c r="BP13" s="262" t="str">
        <f t="shared" ref="BP13:BP44" si="20">IF($C$9&gt;=$AA155,"#"&amp;$AA155&amp;":","")</f>
        <v/>
      </c>
      <c r="BQ13" s="216" t="str">
        <f>IF($C$9&gt;=$AA155,$K13*3.28084,"")</f>
        <v/>
      </c>
      <c r="BR13" s="228" t="str">
        <f>IF($C$9&gt;=$AA155,$L13*3.28084,"")</f>
        <v/>
      </c>
      <c r="BS13" s="262" t="str">
        <f t="shared" ref="BS13:BS44" si="21">IF($C$9&gt;=$AA205,"#"&amp;$AA205&amp;":","")</f>
        <v/>
      </c>
      <c r="BT13" s="216" t="str">
        <f>IF($C$9&gt;=$AA205,$N13*3.28084,"")</f>
        <v/>
      </c>
      <c r="BU13" s="228" t="str">
        <f>IF($C$9&gt;=$AA205,$O13*3.28084,"")</f>
        <v/>
      </c>
      <c r="BV13" s="262" t="str">
        <f t="shared" ref="BV13:BV44" si="22">IF($C$9&gt;=$AA255,"#"&amp;$AA255&amp;":","")</f>
        <v/>
      </c>
      <c r="BW13" s="216" t="str">
        <f>IF($C$9&gt;=$AA255,$Q13*3.28084,"")</f>
        <v/>
      </c>
      <c r="BX13" s="228" t="str">
        <f>IF($C$9&gt;=$AA255,$R13*3.28084,"")</f>
        <v/>
      </c>
      <c r="BY13" s="262" t="str">
        <f t="shared" ref="BY13:BY44" si="23">IF($C$9&gt;=$AA305,"#"&amp;$AA305&amp;":","")</f>
        <v/>
      </c>
      <c r="BZ13" s="216" t="str">
        <f>IF($C$9&gt;=$AA255,$T13*3.28084,"")</f>
        <v/>
      </c>
      <c r="CA13" s="228" t="str">
        <f>IF($C$9&gt;=$AA255,$U13*3.28084,"")</f>
        <v/>
      </c>
      <c r="CB13" s="262" t="str">
        <f t="shared" ref="CB13:CB44" si="24">IF($C$9&gt;=$AA355,"#"&amp;$AA355&amp;":","")</f>
        <v/>
      </c>
      <c r="CC13" s="216" t="str">
        <f>IF($C$9&gt;=$AA255,$W13*3.28084,"")</f>
        <v/>
      </c>
      <c r="CD13" s="228" t="str">
        <f>IF($C$9&gt;=$AA255,$X13*3.28084,"")</f>
        <v/>
      </c>
    </row>
    <row r="14" spans="1:82" x14ac:dyDescent="0.25">
      <c r="A14" s="260" t="str">
        <f t="shared" si="9"/>
        <v>#2:</v>
      </c>
      <c r="B14" s="145">
        <v>0</v>
      </c>
      <c r="C14" s="145">
        <v>0.9144000000000001</v>
      </c>
      <c r="D14" s="260" t="str">
        <f t="shared" si="10"/>
        <v/>
      </c>
      <c r="E14" s="145"/>
      <c r="F14" s="145"/>
      <c r="G14" s="260" t="str">
        <f t="shared" si="11"/>
        <v/>
      </c>
      <c r="H14" s="145"/>
      <c r="I14" s="145"/>
      <c r="J14" s="261" t="str">
        <f t="shared" si="12"/>
        <v/>
      </c>
      <c r="K14" s="145"/>
      <c r="L14" s="145"/>
      <c r="M14" s="260" t="str">
        <f t="shared" si="13"/>
        <v/>
      </c>
      <c r="N14" s="145"/>
      <c r="O14" s="145"/>
      <c r="P14" s="260" t="str">
        <f t="shared" si="14"/>
        <v/>
      </c>
      <c r="Q14" s="145"/>
      <c r="R14" s="145"/>
      <c r="S14" s="260" t="str">
        <f t="shared" si="15"/>
        <v/>
      </c>
      <c r="T14" s="145"/>
      <c r="U14" s="145"/>
      <c r="V14" s="260" t="str">
        <f t="shared" si="16"/>
        <v/>
      </c>
      <c r="W14" s="145"/>
      <c r="X14" s="145"/>
      <c r="Y14" s="259"/>
      <c r="Z14" s="2"/>
      <c r="AA14" s="256">
        <v>10</v>
      </c>
      <c r="AB14" s="16">
        <f t="shared" si="0"/>
        <v>4.1148009999999973</v>
      </c>
      <c r="AC14" s="16">
        <f t="shared" si="1"/>
        <v>-1.3715990000000007</v>
      </c>
      <c r="AD14" s="16">
        <f t="shared" si="2"/>
        <v>16.931587269600978</v>
      </c>
      <c r="AE14" s="16">
        <f t="shared" si="3"/>
        <v>1.8812838168010018</v>
      </c>
      <c r="AF14" s="16">
        <f t="shared" si="4"/>
        <v>-5.6438569367989988</v>
      </c>
      <c r="AG14" s="17">
        <f t="shared" si="5"/>
        <v>-1.3716000000000006</v>
      </c>
      <c r="AH14" s="17">
        <f t="shared" si="6"/>
        <v>4.114799999999998</v>
      </c>
      <c r="AI14" s="18">
        <f t="shared" si="7"/>
        <v>345.74818185395304</v>
      </c>
      <c r="AJ14" s="18">
        <f t="shared" si="8"/>
        <v>8.0191462528234894</v>
      </c>
      <c r="AM14" s="2"/>
      <c r="AN14" s="2"/>
      <c r="AO14" s="2"/>
      <c r="AP14" s="2"/>
      <c r="AQ14" s="2"/>
      <c r="AR14" s="2"/>
      <c r="AS14" s="2"/>
      <c r="AT14" s="2"/>
      <c r="AU14" s="2"/>
      <c r="AV14" s="2"/>
      <c r="AW14" s="2"/>
      <c r="AX14" s="2"/>
      <c r="AY14" s="2"/>
      <c r="AZ14" s="2"/>
      <c r="BA14" s="2"/>
      <c r="BB14" s="2"/>
      <c r="BC14" s="2"/>
      <c r="BG14" s="262" t="str">
        <f t="shared" si="17"/>
        <v>#2:</v>
      </c>
      <c r="BH14" s="217">
        <f>IF($C$9&gt;=$AA6,$B14*3.28084,"")</f>
        <v>0</v>
      </c>
      <c r="BI14" s="229">
        <f>IF($C$9&gt;=$AA6,$C14*3.28084,"")</f>
        <v>3.0000000960000004</v>
      </c>
      <c r="BJ14" s="262" t="str">
        <f t="shared" si="18"/>
        <v/>
      </c>
      <c r="BK14" s="217" t="str">
        <f t="shared" ref="BK14:BK62" si="25">IF($C$9&gt;=$AA56,$E14*3.28084,"")</f>
        <v/>
      </c>
      <c r="BL14" s="229" t="str">
        <f t="shared" ref="BL14:BL62" si="26">IF($C$9&gt;=$AA56,$F14*3.28084,"")</f>
        <v/>
      </c>
      <c r="BM14" s="262" t="str">
        <f t="shared" si="19"/>
        <v/>
      </c>
      <c r="BN14" s="217" t="str">
        <f t="shared" ref="BN14:BN62" si="27">IF($C$9&gt;=$AA106,$H14*3.28084,"")</f>
        <v/>
      </c>
      <c r="BO14" s="229" t="str">
        <f t="shared" ref="BO14:BO62" si="28">IF($C$9&gt;=$AA106,$I14*3.28084,"")</f>
        <v/>
      </c>
      <c r="BP14" s="262" t="str">
        <f t="shared" si="20"/>
        <v/>
      </c>
      <c r="BQ14" s="217" t="str">
        <f t="shared" ref="BQ14:BQ62" si="29">IF($C$9&gt;=$AA156,$K14*3.28084,"")</f>
        <v/>
      </c>
      <c r="BR14" s="229" t="str">
        <f t="shared" ref="BR14:BR62" si="30">IF($C$9&gt;=$AA156,$L14*3.28084,"")</f>
        <v/>
      </c>
      <c r="BS14" s="262" t="str">
        <f t="shared" si="21"/>
        <v/>
      </c>
      <c r="BT14" s="217" t="str">
        <f t="shared" ref="BT14:BT62" si="31">IF($C$9&gt;=$AA206,$N14*3.28084,"")</f>
        <v/>
      </c>
      <c r="BU14" s="229" t="str">
        <f t="shared" ref="BU14:BU62" si="32">IF($C$9&gt;=$AA206,$O14*3.28084,"")</f>
        <v/>
      </c>
      <c r="BV14" s="262" t="str">
        <f t="shared" si="22"/>
        <v/>
      </c>
      <c r="BW14" s="217" t="str">
        <f t="shared" ref="BW14:BW62" si="33">IF($C$9&gt;=$AA256,$Q14*3.28084,"")</f>
        <v/>
      </c>
      <c r="BX14" s="229" t="str">
        <f t="shared" ref="BX14:BX62" si="34">IF($C$9&gt;=$AA256,$R14*3.28084,"")</f>
        <v/>
      </c>
      <c r="BY14" s="262" t="str">
        <f t="shared" si="23"/>
        <v/>
      </c>
      <c r="BZ14" s="217" t="str">
        <f t="shared" ref="BZ14:BZ62" si="35">IF($C$9&gt;=$AA256,$T14*3.28084,"")</f>
        <v/>
      </c>
      <c r="CA14" s="229" t="str">
        <f t="shared" ref="CA14:CA62" si="36">IF($C$9&gt;=$AA256,$U14*3.28084,"")</f>
        <v/>
      </c>
      <c r="CB14" s="262" t="str">
        <f t="shared" si="24"/>
        <v/>
      </c>
      <c r="CC14" s="217" t="str">
        <f t="shared" ref="CC14:CC62" si="37">IF($C$9&gt;=$AA256,$W14*3.28084,"")</f>
        <v/>
      </c>
      <c r="CD14" s="229" t="str">
        <f t="shared" ref="CD14:CD62" si="38">IF($C$9&gt;=$AA256,$X14*3.28084,"")</f>
        <v/>
      </c>
    </row>
    <row r="15" spans="1:82" x14ac:dyDescent="0.25">
      <c r="A15" s="260" t="str">
        <f t="shared" si="9"/>
        <v>#3:</v>
      </c>
      <c r="B15" s="145">
        <v>0</v>
      </c>
      <c r="C15" s="145">
        <v>1.8288000000000002</v>
      </c>
      <c r="D15" s="260" t="str">
        <f t="shared" si="10"/>
        <v/>
      </c>
      <c r="E15" s="145"/>
      <c r="F15" s="145"/>
      <c r="G15" s="260" t="str">
        <f t="shared" si="11"/>
        <v/>
      </c>
      <c r="H15" s="145"/>
      <c r="I15" s="145"/>
      <c r="J15" s="261" t="str">
        <f t="shared" si="12"/>
        <v/>
      </c>
      <c r="K15" s="145"/>
      <c r="L15" s="145"/>
      <c r="M15" s="260" t="str">
        <f t="shared" si="13"/>
        <v/>
      </c>
      <c r="N15" s="145"/>
      <c r="O15" s="145"/>
      <c r="P15" s="260" t="str">
        <f t="shared" si="14"/>
        <v/>
      </c>
      <c r="Q15" s="145"/>
      <c r="R15" s="145"/>
      <c r="S15" s="260" t="str">
        <f t="shared" si="15"/>
        <v/>
      </c>
      <c r="T15" s="145"/>
      <c r="U15" s="145"/>
      <c r="V15" s="260" t="str">
        <f t="shared" si="16"/>
        <v/>
      </c>
      <c r="W15" s="145"/>
      <c r="X15" s="145"/>
      <c r="Y15" s="259"/>
      <c r="Z15" s="2"/>
      <c r="AA15" s="256">
        <v>11</v>
      </c>
      <c r="AB15" s="16">
        <f t="shared" si="0"/>
        <v>-4.1147990000000014</v>
      </c>
      <c r="AC15" s="16">
        <f t="shared" si="1"/>
        <v>-0.45719900000000047</v>
      </c>
      <c r="AD15" s="16">
        <f t="shared" si="2"/>
        <v>16.931570810401013</v>
      </c>
      <c r="AE15" s="16">
        <f t="shared" si="3"/>
        <v>0.20903092560100042</v>
      </c>
      <c r="AF15" s="16">
        <f t="shared" si="4"/>
        <v>1.8812819880010025</v>
      </c>
      <c r="AG15" s="17">
        <f t="shared" si="5"/>
        <v>-0.45720000000000049</v>
      </c>
      <c r="AH15" s="17">
        <f t="shared" si="6"/>
        <v>-4.1148000000000016</v>
      </c>
      <c r="AI15" s="18">
        <f t="shared" si="7"/>
        <v>351.13997378906328</v>
      </c>
      <c r="AJ15" s="18">
        <f t="shared" si="8"/>
        <v>8.0191462528234894</v>
      </c>
      <c r="AM15" s="2"/>
      <c r="AN15" s="2"/>
      <c r="AO15" s="2"/>
      <c r="AP15" s="2"/>
      <c r="AQ15" s="2"/>
      <c r="AR15" s="2"/>
      <c r="AS15" s="2"/>
      <c r="AT15" s="2"/>
      <c r="AU15" s="2"/>
      <c r="AV15" s="2"/>
      <c r="AW15" s="2"/>
      <c r="AX15" s="2"/>
      <c r="AY15" s="2"/>
      <c r="AZ15" s="2"/>
      <c r="BA15" s="2"/>
      <c r="BB15" s="2"/>
      <c r="BC15" s="2"/>
      <c r="BG15" s="262" t="str">
        <f t="shared" si="17"/>
        <v>#3:</v>
      </c>
      <c r="BH15" s="217">
        <f t="shared" ref="BH15:BH62" si="39">IF($C$9&gt;=$AA7,$B15*3.28084,"")</f>
        <v>0</v>
      </c>
      <c r="BI15" s="229">
        <f t="shared" ref="BI15:BI62" si="40">IF($C$9&gt;=$AA7,$C15*3.28084,"")</f>
        <v>6.0000001920000008</v>
      </c>
      <c r="BJ15" s="262" t="str">
        <f t="shared" si="18"/>
        <v/>
      </c>
      <c r="BK15" s="217" t="str">
        <f t="shared" si="25"/>
        <v/>
      </c>
      <c r="BL15" s="229" t="str">
        <f t="shared" si="26"/>
        <v/>
      </c>
      <c r="BM15" s="262" t="str">
        <f t="shared" si="19"/>
        <v/>
      </c>
      <c r="BN15" s="217" t="str">
        <f t="shared" si="27"/>
        <v/>
      </c>
      <c r="BO15" s="229" t="str">
        <f t="shared" si="28"/>
        <v/>
      </c>
      <c r="BP15" s="262" t="str">
        <f t="shared" si="20"/>
        <v/>
      </c>
      <c r="BQ15" s="217" t="str">
        <f t="shared" si="29"/>
        <v/>
      </c>
      <c r="BR15" s="229" t="str">
        <f t="shared" si="30"/>
        <v/>
      </c>
      <c r="BS15" s="262" t="str">
        <f t="shared" si="21"/>
        <v/>
      </c>
      <c r="BT15" s="217" t="str">
        <f t="shared" si="31"/>
        <v/>
      </c>
      <c r="BU15" s="229" t="str">
        <f t="shared" si="32"/>
        <v/>
      </c>
      <c r="BV15" s="262" t="str">
        <f t="shared" si="22"/>
        <v/>
      </c>
      <c r="BW15" s="217" t="str">
        <f t="shared" si="33"/>
        <v/>
      </c>
      <c r="BX15" s="229" t="str">
        <f t="shared" si="34"/>
        <v/>
      </c>
      <c r="BY15" s="262" t="str">
        <f t="shared" si="23"/>
        <v/>
      </c>
      <c r="BZ15" s="217" t="str">
        <f t="shared" si="35"/>
        <v/>
      </c>
      <c r="CA15" s="229" t="str">
        <f t="shared" si="36"/>
        <v/>
      </c>
      <c r="CB15" s="262" t="str">
        <f t="shared" si="24"/>
        <v/>
      </c>
      <c r="CC15" s="217" t="str">
        <f t="shared" si="37"/>
        <v/>
      </c>
      <c r="CD15" s="229" t="str">
        <f t="shared" si="38"/>
        <v/>
      </c>
    </row>
    <row r="16" spans="1:82" x14ac:dyDescent="0.25">
      <c r="A16" s="260" t="str">
        <f t="shared" si="9"/>
        <v>#4:</v>
      </c>
      <c r="B16" s="145">
        <v>0</v>
      </c>
      <c r="C16" s="145">
        <v>2.7432000000000003</v>
      </c>
      <c r="D16" s="260" t="str">
        <f t="shared" si="10"/>
        <v/>
      </c>
      <c r="E16" s="145"/>
      <c r="F16" s="145"/>
      <c r="G16" s="260" t="str">
        <f t="shared" si="11"/>
        <v/>
      </c>
      <c r="H16" s="145"/>
      <c r="I16" s="145"/>
      <c r="J16" s="261" t="str">
        <f t="shared" si="12"/>
        <v/>
      </c>
      <c r="K16" s="145"/>
      <c r="L16" s="145"/>
      <c r="M16" s="260" t="str">
        <f t="shared" si="13"/>
        <v/>
      </c>
      <c r="N16" s="145"/>
      <c r="O16" s="145"/>
      <c r="P16" s="260" t="str">
        <f t="shared" si="14"/>
        <v/>
      </c>
      <c r="Q16" s="145"/>
      <c r="R16" s="145"/>
      <c r="S16" s="260" t="str">
        <f t="shared" si="15"/>
        <v/>
      </c>
      <c r="T16" s="145"/>
      <c r="U16" s="145"/>
      <c r="V16" s="260" t="str">
        <f t="shared" si="16"/>
        <v/>
      </c>
      <c r="W16" s="145"/>
      <c r="X16" s="145"/>
      <c r="Y16" s="259"/>
      <c r="Z16" s="2"/>
      <c r="AA16" s="256">
        <v>12</v>
      </c>
      <c r="AB16" s="16">
        <f t="shared" si="0"/>
        <v>-3.2003990000000013</v>
      </c>
      <c r="AC16" s="16">
        <f t="shared" si="1"/>
        <v>-0.45719900000000047</v>
      </c>
      <c r="AD16" s="16">
        <f t="shared" si="2"/>
        <v>10.242553759201009</v>
      </c>
      <c r="AE16" s="16">
        <f t="shared" si="3"/>
        <v>0.20903092560100042</v>
      </c>
      <c r="AF16" s="16">
        <f t="shared" si="4"/>
        <v>1.4632192224010021</v>
      </c>
      <c r="AG16" s="17">
        <f t="shared" si="5"/>
        <v>-0.45720000000000049</v>
      </c>
      <c r="AH16" s="17">
        <f t="shared" si="6"/>
        <v>-3.2004000000000015</v>
      </c>
      <c r="AI16" s="18">
        <f t="shared" si="7"/>
        <v>348.89339381610569</v>
      </c>
      <c r="AJ16" s="18">
        <f t="shared" si="8"/>
        <v>8.0191462528234894</v>
      </c>
      <c r="AM16" s="2"/>
      <c r="AN16" s="2"/>
      <c r="AO16" s="2"/>
      <c r="AP16" s="2"/>
      <c r="AQ16" s="2"/>
      <c r="AR16" s="2"/>
      <c r="AS16" s="2"/>
      <c r="AT16" s="2"/>
      <c r="AU16" s="2"/>
      <c r="AV16" s="2"/>
      <c r="AW16" s="2"/>
      <c r="AX16" s="2"/>
      <c r="AY16" s="2"/>
      <c r="AZ16" s="2"/>
      <c r="BA16" s="2"/>
      <c r="BB16" s="2"/>
      <c r="BC16" s="2"/>
      <c r="BG16" s="262" t="str">
        <f t="shared" si="17"/>
        <v>#4:</v>
      </c>
      <c r="BH16" s="217">
        <f t="shared" si="39"/>
        <v>0</v>
      </c>
      <c r="BI16" s="229">
        <f t="shared" si="40"/>
        <v>9.0000002880000007</v>
      </c>
      <c r="BJ16" s="262" t="str">
        <f t="shared" si="18"/>
        <v/>
      </c>
      <c r="BK16" s="217" t="str">
        <f t="shared" si="25"/>
        <v/>
      </c>
      <c r="BL16" s="229" t="str">
        <f t="shared" si="26"/>
        <v/>
      </c>
      <c r="BM16" s="262" t="str">
        <f t="shared" si="19"/>
        <v/>
      </c>
      <c r="BN16" s="217" t="str">
        <f t="shared" si="27"/>
        <v/>
      </c>
      <c r="BO16" s="229" t="str">
        <f t="shared" si="28"/>
        <v/>
      </c>
      <c r="BP16" s="262" t="str">
        <f t="shared" si="20"/>
        <v/>
      </c>
      <c r="BQ16" s="217" t="str">
        <f t="shared" si="29"/>
        <v/>
      </c>
      <c r="BR16" s="229" t="str">
        <f t="shared" si="30"/>
        <v/>
      </c>
      <c r="BS16" s="262" t="str">
        <f t="shared" si="21"/>
        <v/>
      </c>
      <c r="BT16" s="217" t="str">
        <f t="shared" si="31"/>
        <v/>
      </c>
      <c r="BU16" s="229" t="str">
        <f t="shared" si="32"/>
        <v/>
      </c>
      <c r="BV16" s="262" t="str">
        <f t="shared" si="22"/>
        <v/>
      </c>
      <c r="BW16" s="217" t="str">
        <f t="shared" si="33"/>
        <v/>
      </c>
      <c r="BX16" s="229" t="str">
        <f t="shared" si="34"/>
        <v/>
      </c>
      <c r="BY16" s="262" t="str">
        <f t="shared" si="23"/>
        <v/>
      </c>
      <c r="BZ16" s="217" t="str">
        <f t="shared" si="35"/>
        <v/>
      </c>
      <c r="CA16" s="229" t="str">
        <f t="shared" si="36"/>
        <v/>
      </c>
      <c r="CB16" s="262" t="str">
        <f t="shared" si="24"/>
        <v/>
      </c>
      <c r="CC16" s="217" t="str">
        <f t="shared" si="37"/>
        <v/>
      </c>
      <c r="CD16" s="229" t="str">
        <f t="shared" si="38"/>
        <v/>
      </c>
    </row>
    <row r="17" spans="1:82" x14ac:dyDescent="0.25">
      <c r="A17" s="260" t="str">
        <f t="shared" si="9"/>
        <v>#5:</v>
      </c>
      <c r="B17" s="145">
        <v>0</v>
      </c>
      <c r="C17" s="145">
        <v>3.6576000000000004</v>
      </c>
      <c r="D17" s="260" t="str">
        <f t="shared" si="10"/>
        <v/>
      </c>
      <c r="E17" s="145"/>
      <c r="F17" s="145"/>
      <c r="G17" s="260" t="str">
        <f t="shared" si="11"/>
        <v/>
      </c>
      <c r="H17" s="145"/>
      <c r="I17" s="145"/>
      <c r="J17" s="261" t="str">
        <f t="shared" si="12"/>
        <v/>
      </c>
      <c r="K17" s="145"/>
      <c r="L17" s="145"/>
      <c r="M17" s="260" t="str">
        <f t="shared" si="13"/>
        <v/>
      </c>
      <c r="N17" s="145"/>
      <c r="O17" s="145"/>
      <c r="P17" s="260" t="str">
        <f t="shared" si="14"/>
        <v/>
      </c>
      <c r="Q17" s="145"/>
      <c r="R17" s="145"/>
      <c r="S17" s="260" t="str">
        <f t="shared" si="15"/>
        <v/>
      </c>
      <c r="T17" s="145"/>
      <c r="U17" s="145"/>
      <c r="V17" s="260" t="str">
        <f t="shared" si="16"/>
        <v/>
      </c>
      <c r="W17" s="145"/>
      <c r="X17" s="145"/>
      <c r="Y17" s="259"/>
      <c r="Z17" s="2"/>
      <c r="AA17" s="256">
        <v>13</v>
      </c>
      <c r="AB17" s="16">
        <f t="shared" si="0"/>
        <v>-2.2859990000000012</v>
      </c>
      <c r="AC17" s="16">
        <f t="shared" si="1"/>
        <v>-0.45719900000000047</v>
      </c>
      <c r="AD17" s="16">
        <f t="shared" si="2"/>
        <v>5.2257914280010054</v>
      </c>
      <c r="AE17" s="16">
        <f t="shared" si="3"/>
        <v>0.20903092560100042</v>
      </c>
      <c r="AF17" s="16">
        <f t="shared" si="4"/>
        <v>1.0451564568010017</v>
      </c>
      <c r="AG17" s="17">
        <f t="shared" si="5"/>
        <v>-0.45720000000000049</v>
      </c>
      <c r="AH17" s="17">
        <f t="shared" si="6"/>
        <v>-2.2860000000000014</v>
      </c>
      <c r="AI17" s="18">
        <f t="shared" si="7"/>
        <v>346.6468138431481</v>
      </c>
      <c r="AJ17" s="18">
        <f t="shared" si="8"/>
        <v>8.0191462528234894</v>
      </c>
      <c r="AM17" s="2"/>
      <c r="AN17" s="2"/>
      <c r="AO17" s="2"/>
      <c r="AP17" s="2"/>
      <c r="AQ17" s="2"/>
      <c r="AR17" s="2"/>
      <c r="AS17" s="2"/>
      <c r="AT17" s="2"/>
      <c r="AU17" s="2"/>
      <c r="AV17" s="2"/>
      <c r="AW17" s="2"/>
      <c r="AX17" s="2"/>
      <c r="AY17" s="2"/>
      <c r="AZ17" s="2"/>
      <c r="BA17" s="2"/>
      <c r="BB17" s="2"/>
      <c r="BC17" s="2"/>
      <c r="BG17" s="262" t="str">
        <f t="shared" si="17"/>
        <v>#5:</v>
      </c>
      <c r="BH17" s="217">
        <f t="shared" si="39"/>
        <v>0</v>
      </c>
      <c r="BI17" s="229">
        <f t="shared" si="40"/>
        <v>12.000000384000002</v>
      </c>
      <c r="BJ17" s="262" t="str">
        <f t="shared" si="18"/>
        <v/>
      </c>
      <c r="BK17" s="217" t="str">
        <f t="shared" si="25"/>
        <v/>
      </c>
      <c r="BL17" s="229" t="str">
        <f t="shared" si="26"/>
        <v/>
      </c>
      <c r="BM17" s="262" t="str">
        <f t="shared" si="19"/>
        <v/>
      </c>
      <c r="BN17" s="217" t="str">
        <f t="shared" si="27"/>
        <v/>
      </c>
      <c r="BO17" s="229" t="str">
        <f t="shared" si="28"/>
        <v/>
      </c>
      <c r="BP17" s="262" t="str">
        <f t="shared" si="20"/>
        <v/>
      </c>
      <c r="BQ17" s="217" t="str">
        <f t="shared" si="29"/>
        <v/>
      </c>
      <c r="BR17" s="229" t="str">
        <f t="shared" si="30"/>
        <v/>
      </c>
      <c r="BS17" s="262" t="str">
        <f t="shared" si="21"/>
        <v/>
      </c>
      <c r="BT17" s="217" t="str">
        <f t="shared" si="31"/>
        <v/>
      </c>
      <c r="BU17" s="229" t="str">
        <f t="shared" si="32"/>
        <v/>
      </c>
      <c r="BV17" s="262" t="str">
        <f t="shared" si="22"/>
        <v/>
      </c>
      <c r="BW17" s="217" t="str">
        <f t="shared" si="33"/>
        <v/>
      </c>
      <c r="BX17" s="229" t="str">
        <f t="shared" si="34"/>
        <v/>
      </c>
      <c r="BY17" s="262" t="str">
        <f t="shared" si="23"/>
        <v/>
      </c>
      <c r="BZ17" s="217" t="str">
        <f t="shared" si="35"/>
        <v/>
      </c>
      <c r="CA17" s="229" t="str">
        <f t="shared" si="36"/>
        <v/>
      </c>
      <c r="CB17" s="262" t="str">
        <f t="shared" si="24"/>
        <v/>
      </c>
      <c r="CC17" s="217" t="str">
        <f t="shared" si="37"/>
        <v/>
      </c>
      <c r="CD17" s="229" t="str">
        <f t="shared" si="38"/>
        <v/>
      </c>
    </row>
    <row r="18" spans="1:82" x14ac:dyDescent="0.25">
      <c r="A18" s="260" t="str">
        <f t="shared" si="9"/>
        <v>#6:</v>
      </c>
      <c r="B18" s="145">
        <v>0</v>
      </c>
      <c r="C18" s="145">
        <v>4.5720000000000001</v>
      </c>
      <c r="D18" s="260" t="str">
        <f t="shared" si="10"/>
        <v/>
      </c>
      <c r="E18" s="145"/>
      <c r="F18" s="145"/>
      <c r="G18" s="260" t="str">
        <f t="shared" si="11"/>
        <v/>
      </c>
      <c r="H18" s="145"/>
      <c r="I18" s="145"/>
      <c r="J18" s="261" t="str">
        <f t="shared" si="12"/>
        <v/>
      </c>
      <c r="K18" s="145"/>
      <c r="L18" s="145"/>
      <c r="M18" s="260" t="str">
        <f t="shared" si="13"/>
        <v/>
      </c>
      <c r="N18" s="145"/>
      <c r="O18" s="145"/>
      <c r="P18" s="260" t="str">
        <f t="shared" si="14"/>
        <v/>
      </c>
      <c r="Q18" s="145"/>
      <c r="R18" s="145"/>
      <c r="S18" s="260" t="str">
        <f t="shared" si="15"/>
        <v/>
      </c>
      <c r="T18" s="145"/>
      <c r="U18" s="145"/>
      <c r="V18" s="260" t="str">
        <f t="shared" si="16"/>
        <v/>
      </c>
      <c r="W18" s="145"/>
      <c r="X18" s="145"/>
      <c r="Y18" s="259"/>
      <c r="Z18" s="2"/>
      <c r="AA18" s="256">
        <v>14</v>
      </c>
      <c r="AB18" s="16">
        <f t="shared" si="0"/>
        <v>-1.3715990000000011</v>
      </c>
      <c r="AC18" s="16">
        <f t="shared" si="1"/>
        <v>-0.45719900000000047</v>
      </c>
      <c r="AD18" s="16">
        <f t="shared" si="2"/>
        <v>1.8812838168010031</v>
      </c>
      <c r="AE18" s="16">
        <f t="shared" si="3"/>
        <v>0.20903092560100042</v>
      </c>
      <c r="AF18" s="16">
        <f t="shared" si="4"/>
        <v>0.62709369120100111</v>
      </c>
      <c r="AG18" s="17">
        <f t="shared" si="5"/>
        <v>-0.45720000000000049</v>
      </c>
      <c r="AH18" s="17">
        <f t="shared" si="6"/>
        <v>-1.3716000000000013</v>
      </c>
      <c r="AI18" s="18">
        <f t="shared" si="7"/>
        <v>344.4002338701905</v>
      </c>
      <c r="AJ18" s="18">
        <f t="shared" si="8"/>
        <v>8.0191462528234894</v>
      </c>
      <c r="AM18" s="2"/>
      <c r="AN18" s="2"/>
      <c r="AO18" s="2"/>
      <c r="AP18" s="2"/>
      <c r="AQ18" s="2"/>
      <c r="AR18" s="2"/>
      <c r="AS18" s="2"/>
      <c r="AT18" s="2"/>
      <c r="AU18" s="2"/>
      <c r="AV18" s="2"/>
      <c r="AW18" s="2"/>
      <c r="AX18" s="2"/>
      <c r="AY18" s="2"/>
      <c r="AZ18" s="2"/>
      <c r="BA18" s="2"/>
      <c r="BB18" s="2"/>
      <c r="BC18" s="2"/>
      <c r="BG18" s="262" t="str">
        <f t="shared" si="17"/>
        <v>#6:</v>
      </c>
      <c r="BH18" s="217">
        <f t="shared" si="39"/>
        <v>0</v>
      </c>
      <c r="BI18" s="229">
        <f t="shared" si="40"/>
        <v>15.000000480000001</v>
      </c>
      <c r="BJ18" s="262" t="str">
        <f t="shared" si="18"/>
        <v/>
      </c>
      <c r="BK18" s="217" t="str">
        <f t="shared" si="25"/>
        <v/>
      </c>
      <c r="BL18" s="229" t="str">
        <f t="shared" si="26"/>
        <v/>
      </c>
      <c r="BM18" s="262" t="str">
        <f t="shared" si="19"/>
        <v/>
      </c>
      <c r="BN18" s="217" t="str">
        <f t="shared" si="27"/>
        <v/>
      </c>
      <c r="BO18" s="229" t="str">
        <f t="shared" si="28"/>
        <v/>
      </c>
      <c r="BP18" s="262" t="str">
        <f t="shared" si="20"/>
        <v/>
      </c>
      <c r="BQ18" s="217" t="str">
        <f t="shared" si="29"/>
        <v/>
      </c>
      <c r="BR18" s="229" t="str">
        <f t="shared" si="30"/>
        <v/>
      </c>
      <c r="BS18" s="262" t="str">
        <f t="shared" si="21"/>
        <v/>
      </c>
      <c r="BT18" s="217" t="str">
        <f t="shared" si="31"/>
        <v/>
      </c>
      <c r="BU18" s="229" t="str">
        <f t="shared" si="32"/>
        <v/>
      </c>
      <c r="BV18" s="262" t="str">
        <f t="shared" si="22"/>
        <v/>
      </c>
      <c r="BW18" s="217" t="str">
        <f t="shared" si="33"/>
        <v/>
      </c>
      <c r="BX18" s="229" t="str">
        <f t="shared" si="34"/>
        <v/>
      </c>
      <c r="BY18" s="262" t="str">
        <f t="shared" si="23"/>
        <v/>
      </c>
      <c r="BZ18" s="217" t="str">
        <f t="shared" si="35"/>
        <v/>
      </c>
      <c r="CA18" s="229" t="str">
        <f t="shared" si="36"/>
        <v/>
      </c>
      <c r="CB18" s="262" t="str">
        <f t="shared" si="24"/>
        <v/>
      </c>
      <c r="CC18" s="217" t="str">
        <f t="shared" si="37"/>
        <v/>
      </c>
      <c r="CD18" s="229" t="str">
        <f t="shared" si="38"/>
        <v/>
      </c>
    </row>
    <row r="19" spans="1:82" x14ac:dyDescent="0.25">
      <c r="A19" s="260" t="str">
        <f t="shared" si="9"/>
        <v>#7:</v>
      </c>
      <c r="B19" s="145">
        <v>0</v>
      </c>
      <c r="C19" s="145">
        <v>5.4864000000000006</v>
      </c>
      <c r="D19" s="260" t="str">
        <f t="shared" si="10"/>
        <v/>
      </c>
      <c r="E19" s="145"/>
      <c r="F19" s="145"/>
      <c r="G19" s="260" t="str">
        <f t="shared" si="11"/>
        <v/>
      </c>
      <c r="H19" s="145"/>
      <c r="I19" s="145"/>
      <c r="J19" s="261" t="str">
        <f t="shared" si="12"/>
        <v/>
      </c>
      <c r="K19" s="145"/>
      <c r="L19" s="145"/>
      <c r="M19" s="260" t="str">
        <f t="shared" si="13"/>
        <v/>
      </c>
      <c r="N19" s="145"/>
      <c r="O19" s="145"/>
      <c r="P19" s="260" t="str">
        <f t="shared" si="14"/>
        <v/>
      </c>
      <c r="Q19" s="145"/>
      <c r="R19" s="145"/>
      <c r="S19" s="260" t="str">
        <f t="shared" si="15"/>
        <v/>
      </c>
      <c r="T19" s="145"/>
      <c r="U19" s="145"/>
      <c r="V19" s="260" t="str">
        <f t="shared" si="16"/>
        <v/>
      </c>
      <c r="W19" s="145"/>
      <c r="X19" s="145"/>
      <c r="Y19" s="259"/>
      <c r="Z19" s="2"/>
      <c r="AA19" s="256">
        <v>15</v>
      </c>
      <c r="AB19" s="16">
        <f t="shared" si="0"/>
        <v>-0.45719900000000102</v>
      </c>
      <c r="AC19" s="16">
        <f t="shared" si="1"/>
        <v>-0.45719900000000047</v>
      </c>
      <c r="AD19" s="16">
        <f t="shared" si="2"/>
        <v>0.20903092560100092</v>
      </c>
      <c r="AE19" s="16">
        <f t="shared" si="3"/>
        <v>0.20903092560100042</v>
      </c>
      <c r="AF19" s="16">
        <f t="shared" si="4"/>
        <v>0.20903092560100067</v>
      </c>
      <c r="AG19" s="17">
        <f t="shared" si="5"/>
        <v>-0.45720000000000049</v>
      </c>
      <c r="AH19" s="17">
        <f t="shared" si="6"/>
        <v>-0.45720000000000116</v>
      </c>
      <c r="AI19" s="18">
        <f t="shared" si="7"/>
        <v>342.15365389723291</v>
      </c>
      <c r="AJ19" s="18">
        <f t="shared" si="8"/>
        <v>8.0191462528234894</v>
      </c>
      <c r="AM19" s="2"/>
      <c r="AN19" s="2"/>
      <c r="AO19" s="2"/>
      <c r="AP19" s="2"/>
      <c r="AQ19" s="2"/>
      <c r="AR19" s="2"/>
      <c r="AS19" s="2"/>
      <c r="AT19" s="2"/>
      <c r="AU19" s="2"/>
      <c r="AV19" s="2"/>
      <c r="AW19" s="2"/>
      <c r="AX19" s="2"/>
      <c r="AY19" s="2"/>
      <c r="AZ19" s="2"/>
      <c r="BA19" s="2"/>
      <c r="BB19" s="2"/>
      <c r="BC19" s="2"/>
      <c r="BG19" s="262" t="str">
        <f t="shared" si="17"/>
        <v>#7:</v>
      </c>
      <c r="BH19" s="217">
        <f t="shared" si="39"/>
        <v>0</v>
      </c>
      <c r="BI19" s="229">
        <f t="shared" si="40"/>
        <v>18.000000576000001</v>
      </c>
      <c r="BJ19" s="262" t="str">
        <f t="shared" si="18"/>
        <v/>
      </c>
      <c r="BK19" s="217" t="str">
        <f t="shared" si="25"/>
        <v/>
      </c>
      <c r="BL19" s="229" t="str">
        <f t="shared" si="26"/>
        <v/>
      </c>
      <c r="BM19" s="262" t="str">
        <f t="shared" si="19"/>
        <v/>
      </c>
      <c r="BN19" s="217" t="str">
        <f t="shared" si="27"/>
        <v/>
      </c>
      <c r="BO19" s="229" t="str">
        <f t="shared" si="28"/>
        <v/>
      </c>
      <c r="BP19" s="262" t="str">
        <f t="shared" si="20"/>
        <v/>
      </c>
      <c r="BQ19" s="217" t="str">
        <f t="shared" si="29"/>
        <v/>
      </c>
      <c r="BR19" s="229" t="str">
        <f t="shared" si="30"/>
        <v/>
      </c>
      <c r="BS19" s="262" t="str">
        <f t="shared" si="21"/>
        <v/>
      </c>
      <c r="BT19" s="217" t="str">
        <f t="shared" si="31"/>
        <v/>
      </c>
      <c r="BU19" s="229" t="str">
        <f t="shared" si="32"/>
        <v/>
      </c>
      <c r="BV19" s="262" t="str">
        <f t="shared" si="22"/>
        <v/>
      </c>
      <c r="BW19" s="217" t="str">
        <f t="shared" si="33"/>
        <v/>
      </c>
      <c r="BX19" s="229" t="str">
        <f t="shared" si="34"/>
        <v/>
      </c>
      <c r="BY19" s="262" t="str">
        <f t="shared" si="23"/>
        <v/>
      </c>
      <c r="BZ19" s="217" t="str">
        <f t="shared" si="35"/>
        <v/>
      </c>
      <c r="CA19" s="229" t="str">
        <f t="shared" si="36"/>
        <v/>
      </c>
      <c r="CB19" s="262" t="str">
        <f t="shared" si="24"/>
        <v/>
      </c>
      <c r="CC19" s="217" t="str">
        <f t="shared" si="37"/>
        <v/>
      </c>
      <c r="CD19" s="229" t="str">
        <f t="shared" si="38"/>
        <v/>
      </c>
    </row>
    <row r="20" spans="1:82" x14ac:dyDescent="0.25">
      <c r="A20" s="260" t="str">
        <f t="shared" si="9"/>
        <v>#8:</v>
      </c>
      <c r="B20" s="145">
        <v>0</v>
      </c>
      <c r="C20" s="145">
        <v>6.4008000000000003</v>
      </c>
      <c r="D20" s="260" t="str">
        <f t="shared" si="10"/>
        <v/>
      </c>
      <c r="E20" s="145"/>
      <c r="F20" s="145"/>
      <c r="G20" s="260" t="str">
        <f t="shared" si="11"/>
        <v/>
      </c>
      <c r="H20" s="145"/>
      <c r="I20" s="145"/>
      <c r="J20" s="261" t="str">
        <f t="shared" si="12"/>
        <v/>
      </c>
      <c r="K20" s="145"/>
      <c r="L20" s="145"/>
      <c r="M20" s="260" t="str">
        <f t="shared" si="13"/>
        <v/>
      </c>
      <c r="N20" s="145"/>
      <c r="O20" s="145"/>
      <c r="P20" s="260" t="str">
        <f t="shared" si="14"/>
        <v/>
      </c>
      <c r="Q20" s="145"/>
      <c r="R20" s="145"/>
      <c r="S20" s="260" t="str">
        <f t="shared" si="15"/>
        <v/>
      </c>
      <c r="T20" s="145"/>
      <c r="U20" s="145"/>
      <c r="V20" s="260" t="str">
        <f t="shared" si="16"/>
        <v/>
      </c>
      <c r="W20" s="145"/>
      <c r="X20" s="145"/>
      <c r="Y20" s="259"/>
      <c r="Z20" s="2"/>
      <c r="AA20" s="256">
        <v>16</v>
      </c>
      <c r="AB20" s="16">
        <f t="shared" si="0"/>
        <v>0.45720099999999864</v>
      </c>
      <c r="AC20" s="16">
        <f t="shared" si="1"/>
        <v>-0.45719900000000047</v>
      </c>
      <c r="AD20" s="16">
        <f t="shared" si="2"/>
        <v>0.20903275440099875</v>
      </c>
      <c r="AE20" s="16">
        <f t="shared" si="3"/>
        <v>0.20903092560100042</v>
      </c>
      <c r="AF20" s="16">
        <f t="shared" si="4"/>
        <v>-0.2090318399989996</v>
      </c>
      <c r="AG20" s="17">
        <f t="shared" si="5"/>
        <v>-0.45720000000000049</v>
      </c>
      <c r="AH20" s="17">
        <f t="shared" si="6"/>
        <v>0.4571999999999985</v>
      </c>
      <c r="AI20" s="18">
        <f t="shared" si="7"/>
        <v>339.90707392427527</v>
      </c>
      <c r="AJ20" s="18">
        <f t="shared" si="8"/>
        <v>8.0191462528234894</v>
      </c>
      <c r="AM20" s="2"/>
      <c r="AN20" s="2"/>
      <c r="AO20" s="2"/>
      <c r="AP20" s="2"/>
      <c r="AQ20" s="2"/>
      <c r="AR20" s="2"/>
      <c r="AS20" s="2"/>
      <c r="AT20" s="2"/>
      <c r="AU20" s="2"/>
      <c r="AV20" s="2"/>
      <c r="AW20" s="2"/>
      <c r="AX20" s="2"/>
      <c r="AY20" s="2"/>
      <c r="AZ20" s="2"/>
      <c r="BA20" s="2"/>
      <c r="BB20" s="2"/>
      <c r="BC20" s="2"/>
      <c r="BG20" s="262" t="str">
        <f t="shared" si="17"/>
        <v>#8:</v>
      </c>
      <c r="BH20" s="217">
        <f t="shared" si="39"/>
        <v>0</v>
      </c>
      <c r="BI20" s="229">
        <f t="shared" si="40"/>
        <v>21.000000672000002</v>
      </c>
      <c r="BJ20" s="262" t="str">
        <f t="shared" si="18"/>
        <v/>
      </c>
      <c r="BK20" s="217" t="str">
        <f t="shared" si="25"/>
        <v/>
      </c>
      <c r="BL20" s="229" t="str">
        <f t="shared" si="26"/>
        <v/>
      </c>
      <c r="BM20" s="262" t="str">
        <f t="shared" si="19"/>
        <v/>
      </c>
      <c r="BN20" s="217" t="str">
        <f t="shared" si="27"/>
        <v/>
      </c>
      <c r="BO20" s="229" t="str">
        <f t="shared" si="28"/>
        <v/>
      </c>
      <c r="BP20" s="262" t="str">
        <f t="shared" si="20"/>
        <v/>
      </c>
      <c r="BQ20" s="217" t="str">
        <f t="shared" si="29"/>
        <v/>
      </c>
      <c r="BR20" s="229" t="str">
        <f t="shared" si="30"/>
        <v/>
      </c>
      <c r="BS20" s="262" t="str">
        <f t="shared" si="21"/>
        <v/>
      </c>
      <c r="BT20" s="217" t="str">
        <f t="shared" si="31"/>
        <v/>
      </c>
      <c r="BU20" s="229" t="str">
        <f t="shared" si="32"/>
        <v/>
      </c>
      <c r="BV20" s="262" t="str">
        <f t="shared" si="22"/>
        <v/>
      </c>
      <c r="BW20" s="217" t="str">
        <f t="shared" si="33"/>
        <v/>
      </c>
      <c r="BX20" s="229" t="str">
        <f t="shared" si="34"/>
        <v/>
      </c>
      <c r="BY20" s="262" t="str">
        <f t="shared" si="23"/>
        <v/>
      </c>
      <c r="BZ20" s="217" t="str">
        <f t="shared" si="35"/>
        <v/>
      </c>
      <c r="CA20" s="229" t="str">
        <f t="shared" si="36"/>
        <v/>
      </c>
      <c r="CB20" s="262" t="str">
        <f t="shared" si="24"/>
        <v/>
      </c>
      <c r="CC20" s="217" t="str">
        <f t="shared" si="37"/>
        <v/>
      </c>
      <c r="CD20" s="229" t="str">
        <f t="shared" si="38"/>
        <v/>
      </c>
    </row>
    <row r="21" spans="1:82" x14ac:dyDescent="0.25">
      <c r="A21" s="260" t="str">
        <f t="shared" si="9"/>
        <v>#9:</v>
      </c>
      <c r="B21" s="145">
        <v>0</v>
      </c>
      <c r="C21" s="145">
        <v>7.3152000000000008</v>
      </c>
      <c r="D21" s="260" t="str">
        <f t="shared" si="10"/>
        <v/>
      </c>
      <c r="E21" s="145"/>
      <c r="F21" s="145"/>
      <c r="G21" s="260" t="str">
        <f t="shared" si="11"/>
        <v/>
      </c>
      <c r="H21" s="145"/>
      <c r="I21" s="145"/>
      <c r="J21" s="261" t="str">
        <f t="shared" si="12"/>
        <v/>
      </c>
      <c r="K21" s="145"/>
      <c r="L21" s="145"/>
      <c r="M21" s="260" t="str">
        <f t="shared" si="13"/>
        <v/>
      </c>
      <c r="N21" s="145"/>
      <c r="O21" s="145"/>
      <c r="P21" s="260" t="str">
        <f t="shared" si="14"/>
        <v/>
      </c>
      <c r="Q21" s="145"/>
      <c r="R21" s="145"/>
      <c r="S21" s="260" t="str">
        <f t="shared" si="15"/>
        <v/>
      </c>
      <c r="T21" s="145"/>
      <c r="U21" s="145"/>
      <c r="V21" s="260" t="str">
        <f t="shared" si="16"/>
        <v/>
      </c>
      <c r="W21" s="145"/>
      <c r="X21" s="145"/>
      <c r="Y21" s="259"/>
      <c r="Z21" s="2"/>
      <c r="AA21" s="256">
        <v>17</v>
      </c>
      <c r="AB21" s="16">
        <f t="shared" si="0"/>
        <v>1.3716009999999992</v>
      </c>
      <c r="AC21" s="16">
        <f t="shared" si="1"/>
        <v>-0.45719900000000047</v>
      </c>
      <c r="AD21" s="16">
        <f t="shared" si="2"/>
        <v>1.8812893032009979</v>
      </c>
      <c r="AE21" s="16">
        <f t="shared" si="3"/>
        <v>0.20903092560100042</v>
      </c>
      <c r="AF21" s="16">
        <f t="shared" si="4"/>
        <v>-0.62709460559900021</v>
      </c>
      <c r="AG21" s="17">
        <f t="shared" si="5"/>
        <v>-0.45720000000000049</v>
      </c>
      <c r="AH21" s="17">
        <f t="shared" si="6"/>
        <v>1.371599999999999</v>
      </c>
      <c r="AI21" s="18">
        <f t="shared" si="7"/>
        <v>337.66049395131768</v>
      </c>
      <c r="AJ21" s="18">
        <f t="shared" si="8"/>
        <v>8.0191462528234894</v>
      </c>
      <c r="AM21" s="2"/>
      <c r="AN21" s="2"/>
      <c r="AO21" s="2"/>
      <c r="AP21" s="2"/>
      <c r="AQ21" s="2"/>
      <c r="AR21" s="2"/>
      <c r="AS21" s="2"/>
      <c r="AT21" s="2"/>
      <c r="AU21" s="2"/>
      <c r="AV21" s="2"/>
      <c r="AW21" s="2"/>
      <c r="AX21" s="2"/>
      <c r="AY21" s="2"/>
      <c r="AZ21" s="2"/>
      <c r="BA21" s="2"/>
      <c r="BB21" s="2"/>
      <c r="BC21" s="2"/>
      <c r="BG21" s="262" t="str">
        <f t="shared" si="17"/>
        <v>#9:</v>
      </c>
      <c r="BH21" s="217">
        <f t="shared" si="39"/>
        <v>0</v>
      </c>
      <c r="BI21" s="229">
        <f t="shared" si="40"/>
        <v>24.000000768000003</v>
      </c>
      <c r="BJ21" s="262" t="str">
        <f t="shared" si="18"/>
        <v/>
      </c>
      <c r="BK21" s="217" t="str">
        <f t="shared" si="25"/>
        <v/>
      </c>
      <c r="BL21" s="229" t="str">
        <f t="shared" si="26"/>
        <v/>
      </c>
      <c r="BM21" s="262" t="str">
        <f t="shared" si="19"/>
        <v/>
      </c>
      <c r="BN21" s="217" t="str">
        <f t="shared" si="27"/>
        <v/>
      </c>
      <c r="BO21" s="229" t="str">
        <f t="shared" si="28"/>
        <v/>
      </c>
      <c r="BP21" s="262" t="str">
        <f t="shared" si="20"/>
        <v/>
      </c>
      <c r="BQ21" s="217" t="str">
        <f t="shared" si="29"/>
        <v/>
      </c>
      <c r="BR21" s="229" t="str">
        <f t="shared" si="30"/>
        <v/>
      </c>
      <c r="BS21" s="262" t="str">
        <f t="shared" si="21"/>
        <v/>
      </c>
      <c r="BT21" s="217" t="str">
        <f t="shared" si="31"/>
        <v/>
      </c>
      <c r="BU21" s="229" t="str">
        <f t="shared" si="32"/>
        <v/>
      </c>
      <c r="BV21" s="262" t="str">
        <f t="shared" si="22"/>
        <v/>
      </c>
      <c r="BW21" s="217" t="str">
        <f t="shared" si="33"/>
        <v/>
      </c>
      <c r="BX21" s="229" t="str">
        <f t="shared" si="34"/>
        <v/>
      </c>
      <c r="BY21" s="262" t="str">
        <f t="shared" si="23"/>
        <v/>
      </c>
      <c r="BZ21" s="217" t="str">
        <f t="shared" si="35"/>
        <v/>
      </c>
      <c r="CA21" s="229" t="str">
        <f t="shared" si="36"/>
        <v/>
      </c>
      <c r="CB21" s="262" t="str">
        <f t="shared" si="24"/>
        <v/>
      </c>
      <c r="CC21" s="217" t="str">
        <f t="shared" si="37"/>
        <v/>
      </c>
      <c r="CD21" s="229" t="str">
        <f t="shared" si="38"/>
        <v/>
      </c>
    </row>
    <row r="22" spans="1:82" x14ac:dyDescent="0.25">
      <c r="A22" s="260" t="str">
        <f t="shared" si="9"/>
        <v>#10:</v>
      </c>
      <c r="B22" s="145">
        <v>0</v>
      </c>
      <c r="C22" s="145">
        <v>8.2295999999999996</v>
      </c>
      <c r="D22" s="260" t="str">
        <f t="shared" si="10"/>
        <v/>
      </c>
      <c r="E22" s="145"/>
      <c r="F22" s="145"/>
      <c r="G22" s="260" t="str">
        <f t="shared" si="11"/>
        <v/>
      </c>
      <c r="H22" s="145"/>
      <c r="I22" s="145"/>
      <c r="J22" s="261" t="str">
        <f t="shared" si="12"/>
        <v/>
      </c>
      <c r="K22" s="145"/>
      <c r="L22" s="145"/>
      <c r="M22" s="260" t="str">
        <f t="shared" si="13"/>
        <v/>
      </c>
      <c r="N22" s="145"/>
      <c r="O22" s="145"/>
      <c r="P22" s="260" t="str">
        <f t="shared" si="14"/>
        <v/>
      </c>
      <c r="Q22" s="145"/>
      <c r="R22" s="145"/>
      <c r="S22" s="260" t="str">
        <f t="shared" si="15"/>
        <v/>
      </c>
      <c r="T22" s="145"/>
      <c r="U22" s="145"/>
      <c r="V22" s="260" t="str">
        <f t="shared" si="16"/>
        <v/>
      </c>
      <c r="W22" s="145"/>
      <c r="X22" s="145"/>
      <c r="Y22" s="259"/>
      <c r="Z22" s="2"/>
      <c r="AA22" s="256">
        <v>18</v>
      </c>
      <c r="AB22" s="16">
        <f t="shared" si="0"/>
        <v>2.2860009999999988</v>
      </c>
      <c r="AC22" s="16">
        <f t="shared" si="1"/>
        <v>-0.45719900000000047</v>
      </c>
      <c r="AD22" s="16">
        <f t="shared" si="2"/>
        <v>5.2258005720009946</v>
      </c>
      <c r="AE22" s="16">
        <f t="shared" si="3"/>
        <v>0.20903092560100042</v>
      </c>
      <c r="AF22" s="16">
        <f t="shared" si="4"/>
        <v>-1.0451573711990005</v>
      </c>
      <c r="AG22" s="17">
        <f t="shared" si="5"/>
        <v>-0.45720000000000049</v>
      </c>
      <c r="AH22" s="17">
        <f t="shared" si="6"/>
        <v>2.2859999999999987</v>
      </c>
      <c r="AI22" s="18">
        <f t="shared" si="7"/>
        <v>335.41391397836009</v>
      </c>
      <c r="AJ22" s="18">
        <f t="shared" si="8"/>
        <v>8.0191462528234894</v>
      </c>
      <c r="AM22" s="2"/>
      <c r="AN22" s="2"/>
      <c r="AO22" s="2"/>
      <c r="AP22" s="2"/>
      <c r="AQ22" s="2"/>
      <c r="AR22" s="2"/>
      <c r="AS22" s="2"/>
      <c r="AT22" s="2"/>
      <c r="AU22" s="2"/>
      <c r="AV22" s="2"/>
      <c r="AW22" s="2"/>
      <c r="AX22" s="2"/>
      <c r="AY22" s="2"/>
      <c r="AZ22" s="2"/>
      <c r="BA22" s="2"/>
      <c r="BB22" s="2"/>
      <c r="BC22" s="2"/>
      <c r="BG22" s="262" t="str">
        <f t="shared" si="17"/>
        <v>#10:</v>
      </c>
      <c r="BH22" s="217">
        <f t="shared" si="39"/>
        <v>0</v>
      </c>
      <c r="BI22" s="229">
        <f t="shared" si="40"/>
        <v>27.000000863999997</v>
      </c>
      <c r="BJ22" s="262" t="str">
        <f t="shared" si="18"/>
        <v/>
      </c>
      <c r="BK22" s="217" t="str">
        <f t="shared" si="25"/>
        <v/>
      </c>
      <c r="BL22" s="229" t="str">
        <f t="shared" si="26"/>
        <v/>
      </c>
      <c r="BM22" s="262" t="str">
        <f t="shared" si="19"/>
        <v/>
      </c>
      <c r="BN22" s="217" t="str">
        <f t="shared" si="27"/>
        <v/>
      </c>
      <c r="BO22" s="229" t="str">
        <f t="shared" si="28"/>
        <v/>
      </c>
      <c r="BP22" s="262" t="str">
        <f t="shared" si="20"/>
        <v/>
      </c>
      <c r="BQ22" s="217" t="str">
        <f t="shared" si="29"/>
        <v/>
      </c>
      <c r="BR22" s="229" t="str">
        <f t="shared" si="30"/>
        <v/>
      </c>
      <c r="BS22" s="262" t="str">
        <f t="shared" si="21"/>
        <v/>
      </c>
      <c r="BT22" s="217" t="str">
        <f t="shared" si="31"/>
        <v/>
      </c>
      <c r="BU22" s="229" t="str">
        <f t="shared" si="32"/>
        <v/>
      </c>
      <c r="BV22" s="262" t="str">
        <f t="shared" si="22"/>
        <v/>
      </c>
      <c r="BW22" s="217" t="str">
        <f t="shared" si="33"/>
        <v/>
      </c>
      <c r="BX22" s="229" t="str">
        <f t="shared" si="34"/>
        <v/>
      </c>
      <c r="BY22" s="262" t="str">
        <f t="shared" si="23"/>
        <v/>
      </c>
      <c r="BZ22" s="217" t="str">
        <f t="shared" si="35"/>
        <v/>
      </c>
      <c r="CA22" s="229" t="str">
        <f t="shared" si="36"/>
        <v/>
      </c>
      <c r="CB22" s="262" t="str">
        <f t="shared" si="24"/>
        <v/>
      </c>
      <c r="CC22" s="217" t="str">
        <f t="shared" si="37"/>
        <v/>
      </c>
      <c r="CD22" s="229" t="str">
        <f t="shared" si="38"/>
        <v/>
      </c>
    </row>
    <row r="23" spans="1:82" x14ac:dyDescent="0.25">
      <c r="A23" s="260" t="str">
        <f t="shared" si="9"/>
        <v>#11:</v>
      </c>
      <c r="B23" s="145">
        <v>0.9144000000000001</v>
      </c>
      <c r="C23" s="145">
        <v>0</v>
      </c>
      <c r="D23" s="260" t="str">
        <f t="shared" si="10"/>
        <v/>
      </c>
      <c r="E23" s="145"/>
      <c r="F23" s="145"/>
      <c r="G23" s="260" t="str">
        <f t="shared" si="11"/>
        <v/>
      </c>
      <c r="H23" s="145"/>
      <c r="I23" s="145"/>
      <c r="J23" s="261" t="str">
        <f t="shared" si="12"/>
        <v/>
      </c>
      <c r="K23" s="145"/>
      <c r="L23" s="145"/>
      <c r="M23" s="260" t="str">
        <f t="shared" si="13"/>
        <v/>
      </c>
      <c r="N23" s="145"/>
      <c r="O23" s="145"/>
      <c r="P23" s="260" t="str">
        <f t="shared" si="14"/>
        <v/>
      </c>
      <c r="Q23" s="145"/>
      <c r="R23" s="145"/>
      <c r="S23" s="260" t="str">
        <f t="shared" si="15"/>
        <v/>
      </c>
      <c r="T23" s="145"/>
      <c r="U23" s="145"/>
      <c r="V23" s="260" t="str">
        <f t="shared" si="16"/>
        <v/>
      </c>
      <c r="W23" s="145"/>
      <c r="X23" s="145"/>
      <c r="Y23" s="259"/>
      <c r="Z23" s="2"/>
      <c r="AA23" s="256">
        <v>19</v>
      </c>
      <c r="AB23" s="16">
        <f t="shared" si="0"/>
        <v>3.2004009999999994</v>
      </c>
      <c r="AC23" s="16">
        <f t="shared" si="1"/>
        <v>-0.45719900000000047</v>
      </c>
      <c r="AD23" s="16">
        <f t="shared" si="2"/>
        <v>10.242566560800997</v>
      </c>
      <c r="AE23" s="16">
        <f t="shared" si="3"/>
        <v>0.20903092560100042</v>
      </c>
      <c r="AF23" s="16">
        <f t="shared" si="4"/>
        <v>-1.4632201367990012</v>
      </c>
      <c r="AG23" s="17">
        <f t="shared" si="5"/>
        <v>-0.45720000000000049</v>
      </c>
      <c r="AH23" s="17">
        <f t="shared" si="6"/>
        <v>3.2003999999999992</v>
      </c>
      <c r="AI23" s="18">
        <f t="shared" si="7"/>
        <v>333.16733400540249</v>
      </c>
      <c r="AJ23" s="18">
        <f t="shared" si="8"/>
        <v>8.0191462528234894</v>
      </c>
      <c r="AM23" s="2"/>
      <c r="AN23" s="2"/>
      <c r="AO23" s="2"/>
      <c r="AP23" s="2"/>
      <c r="AQ23" s="2"/>
      <c r="AR23" s="2"/>
      <c r="AS23" s="2"/>
      <c r="AT23" s="2"/>
      <c r="AU23" s="2"/>
      <c r="AV23" s="2"/>
      <c r="AW23" s="2"/>
      <c r="AX23" s="2"/>
      <c r="AY23" s="2"/>
      <c r="AZ23" s="2"/>
      <c r="BA23" s="2"/>
      <c r="BB23" s="2"/>
      <c r="BC23" s="2"/>
      <c r="BG23" s="262" t="str">
        <f t="shared" si="17"/>
        <v>#11:</v>
      </c>
      <c r="BH23" s="217">
        <f t="shared" si="39"/>
        <v>3.0000000960000004</v>
      </c>
      <c r="BI23" s="229">
        <f t="shared" si="40"/>
        <v>0</v>
      </c>
      <c r="BJ23" s="262" t="str">
        <f t="shared" si="18"/>
        <v/>
      </c>
      <c r="BK23" s="217" t="str">
        <f t="shared" si="25"/>
        <v/>
      </c>
      <c r="BL23" s="229" t="str">
        <f t="shared" si="26"/>
        <v/>
      </c>
      <c r="BM23" s="262" t="str">
        <f t="shared" si="19"/>
        <v/>
      </c>
      <c r="BN23" s="217" t="str">
        <f t="shared" si="27"/>
        <v/>
      </c>
      <c r="BO23" s="229" t="str">
        <f t="shared" si="28"/>
        <v/>
      </c>
      <c r="BP23" s="262" t="str">
        <f t="shared" si="20"/>
        <v/>
      </c>
      <c r="BQ23" s="217" t="str">
        <f t="shared" si="29"/>
        <v/>
      </c>
      <c r="BR23" s="229" t="str">
        <f t="shared" si="30"/>
        <v/>
      </c>
      <c r="BS23" s="262" t="str">
        <f t="shared" si="21"/>
        <v/>
      </c>
      <c r="BT23" s="217" t="str">
        <f t="shared" si="31"/>
        <v/>
      </c>
      <c r="BU23" s="229" t="str">
        <f t="shared" si="32"/>
        <v/>
      </c>
      <c r="BV23" s="262" t="str">
        <f t="shared" si="22"/>
        <v/>
      </c>
      <c r="BW23" s="217" t="str">
        <f t="shared" si="33"/>
        <v/>
      </c>
      <c r="BX23" s="229" t="str">
        <f t="shared" si="34"/>
        <v/>
      </c>
      <c r="BY23" s="262" t="str">
        <f t="shared" si="23"/>
        <v/>
      </c>
      <c r="BZ23" s="217" t="str">
        <f t="shared" si="35"/>
        <v/>
      </c>
      <c r="CA23" s="229" t="str">
        <f t="shared" si="36"/>
        <v/>
      </c>
      <c r="CB23" s="262" t="str">
        <f t="shared" si="24"/>
        <v/>
      </c>
      <c r="CC23" s="217" t="str">
        <f t="shared" si="37"/>
        <v/>
      </c>
      <c r="CD23" s="229" t="str">
        <f t="shared" si="38"/>
        <v/>
      </c>
    </row>
    <row r="24" spans="1:82" x14ac:dyDescent="0.25">
      <c r="A24" s="260" t="str">
        <f t="shared" si="9"/>
        <v>#12:</v>
      </c>
      <c r="B24" s="145">
        <v>0.9144000000000001</v>
      </c>
      <c r="C24" s="145">
        <v>0.9144000000000001</v>
      </c>
      <c r="D24" s="260" t="str">
        <f t="shared" si="10"/>
        <v/>
      </c>
      <c r="E24" s="145"/>
      <c r="F24" s="145"/>
      <c r="G24" s="260" t="str">
        <f t="shared" si="11"/>
        <v/>
      </c>
      <c r="H24" s="145"/>
      <c r="I24" s="145"/>
      <c r="J24" s="261" t="str">
        <f t="shared" si="12"/>
        <v/>
      </c>
      <c r="K24" s="145"/>
      <c r="L24" s="145"/>
      <c r="M24" s="260" t="str">
        <f t="shared" si="13"/>
        <v/>
      </c>
      <c r="N24" s="145"/>
      <c r="O24" s="145"/>
      <c r="P24" s="260" t="str">
        <f t="shared" si="14"/>
        <v/>
      </c>
      <c r="Q24" s="145"/>
      <c r="R24" s="145"/>
      <c r="S24" s="260" t="str">
        <f t="shared" si="15"/>
        <v/>
      </c>
      <c r="T24" s="145"/>
      <c r="U24" s="145"/>
      <c r="V24" s="260" t="str">
        <f t="shared" si="16"/>
        <v/>
      </c>
      <c r="W24" s="145"/>
      <c r="X24" s="145"/>
      <c r="Y24" s="259"/>
      <c r="Z24" s="2"/>
      <c r="AA24" s="256">
        <v>20</v>
      </c>
      <c r="AB24" s="16">
        <f t="shared" si="0"/>
        <v>4.1148009999999973</v>
      </c>
      <c r="AC24" s="16">
        <f t="shared" si="1"/>
        <v>-0.45719900000000047</v>
      </c>
      <c r="AD24" s="16">
        <f t="shared" si="2"/>
        <v>16.931587269600978</v>
      </c>
      <c r="AE24" s="16">
        <f t="shared" si="3"/>
        <v>0.20903092560100042</v>
      </c>
      <c r="AF24" s="16">
        <f t="shared" si="4"/>
        <v>-1.8812829023990008</v>
      </c>
      <c r="AG24" s="17">
        <f t="shared" si="5"/>
        <v>-0.45720000000000049</v>
      </c>
      <c r="AH24" s="17">
        <f t="shared" si="6"/>
        <v>4.114799999999998</v>
      </c>
      <c r="AI24" s="18">
        <f t="shared" si="7"/>
        <v>330.9207540324449</v>
      </c>
      <c r="AJ24" s="18">
        <f t="shared" si="8"/>
        <v>8.0191462528234894</v>
      </c>
      <c r="AM24" s="2"/>
      <c r="AN24" s="2"/>
      <c r="AO24" s="2"/>
      <c r="AP24" s="2"/>
      <c r="AQ24" s="2"/>
      <c r="AR24" s="2"/>
      <c r="AS24" s="2"/>
      <c r="AT24" s="2"/>
      <c r="AU24" s="2"/>
      <c r="AV24" s="2"/>
      <c r="AW24" s="2"/>
      <c r="AX24" s="2"/>
      <c r="AY24" s="2"/>
      <c r="AZ24" s="2"/>
      <c r="BA24" s="2"/>
      <c r="BB24" s="2"/>
      <c r="BC24" s="2"/>
      <c r="BG24" s="262" t="str">
        <f t="shared" si="17"/>
        <v>#12:</v>
      </c>
      <c r="BH24" s="217">
        <f t="shared" si="39"/>
        <v>3.0000000960000004</v>
      </c>
      <c r="BI24" s="229">
        <f t="shared" si="40"/>
        <v>3.0000000960000004</v>
      </c>
      <c r="BJ24" s="262" t="str">
        <f t="shared" si="18"/>
        <v/>
      </c>
      <c r="BK24" s="217" t="str">
        <f t="shared" si="25"/>
        <v/>
      </c>
      <c r="BL24" s="229" t="str">
        <f t="shared" si="26"/>
        <v/>
      </c>
      <c r="BM24" s="262" t="str">
        <f t="shared" si="19"/>
        <v/>
      </c>
      <c r="BN24" s="217" t="str">
        <f t="shared" si="27"/>
        <v/>
      </c>
      <c r="BO24" s="229" t="str">
        <f t="shared" si="28"/>
        <v/>
      </c>
      <c r="BP24" s="262" t="str">
        <f t="shared" si="20"/>
        <v/>
      </c>
      <c r="BQ24" s="217" t="str">
        <f t="shared" si="29"/>
        <v/>
      </c>
      <c r="BR24" s="229" t="str">
        <f t="shared" si="30"/>
        <v/>
      </c>
      <c r="BS24" s="262" t="str">
        <f t="shared" si="21"/>
        <v/>
      </c>
      <c r="BT24" s="217" t="str">
        <f t="shared" si="31"/>
        <v/>
      </c>
      <c r="BU24" s="229" t="str">
        <f t="shared" si="32"/>
        <v/>
      </c>
      <c r="BV24" s="262" t="str">
        <f t="shared" si="22"/>
        <v/>
      </c>
      <c r="BW24" s="217" t="str">
        <f t="shared" si="33"/>
        <v/>
      </c>
      <c r="BX24" s="229" t="str">
        <f t="shared" si="34"/>
        <v/>
      </c>
      <c r="BY24" s="262" t="str">
        <f t="shared" si="23"/>
        <v/>
      </c>
      <c r="BZ24" s="217" t="str">
        <f t="shared" si="35"/>
        <v/>
      </c>
      <c r="CA24" s="229" t="str">
        <f t="shared" si="36"/>
        <v/>
      </c>
      <c r="CB24" s="262" t="str">
        <f t="shared" si="24"/>
        <v/>
      </c>
      <c r="CC24" s="217" t="str">
        <f t="shared" si="37"/>
        <v/>
      </c>
      <c r="CD24" s="229" t="str">
        <f t="shared" si="38"/>
        <v/>
      </c>
    </row>
    <row r="25" spans="1:82" x14ac:dyDescent="0.25">
      <c r="A25" s="260" t="str">
        <f t="shared" si="9"/>
        <v>#13:</v>
      </c>
      <c r="B25" s="145">
        <v>0.9144000000000001</v>
      </c>
      <c r="C25" s="145">
        <v>1.8288000000000002</v>
      </c>
      <c r="D25" s="260" t="str">
        <f t="shared" si="10"/>
        <v/>
      </c>
      <c r="E25" s="145"/>
      <c r="F25" s="145"/>
      <c r="G25" s="260" t="str">
        <f t="shared" si="11"/>
        <v/>
      </c>
      <c r="H25" s="145"/>
      <c r="I25" s="145"/>
      <c r="J25" s="261" t="str">
        <f t="shared" si="12"/>
        <v/>
      </c>
      <c r="K25" s="145"/>
      <c r="L25" s="145"/>
      <c r="M25" s="260" t="str">
        <f t="shared" si="13"/>
        <v/>
      </c>
      <c r="N25" s="145"/>
      <c r="O25" s="145"/>
      <c r="P25" s="260" t="str">
        <f t="shared" si="14"/>
        <v/>
      </c>
      <c r="Q25" s="145"/>
      <c r="R25" s="145"/>
      <c r="S25" s="260" t="str">
        <f t="shared" si="15"/>
        <v/>
      </c>
      <c r="T25" s="145"/>
      <c r="U25" s="145"/>
      <c r="V25" s="260" t="str">
        <f t="shared" si="16"/>
        <v/>
      </c>
      <c r="W25" s="145"/>
      <c r="X25" s="145"/>
      <c r="Y25" s="259"/>
      <c r="Z25" s="2"/>
      <c r="AA25" s="256">
        <v>21</v>
      </c>
      <c r="AB25" s="16">
        <f t="shared" si="0"/>
        <v>-4.1147990000000014</v>
      </c>
      <c r="AC25" s="16">
        <f t="shared" si="1"/>
        <v>0.45720099999999952</v>
      </c>
      <c r="AD25" s="16">
        <f t="shared" si="2"/>
        <v>16.931570810401013</v>
      </c>
      <c r="AE25" s="16">
        <f t="shared" si="3"/>
        <v>0.20903275440099955</v>
      </c>
      <c r="AF25" s="16">
        <f t="shared" si="4"/>
        <v>-1.8812902175989987</v>
      </c>
      <c r="AG25" s="17">
        <f t="shared" si="5"/>
        <v>0.45719999999999961</v>
      </c>
      <c r="AH25" s="17">
        <f t="shared" si="6"/>
        <v>-4.1148000000000016</v>
      </c>
      <c r="AI25" s="18">
        <f t="shared" si="7"/>
        <v>336.3125459675552</v>
      </c>
      <c r="AJ25" s="18">
        <f t="shared" si="8"/>
        <v>8.0191462528234894</v>
      </c>
      <c r="AM25" s="2"/>
      <c r="AN25" s="2"/>
      <c r="AO25" s="2"/>
      <c r="AP25" s="2"/>
      <c r="AQ25" s="2"/>
      <c r="AR25" s="2"/>
      <c r="AS25" s="2"/>
      <c r="AT25" s="2"/>
      <c r="AU25" s="2"/>
      <c r="AV25" s="2"/>
      <c r="AW25" s="2"/>
      <c r="AX25" s="2"/>
      <c r="AY25" s="2"/>
      <c r="AZ25" s="2"/>
      <c r="BA25" s="2"/>
      <c r="BB25" s="2"/>
      <c r="BC25" s="2"/>
      <c r="BG25" s="262" t="str">
        <f t="shared" si="17"/>
        <v>#13:</v>
      </c>
      <c r="BH25" s="217">
        <f t="shared" si="39"/>
        <v>3.0000000960000004</v>
      </c>
      <c r="BI25" s="229">
        <f t="shared" si="40"/>
        <v>6.0000001920000008</v>
      </c>
      <c r="BJ25" s="262" t="str">
        <f t="shared" si="18"/>
        <v/>
      </c>
      <c r="BK25" s="217" t="str">
        <f t="shared" si="25"/>
        <v/>
      </c>
      <c r="BL25" s="229" t="str">
        <f t="shared" si="26"/>
        <v/>
      </c>
      <c r="BM25" s="262" t="str">
        <f t="shared" si="19"/>
        <v/>
      </c>
      <c r="BN25" s="217" t="str">
        <f t="shared" si="27"/>
        <v/>
      </c>
      <c r="BO25" s="229" t="str">
        <f t="shared" si="28"/>
        <v/>
      </c>
      <c r="BP25" s="262" t="str">
        <f t="shared" si="20"/>
        <v/>
      </c>
      <c r="BQ25" s="217" t="str">
        <f t="shared" si="29"/>
        <v/>
      </c>
      <c r="BR25" s="229" t="str">
        <f t="shared" si="30"/>
        <v/>
      </c>
      <c r="BS25" s="262" t="str">
        <f t="shared" si="21"/>
        <v/>
      </c>
      <c r="BT25" s="217" t="str">
        <f t="shared" si="31"/>
        <v/>
      </c>
      <c r="BU25" s="229" t="str">
        <f t="shared" si="32"/>
        <v/>
      </c>
      <c r="BV25" s="262" t="str">
        <f t="shared" si="22"/>
        <v/>
      </c>
      <c r="BW25" s="217" t="str">
        <f t="shared" si="33"/>
        <v/>
      </c>
      <c r="BX25" s="229" t="str">
        <f t="shared" si="34"/>
        <v/>
      </c>
      <c r="BY25" s="262" t="str">
        <f t="shared" si="23"/>
        <v/>
      </c>
      <c r="BZ25" s="217" t="str">
        <f t="shared" si="35"/>
        <v/>
      </c>
      <c r="CA25" s="229" t="str">
        <f t="shared" si="36"/>
        <v/>
      </c>
      <c r="CB25" s="262" t="str">
        <f t="shared" si="24"/>
        <v/>
      </c>
      <c r="CC25" s="217" t="str">
        <f t="shared" si="37"/>
        <v/>
      </c>
      <c r="CD25" s="229" t="str">
        <f t="shared" si="38"/>
        <v/>
      </c>
    </row>
    <row r="26" spans="1:82" x14ac:dyDescent="0.25">
      <c r="A26" s="260" t="str">
        <f t="shared" si="9"/>
        <v>#14:</v>
      </c>
      <c r="B26" s="145">
        <v>0.9144000000000001</v>
      </c>
      <c r="C26" s="145">
        <v>2.7432000000000003</v>
      </c>
      <c r="D26" s="260" t="str">
        <f t="shared" si="10"/>
        <v/>
      </c>
      <c r="E26" s="145"/>
      <c r="F26" s="145"/>
      <c r="G26" s="260" t="str">
        <f t="shared" si="11"/>
        <v/>
      </c>
      <c r="H26" s="145"/>
      <c r="I26" s="145"/>
      <c r="J26" s="261" t="str">
        <f t="shared" si="12"/>
        <v/>
      </c>
      <c r="K26" s="145"/>
      <c r="L26" s="145"/>
      <c r="M26" s="260" t="str">
        <f t="shared" si="13"/>
        <v/>
      </c>
      <c r="N26" s="145"/>
      <c r="O26" s="145"/>
      <c r="P26" s="260" t="str">
        <f t="shared" si="14"/>
        <v/>
      </c>
      <c r="Q26" s="145"/>
      <c r="R26" s="145"/>
      <c r="S26" s="260" t="str">
        <f t="shared" si="15"/>
        <v/>
      </c>
      <c r="T26" s="145"/>
      <c r="U26" s="145"/>
      <c r="V26" s="260" t="str">
        <f t="shared" si="16"/>
        <v/>
      </c>
      <c r="W26" s="145"/>
      <c r="X26" s="145"/>
      <c r="Y26" s="259"/>
      <c r="Z26" s="2"/>
      <c r="AA26" s="256">
        <v>22</v>
      </c>
      <c r="AB26" s="16">
        <f t="shared" si="0"/>
        <v>-3.2003990000000013</v>
      </c>
      <c r="AC26" s="16">
        <f t="shared" si="1"/>
        <v>0.45720099999999952</v>
      </c>
      <c r="AD26" s="16">
        <f t="shared" si="2"/>
        <v>10.242553759201009</v>
      </c>
      <c r="AE26" s="16">
        <f t="shared" si="3"/>
        <v>0.20903275440099955</v>
      </c>
      <c r="AF26" s="16">
        <f t="shared" si="4"/>
        <v>-1.4632256231989991</v>
      </c>
      <c r="AG26" s="17">
        <f t="shared" si="5"/>
        <v>0.45719999999999961</v>
      </c>
      <c r="AH26" s="17">
        <f t="shared" si="6"/>
        <v>-3.2004000000000015</v>
      </c>
      <c r="AI26" s="18">
        <f t="shared" si="7"/>
        <v>334.0659659945976</v>
      </c>
      <c r="AJ26" s="18">
        <f t="shared" si="8"/>
        <v>8.0191462528234894</v>
      </c>
      <c r="AM26" s="2"/>
      <c r="AN26" s="2"/>
      <c r="AO26" s="2"/>
      <c r="AP26" s="2"/>
      <c r="AQ26" s="2"/>
      <c r="AR26" s="2"/>
      <c r="AS26" s="2"/>
      <c r="AT26" s="2"/>
      <c r="AU26" s="2"/>
      <c r="AV26" s="2"/>
      <c r="AW26" s="2"/>
      <c r="AX26" s="2"/>
      <c r="AY26" s="2"/>
      <c r="AZ26" s="2"/>
      <c r="BA26" s="2"/>
      <c r="BB26" s="2"/>
      <c r="BC26" s="2"/>
      <c r="BF26" s="2"/>
      <c r="BG26" s="262" t="str">
        <f t="shared" si="17"/>
        <v>#14:</v>
      </c>
      <c r="BH26" s="217">
        <f t="shared" si="39"/>
        <v>3.0000000960000004</v>
      </c>
      <c r="BI26" s="229">
        <f t="shared" si="40"/>
        <v>9.0000002880000007</v>
      </c>
      <c r="BJ26" s="262" t="str">
        <f t="shared" si="18"/>
        <v/>
      </c>
      <c r="BK26" s="217" t="str">
        <f t="shared" si="25"/>
        <v/>
      </c>
      <c r="BL26" s="229" t="str">
        <f t="shared" si="26"/>
        <v/>
      </c>
      <c r="BM26" s="262" t="str">
        <f t="shared" si="19"/>
        <v/>
      </c>
      <c r="BN26" s="217" t="str">
        <f t="shared" si="27"/>
        <v/>
      </c>
      <c r="BO26" s="229" t="str">
        <f t="shared" si="28"/>
        <v/>
      </c>
      <c r="BP26" s="262" t="str">
        <f t="shared" si="20"/>
        <v/>
      </c>
      <c r="BQ26" s="217" t="str">
        <f t="shared" si="29"/>
        <v/>
      </c>
      <c r="BR26" s="229" t="str">
        <f t="shared" si="30"/>
        <v/>
      </c>
      <c r="BS26" s="262" t="str">
        <f t="shared" si="21"/>
        <v/>
      </c>
      <c r="BT26" s="217" t="str">
        <f t="shared" si="31"/>
        <v/>
      </c>
      <c r="BU26" s="229" t="str">
        <f t="shared" si="32"/>
        <v/>
      </c>
      <c r="BV26" s="262" t="str">
        <f t="shared" si="22"/>
        <v/>
      </c>
      <c r="BW26" s="217" t="str">
        <f t="shared" si="33"/>
        <v/>
      </c>
      <c r="BX26" s="229" t="str">
        <f t="shared" si="34"/>
        <v/>
      </c>
      <c r="BY26" s="262" t="str">
        <f t="shared" si="23"/>
        <v/>
      </c>
      <c r="BZ26" s="217" t="str">
        <f t="shared" si="35"/>
        <v/>
      </c>
      <c r="CA26" s="229" t="str">
        <f t="shared" si="36"/>
        <v/>
      </c>
      <c r="CB26" s="262" t="str">
        <f t="shared" si="24"/>
        <v/>
      </c>
      <c r="CC26" s="217" t="str">
        <f t="shared" si="37"/>
        <v/>
      </c>
      <c r="CD26" s="229" t="str">
        <f t="shared" si="38"/>
        <v/>
      </c>
    </row>
    <row r="27" spans="1:82" x14ac:dyDescent="0.25">
      <c r="A27" s="260" t="str">
        <f t="shared" si="9"/>
        <v>#15:</v>
      </c>
      <c r="B27" s="145">
        <v>0.9144000000000001</v>
      </c>
      <c r="C27" s="145">
        <v>3.6576000000000004</v>
      </c>
      <c r="D27" s="260" t="str">
        <f t="shared" si="10"/>
        <v/>
      </c>
      <c r="E27" s="145"/>
      <c r="F27" s="145"/>
      <c r="G27" s="260" t="str">
        <f t="shared" si="11"/>
        <v/>
      </c>
      <c r="H27" s="145"/>
      <c r="I27" s="145"/>
      <c r="J27" s="261" t="str">
        <f t="shared" si="12"/>
        <v/>
      </c>
      <c r="K27" s="145"/>
      <c r="L27" s="145"/>
      <c r="M27" s="260" t="str">
        <f t="shared" si="13"/>
        <v/>
      </c>
      <c r="N27" s="145"/>
      <c r="O27" s="145"/>
      <c r="P27" s="260" t="str">
        <f t="shared" si="14"/>
        <v/>
      </c>
      <c r="Q27" s="145"/>
      <c r="R27" s="145"/>
      <c r="S27" s="260" t="str">
        <f t="shared" si="15"/>
        <v/>
      </c>
      <c r="T27" s="145"/>
      <c r="U27" s="145"/>
      <c r="V27" s="260" t="str">
        <f t="shared" si="16"/>
        <v/>
      </c>
      <c r="W27" s="145"/>
      <c r="X27" s="145"/>
      <c r="Y27" s="259"/>
      <c r="Z27" s="2"/>
      <c r="AA27" s="256">
        <v>23</v>
      </c>
      <c r="AB27" s="16">
        <f t="shared" si="0"/>
        <v>-2.2859990000000012</v>
      </c>
      <c r="AC27" s="16">
        <f t="shared" si="1"/>
        <v>0.45720099999999952</v>
      </c>
      <c r="AD27" s="16">
        <f t="shared" si="2"/>
        <v>5.2257914280010054</v>
      </c>
      <c r="AE27" s="16">
        <f t="shared" si="3"/>
        <v>0.20903275440099955</v>
      </c>
      <c r="AF27" s="16">
        <f t="shared" si="4"/>
        <v>-1.0451610287989994</v>
      </c>
      <c r="AG27" s="17">
        <f t="shared" si="5"/>
        <v>0.45719999999999961</v>
      </c>
      <c r="AH27" s="17">
        <f t="shared" si="6"/>
        <v>-2.2860000000000014</v>
      </c>
      <c r="AI27" s="18">
        <f t="shared" si="7"/>
        <v>331.81938602164001</v>
      </c>
      <c r="AJ27" s="18">
        <f t="shared" si="8"/>
        <v>8.0191462528234894</v>
      </c>
      <c r="AM27" s="2"/>
      <c r="AN27" s="2"/>
      <c r="AO27" s="2"/>
      <c r="AP27" s="2"/>
      <c r="AQ27" s="2"/>
      <c r="AR27" s="2"/>
      <c r="AS27" s="2"/>
      <c r="AT27" s="2"/>
      <c r="AU27" s="2"/>
      <c r="AV27" s="2"/>
      <c r="AW27" s="2"/>
      <c r="AX27" s="2"/>
      <c r="AY27" s="2"/>
      <c r="AZ27" s="2"/>
      <c r="BA27" s="2"/>
      <c r="BB27" s="2"/>
      <c r="BC27" s="2"/>
      <c r="BF27" s="2"/>
      <c r="BG27" s="262" t="str">
        <f t="shared" si="17"/>
        <v>#15:</v>
      </c>
      <c r="BH27" s="217">
        <f t="shared" si="39"/>
        <v>3.0000000960000004</v>
      </c>
      <c r="BI27" s="229">
        <f t="shared" si="40"/>
        <v>12.000000384000002</v>
      </c>
      <c r="BJ27" s="262" t="str">
        <f t="shared" si="18"/>
        <v/>
      </c>
      <c r="BK27" s="217" t="str">
        <f t="shared" si="25"/>
        <v/>
      </c>
      <c r="BL27" s="229" t="str">
        <f t="shared" si="26"/>
        <v/>
      </c>
      <c r="BM27" s="262" t="str">
        <f t="shared" si="19"/>
        <v/>
      </c>
      <c r="BN27" s="217" t="str">
        <f t="shared" si="27"/>
        <v/>
      </c>
      <c r="BO27" s="229" t="str">
        <f t="shared" si="28"/>
        <v/>
      </c>
      <c r="BP27" s="262" t="str">
        <f t="shared" si="20"/>
        <v/>
      </c>
      <c r="BQ27" s="217" t="str">
        <f t="shared" si="29"/>
        <v/>
      </c>
      <c r="BR27" s="229" t="str">
        <f t="shared" si="30"/>
        <v/>
      </c>
      <c r="BS27" s="262" t="str">
        <f t="shared" si="21"/>
        <v/>
      </c>
      <c r="BT27" s="217" t="str">
        <f t="shared" si="31"/>
        <v/>
      </c>
      <c r="BU27" s="229" t="str">
        <f t="shared" si="32"/>
        <v/>
      </c>
      <c r="BV27" s="262" t="str">
        <f t="shared" si="22"/>
        <v/>
      </c>
      <c r="BW27" s="217" t="str">
        <f t="shared" si="33"/>
        <v/>
      </c>
      <c r="BX27" s="229" t="str">
        <f t="shared" si="34"/>
        <v/>
      </c>
      <c r="BY27" s="262" t="str">
        <f t="shared" si="23"/>
        <v/>
      </c>
      <c r="BZ27" s="217" t="str">
        <f t="shared" si="35"/>
        <v/>
      </c>
      <c r="CA27" s="229" t="str">
        <f t="shared" si="36"/>
        <v/>
      </c>
      <c r="CB27" s="262" t="str">
        <f t="shared" si="24"/>
        <v/>
      </c>
      <c r="CC27" s="217" t="str">
        <f t="shared" si="37"/>
        <v/>
      </c>
      <c r="CD27" s="229" t="str">
        <f t="shared" si="38"/>
        <v/>
      </c>
    </row>
    <row r="28" spans="1:82" x14ac:dyDescent="0.25">
      <c r="A28" s="260" t="str">
        <f t="shared" si="9"/>
        <v>#16:</v>
      </c>
      <c r="B28" s="145">
        <v>0.9144000000000001</v>
      </c>
      <c r="C28" s="145">
        <v>4.5720000000000001</v>
      </c>
      <c r="D28" s="260" t="str">
        <f t="shared" si="10"/>
        <v/>
      </c>
      <c r="E28" s="145"/>
      <c r="F28" s="145"/>
      <c r="G28" s="260" t="str">
        <f t="shared" si="11"/>
        <v/>
      </c>
      <c r="H28" s="145"/>
      <c r="I28" s="145"/>
      <c r="J28" s="261" t="str">
        <f t="shared" si="12"/>
        <v/>
      </c>
      <c r="K28" s="145"/>
      <c r="L28" s="145"/>
      <c r="M28" s="260" t="str">
        <f t="shared" si="13"/>
        <v/>
      </c>
      <c r="N28" s="145"/>
      <c r="O28" s="145"/>
      <c r="P28" s="260" t="str">
        <f t="shared" si="14"/>
        <v/>
      </c>
      <c r="Q28" s="145"/>
      <c r="R28" s="145"/>
      <c r="S28" s="260" t="str">
        <f t="shared" si="15"/>
        <v/>
      </c>
      <c r="T28" s="145"/>
      <c r="U28" s="145"/>
      <c r="V28" s="260" t="str">
        <f t="shared" si="16"/>
        <v/>
      </c>
      <c r="W28" s="145"/>
      <c r="X28" s="145"/>
      <c r="Y28" s="259"/>
      <c r="Z28" s="2"/>
      <c r="AA28" s="256">
        <v>24</v>
      </c>
      <c r="AB28" s="16">
        <f t="shared" si="0"/>
        <v>-1.3715990000000011</v>
      </c>
      <c r="AC28" s="16">
        <f t="shared" si="1"/>
        <v>0.45720099999999952</v>
      </c>
      <c r="AD28" s="16">
        <f t="shared" si="2"/>
        <v>1.8812838168010031</v>
      </c>
      <c r="AE28" s="16">
        <f t="shared" si="3"/>
        <v>0.20903275440099955</v>
      </c>
      <c r="AF28" s="16">
        <f t="shared" si="4"/>
        <v>-0.62709643439899987</v>
      </c>
      <c r="AG28" s="17">
        <f t="shared" si="5"/>
        <v>0.45719999999999961</v>
      </c>
      <c r="AH28" s="17">
        <f t="shared" si="6"/>
        <v>-1.3716000000000013</v>
      </c>
      <c r="AI28" s="18">
        <f t="shared" si="7"/>
        <v>329.57280604868242</v>
      </c>
      <c r="AJ28" s="18">
        <f t="shared" si="8"/>
        <v>8.0191462528234894</v>
      </c>
      <c r="AM28" s="2"/>
      <c r="AN28" s="2"/>
      <c r="AO28" s="2"/>
      <c r="AP28" s="2"/>
      <c r="AQ28" s="2"/>
      <c r="AR28" s="2"/>
      <c r="AS28" s="2"/>
      <c r="AT28" s="2"/>
      <c r="AU28" s="2"/>
      <c r="AV28" s="2"/>
      <c r="AW28" s="2"/>
      <c r="AX28" s="2"/>
      <c r="AY28" s="2"/>
      <c r="AZ28" s="2"/>
      <c r="BA28" s="2"/>
      <c r="BB28" s="2"/>
      <c r="BC28" s="2"/>
      <c r="BF28" s="2"/>
      <c r="BG28" s="262" t="str">
        <f t="shared" si="17"/>
        <v>#16:</v>
      </c>
      <c r="BH28" s="217">
        <f t="shared" si="39"/>
        <v>3.0000000960000004</v>
      </c>
      <c r="BI28" s="229">
        <f t="shared" si="40"/>
        <v>15.000000480000001</v>
      </c>
      <c r="BJ28" s="262" t="str">
        <f t="shared" si="18"/>
        <v/>
      </c>
      <c r="BK28" s="217" t="str">
        <f t="shared" si="25"/>
        <v/>
      </c>
      <c r="BL28" s="229" t="str">
        <f t="shared" si="26"/>
        <v/>
      </c>
      <c r="BM28" s="262" t="str">
        <f t="shared" si="19"/>
        <v/>
      </c>
      <c r="BN28" s="217" t="str">
        <f t="shared" si="27"/>
        <v/>
      </c>
      <c r="BO28" s="229" t="str">
        <f t="shared" si="28"/>
        <v/>
      </c>
      <c r="BP28" s="262" t="str">
        <f t="shared" si="20"/>
        <v/>
      </c>
      <c r="BQ28" s="217" t="str">
        <f t="shared" si="29"/>
        <v/>
      </c>
      <c r="BR28" s="229" t="str">
        <f t="shared" si="30"/>
        <v/>
      </c>
      <c r="BS28" s="262" t="str">
        <f t="shared" si="21"/>
        <v/>
      </c>
      <c r="BT28" s="217" t="str">
        <f t="shared" si="31"/>
        <v/>
      </c>
      <c r="BU28" s="229" t="str">
        <f t="shared" si="32"/>
        <v/>
      </c>
      <c r="BV28" s="262" t="str">
        <f t="shared" si="22"/>
        <v/>
      </c>
      <c r="BW28" s="217" t="str">
        <f t="shared" si="33"/>
        <v/>
      </c>
      <c r="BX28" s="229" t="str">
        <f t="shared" si="34"/>
        <v/>
      </c>
      <c r="BY28" s="262" t="str">
        <f t="shared" si="23"/>
        <v/>
      </c>
      <c r="BZ28" s="217" t="str">
        <f t="shared" si="35"/>
        <v/>
      </c>
      <c r="CA28" s="229" t="str">
        <f t="shared" si="36"/>
        <v/>
      </c>
      <c r="CB28" s="262" t="str">
        <f t="shared" si="24"/>
        <v/>
      </c>
      <c r="CC28" s="217" t="str">
        <f t="shared" si="37"/>
        <v/>
      </c>
      <c r="CD28" s="229" t="str">
        <f t="shared" si="38"/>
        <v/>
      </c>
    </row>
    <row r="29" spans="1:82" x14ac:dyDescent="0.25">
      <c r="A29" s="260" t="str">
        <f t="shared" si="9"/>
        <v>#17:</v>
      </c>
      <c r="B29" s="145">
        <v>0.9144000000000001</v>
      </c>
      <c r="C29" s="145">
        <v>5.4864000000000006</v>
      </c>
      <c r="D29" s="260" t="str">
        <f t="shared" si="10"/>
        <v/>
      </c>
      <c r="E29" s="145"/>
      <c r="F29" s="145"/>
      <c r="G29" s="260" t="str">
        <f t="shared" si="11"/>
        <v/>
      </c>
      <c r="H29" s="145"/>
      <c r="I29" s="145"/>
      <c r="J29" s="261" t="str">
        <f t="shared" si="12"/>
        <v/>
      </c>
      <c r="K29" s="145"/>
      <c r="L29" s="145"/>
      <c r="M29" s="260" t="str">
        <f t="shared" si="13"/>
        <v/>
      </c>
      <c r="N29" s="145"/>
      <c r="O29" s="145"/>
      <c r="P29" s="260" t="str">
        <f t="shared" si="14"/>
        <v/>
      </c>
      <c r="Q29" s="145"/>
      <c r="R29" s="145"/>
      <c r="S29" s="260" t="str">
        <f t="shared" si="15"/>
        <v/>
      </c>
      <c r="T29" s="145"/>
      <c r="U29" s="145"/>
      <c r="V29" s="260" t="str">
        <f t="shared" si="16"/>
        <v/>
      </c>
      <c r="W29" s="145"/>
      <c r="X29" s="145"/>
      <c r="Y29" s="259"/>
      <c r="Z29" s="2"/>
      <c r="AA29" s="256">
        <v>25</v>
      </c>
      <c r="AB29" s="16">
        <f t="shared" si="0"/>
        <v>-0.45719900000000102</v>
      </c>
      <c r="AC29" s="16">
        <f t="shared" si="1"/>
        <v>0.45720099999999952</v>
      </c>
      <c r="AD29" s="16">
        <f t="shared" si="2"/>
        <v>0.20903092560100092</v>
      </c>
      <c r="AE29" s="16">
        <f t="shared" si="3"/>
        <v>0.20903275440099955</v>
      </c>
      <c r="AF29" s="16">
        <f t="shared" si="4"/>
        <v>-0.20903183999900024</v>
      </c>
      <c r="AG29" s="17">
        <f t="shared" si="5"/>
        <v>0.45719999999999961</v>
      </c>
      <c r="AH29" s="17">
        <f t="shared" si="6"/>
        <v>-0.45720000000000116</v>
      </c>
      <c r="AI29" s="18">
        <f t="shared" si="7"/>
        <v>327.32622607572483</v>
      </c>
      <c r="AJ29" s="18">
        <f t="shared" si="8"/>
        <v>8.0191462528234894</v>
      </c>
      <c r="AM29" s="2"/>
      <c r="AN29" s="2"/>
      <c r="AO29" s="2"/>
      <c r="AP29" s="2"/>
      <c r="AQ29" s="2"/>
      <c r="AR29" s="2"/>
      <c r="AS29" s="2"/>
      <c r="AT29" s="2"/>
      <c r="AU29" s="2"/>
      <c r="AV29" s="2"/>
      <c r="AW29" s="2"/>
      <c r="AX29" s="2"/>
      <c r="AY29" s="2"/>
      <c r="AZ29" s="2"/>
      <c r="BA29" s="2"/>
      <c r="BB29" s="2"/>
      <c r="BC29" s="2"/>
      <c r="BF29" s="2"/>
      <c r="BG29" s="262" t="str">
        <f t="shared" si="17"/>
        <v>#17:</v>
      </c>
      <c r="BH29" s="217">
        <f t="shared" si="39"/>
        <v>3.0000000960000004</v>
      </c>
      <c r="BI29" s="229">
        <f t="shared" si="40"/>
        <v>18.000000576000001</v>
      </c>
      <c r="BJ29" s="262" t="str">
        <f t="shared" si="18"/>
        <v/>
      </c>
      <c r="BK29" s="217" t="str">
        <f t="shared" si="25"/>
        <v/>
      </c>
      <c r="BL29" s="229" t="str">
        <f t="shared" si="26"/>
        <v/>
      </c>
      <c r="BM29" s="262" t="str">
        <f t="shared" si="19"/>
        <v/>
      </c>
      <c r="BN29" s="217" t="str">
        <f t="shared" si="27"/>
        <v/>
      </c>
      <c r="BO29" s="229" t="str">
        <f t="shared" si="28"/>
        <v/>
      </c>
      <c r="BP29" s="262" t="str">
        <f t="shared" si="20"/>
        <v/>
      </c>
      <c r="BQ29" s="217" t="str">
        <f t="shared" si="29"/>
        <v/>
      </c>
      <c r="BR29" s="229" t="str">
        <f t="shared" si="30"/>
        <v/>
      </c>
      <c r="BS29" s="262" t="str">
        <f t="shared" si="21"/>
        <v/>
      </c>
      <c r="BT29" s="217" t="str">
        <f t="shared" si="31"/>
        <v/>
      </c>
      <c r="BU29" s="229" t="str">
        <f t="shared" si="32"/>
        <v/>
      </c>
      <c r="BV29" s="262" t="str">
        <f t="shared" si="22"/>
        <v/>
      </c>
      <c r="BW29" s="217" t="str">
        <f t="shared" si="33"/>
        <v/>
      </c>
      <c r="BX29" s="229" t="str">
        <f t="shared" si="34"/>
        <v/>
      </c>
      <c r="BY29" s="262" t="str">
        <f t="shared" si="23"/>
        <v/>
      </c>
      <c r="BZ29" s="217" t="str">
        <f t="shared" si="35"/>
        <v/>
      </c>
      <c r="CA29" s="229" t="str">
        <f t="shared" si="36"/>
        <v/>
      </c>
      <c r="CB29" s="262" t="str">
        <f t="shared" si="24"/>
        <v/>
      </c>
      <c r="CC29" s="217" t="str">
        <f t="shared" si="37"/>
        <v/>
      </c>
      <c r="CD29" s="229" t="str">
        <f t="shared" si="38"/>
        <v/>
      </c>
    </row>
    <row r="30" spans="1:82" x14ac:dyDescent="0.25">
      <c r="A30" s="260" t="str">
        <f t="shared" si="9"/>
        <v>#18:</v>
      </c>
      <c r="B30" s="145">
        <v>0.9144000000000001</v>
      </c>
      <c r="C30" s="145">
        <v>6.4008000000000003</v>
      </c>
      <c r="D30" s="260" t="str">
        <f t="shared" si="10"/>
        <v/>
      </c>
      <c r="E30" s="145"/>
      <c r="F30" s="145"/>
      <c r="G30" s="260" t="str">
        <f t="shared" si="11"/>
        <v/>
      </c>
      <c r="H30" s="145"/>
      <c r="I30" s="145"/>
      <c r="J30" s="261" t="str">
        <f t="shared" si="12"/>
        <v/>
      </c>
      <c r="K30" s="145"/>
      <c r="L30" s="145"/>
      <c r="M30" s="260" t="str">
        <f t="shared" si="13"/>
        <v/>
      </c>
      <c r="N30" s="145"/>
      <c r="O30" s="145"/>
      <c r="P30" s="260" t="str">
        <f t="shared" si="14"/>
        <v/>
      </c>
      <c r="Q30" s="145"/>
      <c r="R30" s="145"/>
      <c r="S30" s="260" t="str">
        <f t="shared" si="15"/>
        <v/>
      </c>
      <c r="T30" s="145"/>
      <c r="U30" s="145"/>
      <c r="V30" s="260" t="str">
        <f t="shared" si="16"/>
        <v/>
      </c>
      <c r="W30" s="145"/>
      <c r="X30" s="145"/>
      <c r="Y30" s="259"/>
      <c r="Z30" s="2"/>
      <c r="AA30" s="256">
        <v>26</v>
      </c>
      <c r="AB30" s="16">
        <f t="shared" si="0"/>
        <v>0.45720099999999864</v>
      </c>
      <c r="AC30" s="16">
        <f t="shared" si="1"/>
        <v>0.45720099999999952</v>
      </c>
      <c r="AD30" s="16">
        <f t="shared" si="2"/>
        <v>0.20903275440099875</v>
      </c>
      <c r="AE30" s="16">
        <f t="shared" si="3"/>
        <v>0.20903275440099955</v>
      </c>
      <c r="AF30" s="16">
        <f t="shared" si="4"/>
        <v>0.20903275440099917</v>
      </c>
      <c r="AG30" s="17">
        <f t="shared" si="5"/>
        <v>0.45719999999999961</v>
      </c>
      <c r="AH30" s="17">
        <f t="shared" si="6"/>
        <v>0.4571999999999985</v>
      </c>
      <c r="AI30" s="18">
        <f t="shared" si="7"/>
        <v>325.07964610276719</v>
      </c>
      <c r="AJ30" s="18">
        <f t="shared" si="8"/>
        <v>8.0191462528234894</v>
      </c>
      <c r="AM30" s="2"/>
      <c r="AN30" s="2"/>
      <c r="AO30" s="2"/>
      <c r="AP30" s="2"/>
      <c r="AQ30" s="2"/>
      <c r="AR30" s="2"/>
      <c r="AS30" s="2"/>
      <c r="AT30" s="2"/>
      <c r="AU30" s="2"/>
      <c r="AV30" s="2"/>
      <c r="AW30" s="2"/>
      <c r="AX30" s="2"/>
      <c r="AY30" s="2"/>
      <c r="AZ30" s="2"/>
      <c r="BA30" s="2"/>
      <c r="BB30" s="2"/>
      <c r="BC30" s="2"/>
      <c r="BF30" s="2"/>
      <c r="BG30" s="262" t="str">
        <f t="shared" si="17"/>
        <v>#18:</v>
      </c>
      <c r="BH30" s="217">
        <f t="shared" si="39"/>
        <v>3.0000000960000004</v>
      </c>
      <c r="BI30" s="229">
        <f t="shared" si="40"/>
        <v>21.000000672000002</v>
      </c>
      <c r="BJ30" s="262" t="str">
        <f t="shared" si="18"/>
        <v/>
      </c>
      <c r="BK30" s="217" t="str">
        <f t="shared" si="25"/>
        <v/>
      </c>
      <c r="BL30" s="229" t="str">
        <f t="shared" si="26"/>
        <v/>
      </c>
      <c r="BM30" s="262" t="str">
        <f t="shared" si="19"/>
        <v/>
      </c>
      <c r="BN30" s="217" t="str">
        <f t="shared" si="27"/>
        <v/>
      </c>
      <c r="BO30" s="229" t="str">
        <f t="shared" si="28"/>
        <v/>
      </c>
      <c r="BP30" s="262" t="str">
        <f t="shared" si="20"/>
        <v/>
      </c>
      <c r="BQ30" s="217" t="str">
        <f t="shared" si="29"/>
        <v/>
      </c>
      <c r="BR30" s="229" t="str">
        <f t="shared" si="30"/>
        <v/>
      </c>
      <c r="BS30" s="262" t="str">
        <f t="shared" si="21"/>
        <v/>
      </c>
      <c r="BT30" s="217" t="str">
        <f t="shared" si="31"/>
        <v/>
      </c>
      <c r="BU30" s="229" t="str">
        <f t="shared" si="32"/>
        <v/>
      </c>
      <c r="BV30" s="262" t="str">
        <f t="shared" si="22"/>
        <v/>
      </c>
      <c r="BW30" s="217" t="str">
        <f t="shared" si="33"/>
        <v/>
      </c>
      <c r="BX30" s="229" t="str">
        <f t="shared" si="34"/>
        <v/>
      </c>
      <c r="BY30" s="262" t="str">
        <f t="shared" si="23"/>
        <v/>
      </c>
      <c r="BZ30" s="217" t="str">
        <f t="shared" si="35"/>
        <v/>
      </c>
      <c r="CA30" s="229" t="str">
        <f t="shared" si="36"/>
        <v/>
      </c>
      <c r="CB30" s="262" t="str">
        <f t="shared" si="24"/>
        <v/>
      </c>
      <c r="CC30" s="217" t="str">
        <f t="shared" si="37"/>
        <v/>
      </c>
      <c r="CD30" s="229" t="str">
        <f t="shared" si="38"/>
        <v/>
      </c>
    </row>
    <row r="31" spans="1:82" x14ac:dyDescent="0.25">
      <c r="A31" s="260" t="str">
        <f t="shared" si="9"/>
        <v>#19:</v>
      </c>
      <c r="B31" s="145">
        <v>0.9144000000000001</v>
      </c>
      <c r="C31" s="145">
        <v>7.3152000000000008</v>
      </c>
      <c r="D31" s="260" t="str">
        <f t="shared" si="10"/>
        <v/>
      </c>
      <c r="E31" s="145"/>
      <c r="F31" s="145"/>
      <c r="G31" s="260" t="str">
        <f t="shared" si="11"/>
        <v/>
      </c>
      <c r="H31" s="145"/>
      <c r="I31" s="145"/>
      <c r="J31" s="261" t="str">
        <f t="shared" si="12"/>
        <v/>
      </c>
      <c r="K31" s="145"/>
      <c r="L31" s="145"/>
      <c r="M31" s="260" t="str">
        <f t="shared" si="13"/>
        <v/>
      </c>
      <c r="N31" s="145"/>
      <c r="O31" s="145"/>
      <c r="P31" s="260" t="str">
        <f t="shared" si="14"/>
        <v/>
      </c>
      <c r="Q31" s="145"/>
      <c r="R31" s="145"/>
      <c r="S31" s="260" t="str">
        <f t="shared" si="15"/>
        <v/>
      </c>
      <c r="T31" s="145"/>
      <c r="U31" s="145"/>
      <c r="V31" s="260" t="str">
        <f t="shared" si="16"/>
        <v/>
      </c>
      <c r="W31" s="145"/>
      <c r="X31" s="145"/>
      <c r="Y31" s="259"/>
      <c r="Z31" s="2"/>
      <c r="AA31" s="256">
        <v>27</v>
      </c>
      <c r="AB31" s="16">
        <f t="shared" si="0"/>
        <v>1.3716009999999992</v>
      </c>
      <c r="AC31" s="16">
        <f t="shared" si="1"/>
        <v>0.45720099999999952</v>
      </c>
      <c r="AD31" s="16">
        <f t="shared" si="2"/>
        <v>1.8812893032009979</v>
      </c>
      <c r="AE31" s="16">
        <f t="shared" si="3"/>
        <v>0.20903275440099955</v>
      </c>
      <c r="AF31" s="16">
        <f t="shared" si="4"/>
        <v>0.62709734880099899</v>
      </c>
      <c r="AG31" s="17">
        <f t="shared" si="5"/>
        <v>0.45719999999999961</v>
      </c>
      <c r="AH31" s="17">
        <f t="shared" si="6"/>
        <v>1.371599999999999</v>
      </c>
      <c r="AI31" s="18">
        <f t="shared" si="7"/>
        <v>322.83306612980959</v>
      </c>
      <c r="AJ31" s="18">
        <f t="shared" si="8"/>
        <v>8.0191462528234894</v>
      </c>
      <c r="AM31" s="2"/>
      <c r="AN31" s="2"/>
      <c r="AO31" s="2"/>
      <c r="AP31" s="2"/>
      <c r="AQ31" s="2"/>
      <c r="AR31" s="2"/>
      <c r="AS31" s="2"/>
      <c r="AT31" s="2"/>
      <c r="AU31" s="2"/>
      <c r="AV31" s="2"/>
      <c r="AW31" s="2"/>
      <c r="AX31" s="2"/>
      <c r="AY31" s="2"/>
      <c r="AZ31" s="2"/>
      <c r="BA31" s="2"/>
      <c r="BB31" s="2"/>
      <c r="BC31" s="2"/>
      <c r="BF31" s="2"/>
      <c r="BG31" s="262" t="str">
        <f t="shared" si="17"/>
        <v>#19:</v>
      </c>
      <c r="BH31" s="217">
        <f t="shared" si="39"/>
        <v>3.0000000960000004</v>
      </c>
      <c r="BI31" s="229">
        <f t="shared" si="40"/>
        <v>24.000000768000003</v>
      </c>
      <c r="BJ31" s="262" t="str">
        <f t="shared" si="18"/>
        <v/>
      </c>
      <c r="BK31" s="217" t="str">
        <f t="shared" si="25"/>
        <v/>
      </c>
      <c r="BL31" s="229" t="str">
        <f t="shared" si="26"/>
        <v/>
      </c>
      <c r="BM31" s="262" t="str">
        <f t="shared" si="19"/>
        <v/>
      </c>
      <c r="BN31" s="217" t="str">
        <f t="shared" si="27"/>
        <v/>
      </c>
      <c r="BO31" s="229" t="str">
        <f t="shared" si="28"/>
        <v/>
      </c>
      <c r="BP31" s="262" t="str">
        <f t="shared" si="20"/>
        <v/>
      </c>
      <c r="BQ31" s="217" t="str">
        <f t="shared" si="29"/>
        <v/>
      </c>
      <c r="BR31" s="229" t="str">
        <f t="shared" si="30"/>
        <v/>
      </c>
      <c r="BS31" s="262" t="str">
        <f t="shared" si="21"/>
        <v/>
      </c>
      <c r="BT31" s="217" t="str">
        <f t="shared" si="31"/>
        <v/>
      </c>
      <c r="BU31" s="229" t="str">
        <f t="shared" si="32"/>
        <v/>
      </c>
      <c r="BV31" s="262" t="str">
        <f t="shared" si="22"/>
        <v/>
      </c>
      <c r="BW31" s="217" t="str">
        <f t="shared" si="33"/>
        <v/>
      </c>
      <c r="BX31" s="229" t="str">
        <f t="shared" si="34"/>
        <v/>
      </c>
      <c r="BY31" s="262" t="str">
        <f t="shared" si="23"/>
        <v/>
      </c>
      <c r="BZ31" s="217" t="str">
        <f t="shared" si="35"/>
        <v/>
      </c>
      <c r="CA31" s="229" t="str">
        <f t="shared" si="36"/>
        <v/>
      </c>
      <c r="CB31" s="262" t="str">
        <f t="shared" si="24"/>
        <v/>
      </c>
      <c r="CC31" s="217" t="str">
        <f t="shared" si="37"/>
        <v/>
      </c>
      <c r="CD31" s="229" t="str">
        <f t="shared" si="38"/>
        <v/>
      </c>
    </row>
    <row r="32" spans="1:82" x14ac:dyDescent="0.25">
      <c r="A32" s="260" t="str">
        <f t="shared" si="9"/>
        <v>#20:</v>
      </c>
      <c r="B32" s="145">
        <v>0.9144000000000001</v>
      </c>
      <c r="C32" s="145">
        <v>8.2295999999999996</v>
      </c>
      <c r="D32" s="260" t="str">
        <f t="shared" si="10"/>
        <v/>
      </c>
      <c r="E32" s="145"/>
      <c r="F32" s="145"/>
      <c r="G32" s="260" t="str">
        <f t="shared" si="11"/>
        <v/>
      </c>
      <c r="H32" s="145"/>
      <c r="I32" s="145"/>
      <c r="J32" s="261" t="str">
        <f t="shared" si="12"/>
        <v/>
      </c>
      <c r="K32" s="145"/>
      <c r="L32" s="145"/>
      <c r="M32" s="260" t="str">
        <f t="shared" si="13"/>
        <v/>
      </c>
      <c r="N32" s="145"/>
      <c r="O32" s="145"/>
      <c r="P32" s="260" t="str">
        <f t="shared" si="14"/>
        <v/>
      </c>
      <c r="Q32" s="145"/>
      <c r="R32" s="145"/>
      <c r="S32" s="260" t="str">
        <f t="shared" si="15"/>
        <v/>
      </c>
      <c r="T32" s="145"/>
      <c r="U32" s="145"/>
      <c r="V32" s="260" t="str">
        <f t="shared" si="16"/>
        <v/>
      </c>
      <c r="W32" s="145"/>
      <c r="X32" s="145"/>
      <c r="Y32" s="259"/>
      <c r="Z32" s="2"/>
      <c r="AA32" s="256">
        <v>28</v>
      </c>
      <c r="AB32" s="16">
        <f t="shared" si="0"/>
        <v>2.2860009999999988</v>
      </c>
      <c r="AC32" s="16">
        <f t="shared" si="1"/>
        <v>0.45720099999999952</v>
      </c>
      <c r="AD32" s="16">
        <f t="shared" si="2"/>
        <v>5.2258005720009946</v>
      </c>
      <c r="AE32" s="16">
        <f t="shared" si="3"/>
        <v>0.20903275440099955</v>
      </c>
      <c r="AF32" s="16">
        <f t="shared" si="4"/>
        <v>1.0451619432009984</v>
      </c>
      <c r="AG32" s="17">
        <f t="shared" si="5"/>
        <v>0.45719999999999961</v>
      </c>
      <c r="AH32" s="17">
        <f t="shared" si="6"/>
        <v>2.2859999999999987</v>
      </c>
      <c r="AI32" s="18">
        <f t="shared" si="7"/>
        <v>320.586486156852</v>
      </c>
      <c r="AJ32" s="18">
        <f t="shared" si="8"/>
        <v>8.0191462528234894</v>
      </c>
      <c r="AM32" s="2"/>
      <c r="AN32" s="2"/>
      <c r="AO32" s="2"/>
      <c r="AP32" s="2"/>
      <c r="AQ32" s="2"/>
      <c r="AR32" s="2"/>
      <c r="AS32" s="2"/>
      <c r="AT32" s="2"/>
      <c r="AU32" s="2"/>
      <c r="AV32" s="2"/>
      <c r="AW32" s="2"/>
      <c r="AX32" s="2"/>
      <c r="AY32" s="2"/>
      <c r="AZ32" s="2"/>
      <c r="BA32" s="2"/>
      <c r="BB32" s="2"/>
      <c r="BC32" s="2"/>
      <c r="BF32" s="2"/>
      <c r="BG32" s="262" t="str">
        <f t="shared" si="17"/>
        <v>#20:</v>
      </c>
      <c r="BH32" s="217">
        <f t="shared" si="39"/>
        <v>3.0000000960000004</v>
      </c>
      <c r="BI32" s="229">
        <f t="shared" si="40"/>
        <v>27.000000863999997</v>
      </c>
      <c r="BJ32" s="262" t="str">
        <f t="shared" si="18"/>
        <v/>
      </c>
      <c r="BK32" s="217" t="str">
        <f t="shared" si="25"/>
        <v/>
      </c>
      <c r="BL32" s="229" t="str">
        <f t="shared" si="26"/>
        <v/>
      </c>
      <c r="BM32" s="262" t="str">
        <f t="shared" si="19"/>
        <v/>
      </c>
      <c r="BN32" s="217" t="str">
        <f t="shared" si="27"/>
        <v/>
      </c>
      <c r="BO32" s="229" t="str">
        <f t="shared" si="28"/>
        <v/>
      </c>
      <c r="BP32" s="262" t="str">
        <f t="shared" si="20"/>
        <v/>
      </c>
      <c r="BQ32" s="217" t="str">
        <f t="shared" si="29"/>
        <v/>
      </c>
      <c r="BR32" s="229" t="str">
        <f t="shared" si="30"/>
        <v/>
      </c>
      <c r="BS32" s="262" t="str">
        <f t="shared" si="21"/>
        <v/>
      </c>
      <c r="BT32" s="217" t="str">
        <f t="shared" si="31"/>
        <v/>
      </c>
      <c r="BU32" s="229" t="str">
        <f t="shared" si="32"/>
        <v/>
      </c>
      <c r="BV32" s="262" t="str">
        <f t="shared" si="22"/>
        <v/>
      </c>
      <c r="BW32" s="217" t="str">
        <f t="shared" si="33"/>
        <v/>
      </c>
      <c r="BX32" s="229" t="str">
        <f t="shared" si="34"/>
        <v/>
      </c>
      <c r="BY32" s="262" t="str">
        <f t="shared" si="23"/>
        <v/>
      </c>
      <c r="BZ32" s="217" t="str">
        <f t="shared" si="35"/>
        <v/>
      </c>
      <c r="CA32" s="229" t="str">
        <f t="shared" si="36"/>
        <v/>
      </c>
      <c r="CB32" s="262" t="str">
        <f t="shared" si="24"/>
        <v/>
      </c>
      <c r="CC32" s="217" t="str">
        <f t="shared" si="37"/>
        <v/>
      </c>
      <c r="CD32" s="229" t="str">
        <f t="shared" si="38"/>
        <v/>
      </c>
    </row>
    <row r="33" spans="1:89" x14ac:dyDescent="0.25">
      <c r="A33" s="260" t="str">
        <f t="shared" si="9"/>
        <v>#21:</v>
      </c>
      <c r="B33" s="145">
        <v>1.8288000000000002</v>
      </c>
      <c r="C33" s="145">
        <v>0</v>
      </c>
      <c r="D33" s="260" t="str">
        <f t="shared" si="10"/>
        <v/>
      </c>
      <c r="E33" s="145"/>
      <c r="F33" s="145"/>
      <c r="G33" s="260" t="str">
        <f t="shared" si="11"/>
        <v/>
      </c>
      <c r="H33" s="145"/>
      <c r="I33" s="145"/>
      <c r="J33" s="261" t="str">
        <f t="shared" si="12"/>
        <v/>
      </c>
      <c r="K33" s="145"/>
      <c r="L33" s="145"/>
      <c r="M33" s="260" t="str">
        <f t="shared" si="13"/>
        <v/>
      </c>
      <c r="N33" s="145"/>
      <c r="O33" s="145"/>
      <c r="P33" s="260" t="str">
        <f t="shared" si="14"/>
        <v/>
      </c>
      <c r="Q33" s="145"/>
      <c r="R33" s="145"/>
      <c r="S33" s="260" t="str">
        <f t="shared" si="15"/>
        <v/>
      </c>
      <c r="T33" s="145"/>
      <c r="U33" s="145"/>
      <c r="V33" s="260" t="str">
        <f t="shared" si="16"/>
        <v/>
      </c>
      <c r="W33" s="145"/>
      <c r="X33" s="145"/>
      <c r="Y33" s="259"/>
      <c r="Z33" s="2"/>
      <c r="AA33" s="256">
        <v>29</v>
      </c>
      <c r="AB33" s="16">
        <f t="shared" si="0"/>
        <v>3.2004009999999994</v>
      </c>
      <c r="AC33" s="16">
        <f t="shared" si="1"/>
        <v>0.45720099999999952</v>
      </c>
      <c r="AD33" s="16">
        <f t="shared" si="2"/>
        <v>10.242566560800997</v>
      </c>
      <c r="AE33" s="16">
        <f t="shared" si="3"/>
        <v>0.20903275440099955</v>
      </c>
      <c r="AF33" s="16">
        <f t="shared" si="4"/>
        <v>1.4632265376009983</v>
      </c>
      <c r="AG33" s="17">
        <f t="shared" si="5"/>
        <v>0.45719999999999961</v>
      </c>
      <c r="AH33" s="17">
        <f t="shared" si="6"/>
        <v>3.2003999999999992</v>
      </c>
      <c r="AI33" s="18">
        <f t="shared" si="7"/>
        <v>318.33990618389441</v>
      </c>
      <c r="AJ33" s="18">
        <f t="shared" si="8"/>
        <v>8.0191462528234894</v>
      </c>
      <c r="AM33" s="2"/>
      <c r="AN33" s="2"/>
      <c r="AO33" s="2"/>
      <c r="AP33" s="2"/>
      <c r="AQ33" s="2"/>
      <c r="AR33" s="2"/>
      <c r="AS33" s="2"/>
      <c r="AT33" s="2"/>
      <c r="AU33" s="2"/>
      <c r="AV33" s="2"/>
      <c r="AW33" s="2"/>
      <c r="AX33" s="2"/>
      <c r="AY33" s="2"/>
      <c r="AZ33" s="2"/>
      <c r="BA33" s="2"/>
      <c r="BB33" s="2"/>
      <c r="BC33" s="2"/>
      <c r="BF33" s="2"/>
      <c r="BG33" s="262" t="str">
        <f t="shared" si="17"/>
        <v>#21:</v>
      </c>
      <c r="BH33" s="217">
        <f t="shared" si="39"/>
        <v>6.0000001920000008</v>
      </c>
      <c r="BI33" s="229">
        <f t="shared" si="40"/>
        <v>0</v>
      </c>
      <c r="BJ33" s="262" t="str">
        <f t="shared" si="18"/>
        <v/>
      </c>
      <c r="BK33" s="217" t="str">
        <f t="shared" si="25"/>
        <v/>
      </c>
      <c r="BL33" s="229" t="str">
        <f t="shared" si="26"/>
        <v/>
      </c>
      <c r="BM33" s="262" t="str">
        <f t="shared" si="19"/>
        <v/>
      </c>
      <c r="BN33" s="217" t="str">
        <f t="shared" si="27"/>
        <v/>
      </c>
      <c r="BO33" s="229" t="str">
        <f t="shared" si="28"/>
        <v/>
      </c>
      <c r="BP33" s="262" t="str">
        <f t="shared" si="20"/>
        <v/>
      </c>
      <c r="BQ33" s="217" t="str">
        <f t="shared" si="29"/>
        <v/>
      </c>
      <c r="BR33" s="229" t="str">
        <f t="shared" si="30"/>
        <v/>
      </c>
      <c r="BS33" s="262" t="str">
        <f t="shared" si="21"/>
        <v/>
      </c>
      <c r="BT33" s="217" t="str">
        <f t="shared" si="31"/>
        <v/>
      </c>
      <c r="BU33" s="229" t="str">
        <f t="shared" si="32"/>
        <v/>
      </c>
      <c r="BV33" s="262" t="str">
        <f t="shared" si="22"/>
        <v/>
      </c>
      <c r="BW33" s="217" t="str">
        <f t="shared" si="33"/>
        <v/>
      </c>
      <c r="BX33" s="229" t="str">
        <f t="shared" si="34"/>
        <v/>
      </c>
      <c r="BY33" s="262" t="str">
        <f t="shared" si="23"/>
        <v/>
      </c>
      <c r="BZ33" s="217" t="str">
        <f t="shared" si="35"/>
        <v/>
      </c>
      <c r="CA33" s="229" t="str">
        <f t="shared" si="36"/>
        <v/>
      </c>
      <c r="CB33" s="262" t="str">
        <f t="shared" si="24"/>
        <v/>
      </c>
      <c r="CC33" s="217" t="str">
        <f t="shared" si="37"/>
        <v/>
      </c>
      <c r="CD33" s="229" t="str">
        <f t="shared" si="38"/>
        <v/>
      </c>
    </row>
    <row r="34" spans="1:89" x14ac:dyDescent="0.25">
      <c r="A34" s="260" t="str">
        <f t="shared" si="9"/>
        <v>#22:</v>
      </c>
      <c r="B34" s="145">
        <v>1.8288000000000002</v>
      </c>
      <c r="C34" s="145">
        <v>0.9144000000000001</v>
      </c>
      <c r="D34" s="260" t="str">
        <f t="shared" si="10"/>
        <v/>
      </c>
      <c r="E34" s="145"/>
      <c r="F34" s="145"/>
      <c r="G34" s="260" t="str">
        <f t="shared" si="11"/>
        <v/>
      </c>
      <c r="H34" s="145"/>
      <c r="I34" s="145"/>
      <c r="J34" s="261" t="str">
        <f t="shared" si="12"/>
        <v/>
      </c>
      <c r="K34" s="145"/>
      <c r="L34" s="145"/>
      <c r="M34" s="260" t="str">
        <f t="shared" si="13"/>
        <v/>
      </c>
      <c r="N34" s="145"/>
      <c r="O34" s="145"/>
      <c r="P34" s="260" t="str">
        <f t="shared" si="14"/>
        <v/>
      </c>
      <c r="Q34" s="145"/>
      <c r="R34" s="145"/>
      <c r="S34" s="260" t="str">
        <f t="shared" si="15"/>
        <v/>
      </c>
      <c r="T34" s="145"/>
      <c r="U34" s="145"/>
      <c r="V34" s="260" t="str">
        <f t="shared" si="16"/>
        <v/>
      </c>
      <c r="W34" s="145"/>
      <c r="X34" s="145"/>
      <c r="Y34" s="259"/>
      <c r="Z34" s="2"/>
      <c r="AA34" s="256">
        <v>30</v>
      </c>
      <c r="AB34" s="16">
        <f t="shared" si="0"/>
        <v>4.1148009999999973</v>
      </c>
      <c r="AC34" s="16">
        <f t="shared" si="1"/>
        <v>0.45720099999999952</v>
      </c>
      <c r="AD34" s="16">
        <f t="shared" si="2"/>
        <v>16.931587269600978</v>
      </c>
      <c r="AE34" s="16">
        <f t="shared" si="3"/>
        <v>0.20903275440099955</v>
      </c>
      <c r="AF34" s="16">
        <f t="shared" si="4"/>
        <v>1.8812911320009968</v>
      </c>
      <c r="AG34" s="17">
        <f t="shared" si="5"/>
        <v>0.45719999999999961</v>
      </c>
      <c r="AH34" s="17">
        <f t="shared" si="6"/>
        <v>4.114799999999998</v>
      </c>
      <c r="AI34" s="18">
        <f t="shared" si="7"/>
        <v>316.09332621093682</v>
      </c>
      <c r="AJ34" s="18">
        <f t="shared" si="8"/>
        <v>8.0191462528234894</v>
      </c>
      <c r="AM34" s="2"/>
      <c r="AN34" s="2"/>
      <c r="AO34" s="2"/>
      <c r="AP34" s="2"/>
      <c r="AQ34" s="2"/>
      <c r="AR34" s="2"/>
      <c r="AS34" s="2"/>
      <c r="AT34" s="2"/>
      <c r="AU34" s="2"/>
      <c r="AV34" s="2"/>
      <c r="AW34" s="2"/>
      <c r="AX34" s="2"/>
      <c r="AY34" s="2"/>
      <c r="AZ34" s="2"/>
      <c r="BA34" s="2"/>
      <c r="BB34" s="2"/>
      <c r="BC34" s="2"/>
      <c r="BF34" s="2"/>
      <c r="BG34" s="262" t="str">
        <f t="shared" si="17"/>
        <v>#22:</v>
      </c>
      <c r="BH34" s="217">
        <f t="shared" si="39"/>
        <v>6.0000001920000008</v>
      </c>
      <c r="BI34" s="229">
        <f t="shared" si="40"/>
        <v>3.0000000960000004</v>
      </c>
      <c r="BJ34" s="262" t="str">
        <f t="shared" si="18"/>
        <v/>
      </c>
      <c r="BK34" s="217" t="str">
        <f t="shared" si="25"/>
        <v/>
      </c>
      <c r="BL34" s="229" t="str">
        <f t="shared" si="26"/>
        <v/>
      </c>
      <c r="BM34" s="262" t="str">
        <f t="shared" si="19"/>
        <v/>
      </c>
      <c r="BN34" s="217" t="str">
        <f t="shared" si="27"/>
        <v/>
      </c>
      <c r="BO34" s="229" t="str">
        <f t="shared" si="28"/>
        <v/>
      </c>
      <c r="BP34" s="262" t="str">
        <f t="shared" si="20"/>
        <v/>
      </c>
      <c r="BQ34" s="217" t="str">
        <f t="shared" si="29"/>
        <v/>
      </c>
      <c r="BR34" s="229" t="str">
        <f t="shared" si="30"/>
        <v/>
      </c>
      <c r="BS34" s="262" t="str">
        <f t="shared" si="21"/>
        <v/>
      </c>
      <c r="BT34" s="217" t="str">
        <f t="shared" si="31"/>
        <v/>
      </c>
      <c r="BU34" s="229" t="str">
        <f t="shared" si="32"/>
        <v/>
      </c>
      <c r="BV34" s="262" t="str">
        <f t="shared" si="22"/>
        <v/>
      </c>
      <c r="BW34" s="217" t="str">
        <f t="shared" si="33"/>
        <v/>
      </c>
      <c r="BX34" s="229" t="str">
        <f t="shared" si="34"/>
        <v/>
      </c>
      <c r="BY34" s="262" t="str">
        <f t="shared" si="23"/>
        <v/>
      </c>
      <c r="BZ34" s="217" t="str">
        <f t="shared" si="35"/>
        <v/>
      </c>
      <c r="CA34" s="229" t="str">
        <f t="shared" si="36"/>
        <v/>
      </c>
      <c r="CB34" s="262" t="str">
        <f t="shared" si="24"/>
        <v/>
      </c>
      <c r="CC34" s="217" t="str">
        <f t="shared" si="37"/>
        <v/>
      </c>
      <c r="CD34" s="229" t="str">
        <f t="shared" si="38"/>
        <v/>
      </c>
      <c r="CG34" s="92"/>
      <c r="CH34" s="92"/>
      <c r="CI34" s="92"/>
      <c r="CJ34" s="92"/>
      <c r="CK34" s="92"/>
    </row>
    <row r="35" spans="1:89" x14ac:dyDescent="0.25">
      <c r="A35" s="260" t="str">
        <f t="shared" si="9"/>
        <v>#23:</v>
      </c>
      <c r="B35" s="145">
        <v>1.8288000000000002</v>
      </c>
      <c r="C35" s="145">
        <v>1.8288000000000002</v>
      </c>
      <c r="D35" s="260" t="str">
        <f t="shared" si="10"/>
        <v/>
      </c>
      <c r="E35" s="145"/>
      <c r="F35" s="145"/>
      <c r="G35" s="260" t="str">
        <f t="shared" si="11"/>
        <v/>
      </c>
      <c r="H35" s="145"/>
      <c r="I35" s="145"/>
      <c r="J35" s="261" t="str">
        <f t="shared" si="12"/>
        <v/>
      </c>
      <c r="K35" s="145"/>
      <c r="L35" s="145"/>
      <c r="M35" s="260" t="str">
        <f t="shared" si="13"/>
        <v/>
      </c>
      <c r="N35" s="145"/>
      <c r="O35" s="145"/>
      <c r="P35" s="260" t="str">
        <f t="shared" si="14"/>
        <v/>
      </c>
      <c r="Q35" s="145"/>
      <c r="R35" s="145"/>
      <c r="S35" s="260" t="str">
        <f t="shared" si="15"/>
        <v/>
      </c>
      <c r="T35" s="145"/>
      <c r="U35" s="145"/>
      <c r="V35" s="260" t="str">
        <f t="shared" si="16"/>
        <v/>
      </c>
      <c r="W35" s="145"/>
      <c r="X35" s="145"/>
      <c r="Y35" s="259"/>
      <c r="Z35" s="2"/>
      <c r="AA35" s="256">
        <v>31</v>
      </c>
      <c r="AB35" s="16">
        <f t="shared" si="0"/>
        <v>-4.1147990000000014</v>
      </c>
      <c r="AC35" s="16">
        <f t="shared" si="1"/>
        <v>1.3716009999999998</v>
      </c>
      <c r="AD35" s="16">
        <f t="shared" si="2"/>
        <v>16.931570810401013</v>
      </c>
      <c r="AE35" s="16">
        <f t="shared" si="3"/>
        <v>1.8812893032009996</v>
      </c>
      <c r="AF35" s="16">
        <f t="shared" si="4"/>
        <v>-5.6438624231990016</v>
      </c>
      <c r="AG35" s="17">
        <f t="shared" si="5"/>
        <v>1.3715999999999997</v>
      </c>
      <c r="AH35" s="17">
        <f t="shared" si="6"/>
        <v>-4.1148000000000016</v>
      </c>
      <c r="AI35" s="18">
        <f t="shared" si="7"/>
        <v>321.48511814604706</v>
      </c>
      <c r="AJ35" s="18">
        <f t="shared" si="8"/>
        <v>8.0191462528234894</v>
      </c>
      <c r="AM35" s="2"/>
      <c r="AN35" s="2"/>
      <c r="AO35" s="2"/>
      <c r="AP35" s="2"/>
      <c r="AQ35" s="2"/>
      <c r="AR35" s="2"/>
      <c r="AS35" s="2"/>
      <c r="AT35" s="2"/>
      <c r="AU35" s="2"/>
      <c r="AV35" s="2"/>
      <c r="AW35" s="2"/>
      <c r="AX35" s="2"/>
      <c r="AY35" s="2"/>
      <c r="AZ35" s="2"/>
      <c r="BA35" s="2"/>
      <c r="BB35" s="2"/>
      <c r="BC35" s="2"/>
      <c r="BF35" s="2"/>
      <c r="BG35" s="262" t="str">
        <f t="shared" si="17"/>
        <v>#23:</v>
      </c>
      <c r="BH35" s="217">
        <f t="shared" si="39"/>
        <v>6.0000001920000008</v>
      </c>
      <c r="BI35" s="229">
        <f t="shared" si="40"/>
        <v>6.0000001920000008</v>
      </c>
      <c r="BJ35" s="262" t="str">
        <f t="shared" si="18"/>
        <v/>
      </c>
      <c r="BK35" s="217" t="str">
        <f t="shared" si="25"/>
        <v/>
      </c>
      <c r="BL35" s="229" t="str">
        <f t="shared" si="26"/>
        <v/>
      </c>
      <c r="BM35" s="262" t="str">
        <f t="shared" si="19"/>
        <v/>
      </c>
      <c r="BN35" s="217" t="str">
        <f t="shared" si="27"/>
        <v/>
      </c>
      <c r="BO35" s="229" t="str">
        <f t="shared" si="28"/>
        <v/>
      </c>
      <c r="BP35" s="262" t="str">
        <f t="shared" si="20"/>
        <v/>
      </c>
      <c r="BQ35" s="217" t="str">
        <f t="shared" si="29"/>
        <v/>
      </c>
      <c r="BR35" s="229" t="str">
        <f t="shared" si="30"/>
        <v/>
      </c>
      <c r="BS35" s="262" t="str">
        <f t="shared" si="21"/>
        <v/>
      </c>
      <c r="BT35" s="217" t="str">
        <f t="shared" si="31"/>
        <v/>
      </c>
      <c r="BU35" s="229" t="str">
        <f t="shared" si="32"/>
        <v/>
      </c>
      <c r="BV35" s="262" t="str">
        <f t="shared" si="22"/>
        <v/>
      </c>
      <c r="BW35" s="217" t="str">
        <f t="shared" si="33"/>
        <v/>
      </c>
      <c r="BX35" s="229" t="str">
        <f t="shared" si="34"/>
        <v/>
      </c>
      <c r="BY35" s="262" t="str">
        <f t="shared" si="23"/>
        <v/>
      </c>
      <c r="BZ35" s="217" t="str">
        <f t="shared" si="35"/>
        <v/>
      </c>
      <c r="CA35" s="229" t="str">
        <f t="shared" si="36"/>
        <v/>
      </c>
      <c r="CB35" s="262" t="str">
        <f t="shared" si="24"/>
        <v/>
      </c>
      <c r="CC35" s="217" t="str">
        <f t="shared" si="37"/>
        <v/>
      </c>
      <c r="CD35" s="229" t="str">
        <f t="shared" si="38"/>
        <v/>
      </c>
      <c r="CG35" s="92"/>
      <c r="CH35" s="92"/>
      <c r="CI35" s="92"/>
      <c r="CJ35" s="92"/>
      <c r="CK35" s="92"/>
    </row>
    <row r="36" spans="1:89" x14ac:dyDescent="0.25">
      <c r="A36" s="260" t="str">
        <f t="shared" si="9"/>
        <v>#24:</v>
      </c>
      <c r="B36" s="145">
        <v>1.8288000000000002</v>
      </c>
      <c r="C36" s="145">
        <v>2.7432000000000003</v>
      </c>
      <c r="D36" s="260" t="str">
        <f t="shared" si="10"/>
        <v/>
      </c>
      <c r="E36" s="145"/>
      <c r="F36" s="145"/>
      <c r="G36" s="260" t="str">
        <f t="shared" si="11"/>
        <v/>
      </c>
      <c r="H36" s="145"/>
      <c r="I36" s="145"/>
      <c r="J36" s="261" t="str">
        <f t="shared" si="12"/>
        <v/>
      </c>
      <c r="K36" s="145"/>
      <c r="L36" s="145"/>
      <c r="M36" s="260" t="str">
        <f t="shared" si="13"/>
        <v/>
      </c>
      <c r="N36" s="145"/>
      <c r="O36" s="145"/>
      <c r="P36" s="260" t="str">
        <f t="shared" si="14"/>
        <v/>
      </c>
      <c r="Q36" s="145"/>
      <c r="R36" s="145"/>
      <c r="S36" s="260" t="str">
        <f t="shared" si="15"/>
        <v/>
      </c>
      <c r="T36" s="145"/>
      <c r="U36" s="145"/>
      <c r="V36" s="260" t="str">
        <f t="shared" si="16"/>
        <v/>
      </c>
      <c r="W36" s="145"/>
      <c r="X36" s="145"/>
      <c r="Y36" s="259"/>
      <c r="Z36" s="2"/>
      <c r="AA36" s="256">
        <v>32</v>
      </c>
      <c r="AB36" s="16">
        <f t="shared" si="0"/>
        <v>-3.2003990000000013</v>
      </c>
      <c r="AC36" s="16">
        <f t="shared" si="1"/>
        <v>1.3716009999999998</v>
      </c>
      <c r="AD36" s="16">
        <f t="shared" si="2"/>
        <v>10.242553759201009</v>
      </c>
      <c r="AE36" s="16">
        <f t="shared" si="3"/>
        <v>1.8812893032009996</v>
      </c>
      <c r="AF36" s="16">
        <f t="shared" si="4"/>
        <v>-4.3896704687990011</v>
      </c>
      <c r="AG36" s="17">
        <f t="shared" si="5"/>
        <v>1.3715999999999997</v>
      </c>
      <c r="AH36" s="17">
        <f t="shared" si="6"/>
        <v>-3.2004000000000015</v>
      </c>
      <c r="AI36" s="18">
        <f t="shared" si="7"/>
        <v>319.23853817308947</v>
      </c>
      <c r="AJ36" s="18">
        <f t="shared" si="8"/>
        <v>8.0191462528234894</v>
      </c>
      <c r="AM36" s="2"/>
      <c r="AN36" s="2"/>
      <c r="AO36" s="2"/>
      <c r="AP36" s="2"/>
      <c r="AQ36" s="2"/>
      <c r="AR36" s="2"/>
      <c r="AS36" s="2"/>
      <c r="AT36" s="2"/>
      <c r="AU36" s="2"/>
      <c r="AV36" s="2"/>
      <c r="AW36" s="2"/>
      <c r="AX36" s="2"/>
      <c r="AY36" s="2"/>
      <c r="AZ36" s="2"/>
      <c r="BA36" s="2"/>
      <c r="BB36" s="2"/>
      <c r="BC36" s="2"/>
      <c r="BF36" s="2"/>
      <c r="BG36" s="262" t="str">
        <f t="shared" si="17"/>
        <v>#24:</v>
      </c>
      <c r="BH36" s="217">
        <f t="shared" si="39"/>
        <v>6.0000001920000008</v>
      </c>
      <c r="BI36" s="229">
        <f t="shared" si="40"/>
        <v>9.0000002880000007</v>
      </c>
      <c r="BJ36" s="262" t="str">
        <f t="shared" si="18"/>
        <v/>
      </c>
      <c r="BK36" s="217" t="str">
        <f t="shared" si="25"/>
        <v/>
      </c>
      <c r="BL36" s="229" t="str">
        <f t="shared" si="26"/>
        <v/>
      </c>
      <c r="BM36" s="262" t="str">
        <f t="shared" si="19"/>
        <v/>
      </c>
      <c r="BN36" s="217" t="str">
        <f t="shared" si="27"/>
        <v/>
      </c>
      <c r="BO36" s="229" t="str">
        <f t="shared" si="28"/>
        <v/>
      </c>
      <c r="BP36" s="262" t="str">
        <f t="shared" si="20"/>
        <v/>
      </c>
      <c r="BQ36" s="217" t="str">
        <f t="shared" si="29"/>
        <v/>
      </c>
      <c r="BR36" s="229" t="str">
        <f t="shared" si="30"/>
        <v/>
      </c>
      <c r="BS36" s="262" t="str">
        <f t="shared" si="21"/>
        <v/>
      </c>
      <c r="BT36" s="217" t="str">
        <f t="shared" si="31"/>
        <v/>
      </c>
      <c r="BU36" s="229" t="str">
        <f t="shared" si="32"/>
        <v/>
      </c>
      <c r="BV36" s="262" t="str">
        <f t="shared" si="22"/>
        <v/>
      </c>
      <c r="BW36" s="217" t="str">
        <f t="shared" si="33"/>
        <v/>
      </c>
      <c r="BX36" s="229" t="str">
        <f t="shared" si="34"/>
        <v/>
      </c>
      <c r="BY36" s="262" t="str">
        <f t="shared" si="23"/>
        <v/>
      </c>
      <c r="BZ36" s="217" t="str">
        <f t="shared" si="35"/>
        <v/>
      </c>
      <c r="CA36" s="229" t="str">
        <f t="shared" si="36"/>
        <v/>
      </c>
      <c r="CB36" s="262" t="str">
        <f t="shared" si="24"/>
        <v/>
      </c>
      <c r="CC36" s="217" t="str">
        <f t="shared" si="37"/>
        <v/>
      </c>
      <c r="CD36" s="229" t="str">
        <f t="shared" si="38"/>
        <v/>
      </c>
      <c r="CG36" s="92"/>
      <c r="CH36" s="92"/>
      <c r="CI36" s="92"/>
      <c r="CJ36" s="92"/>
      <c r="CK36" s="92"/>
    </row>
    <row r="37" spans="1:89" x14ac:dyDescent="0.25">
      <c r="A37" s="260" t="str">
        <f t="shared" si="9"/>
        <v>#25:</v>
      </c>
      <c r="B37" s="145">
        <v>1.8288000000000002</v>
      </c>
      <c r="C37" s="145">
        <v>3.6576000000000004</v>
      </c>
      <c r="D37" s="260" t="str">
        <f t="shared" si="10"/>
        <v/>
      </c>
      <c r="E37" s="145"/>
      <c r="F37" s="145"/>
      <c r="G37" s="260" t="str">
        <f t="shared" si="11"/>
        <v/>
      </c>
      <c r="H37" s="145"/>
      <c r="I37" s="145"/>
      <c r="J37" s="261" t="str">
        <f t="shared" si="12"/>
        <v/>
      </c>
      <c r="K37" s="145"/>
      <c r="L37" s="145"/>
      <c r="M37" s="260" t="str">
        <f t="shared" si="13"/>
        <v/>
      </c>
      <c r="N37" s="145"/>
      <c r="O37" s="145"/>
      <c r="P37" s="260" t="str">
        <f t="shared" si="14"/>
        <v/>
      </c>
      <c r="Q37" s="145"/>
      <c r="R37" s="145"/>
      <c r="S37" s="260" t="str">
        <f t="shared" si="15"/>
        <v/>
      </c>
      <c r="T37" s="145"/>
      <c r="U37" s="145"/>
      <c r="V37" s="260" t="str">
        <f t="shared" si="16"/>
        <v/>
      </c>
      <c r="W37" s="145"/>
      <c r="X37" s="145"/>
      <c r="Y37" s="259"/>
      <c r="Z37" s="2"/>
      <c r="AA37" s="256">
        <v>33</v>
      </c>
      <c r="AB37" s="16">
        <f t="shared" si="0"/>
        <v>-2.2859990000000012</v>
      </c>
      <c r="AC37" s="16">
        <f t="shared" si="1"/>
        <v>1.3716009999999998</v>
      </c>
      <c r="AD37" s="16">
        <f t="shared" si="2"/>
        <v>5.2257914280010054</v>
      </c>
      <c r="AE37" s="16">
        <f t="shared" si="3"/>
        <v>1.8812893032009996</v>
      </c>
      <c r="AF37" s="16">
        <f t="shared" si="4"/>
        <v>-3.1354785143990012</v>
      </c>
      <c r="AG37" s="17">
        <f t="shared" si="5"/>
        <v>1.3715999999999997</v>
      </c>
      <c r="AH37" s="17">
        <f t="shared" si="6"/>
        <v>-2.2860000000000014</v>
      </c>
      <c r="AI37" s="18">
        <f t="shared" si="7"/>
        <v>316.99195820013188</v>
      </c>
      <c r="AJ37" s="18">
        <f t="shared" si="8"/>
        <v>8.0191462528234894</v>
      </c>
      <c r="AM37" s="2"/>
      <c r="AN37" s="2"/>
      <c r="AO37" s="2"/>
      <c r="AP37" s="2"/>
      <c r="AQ37" s="2"/>
      <c r="AR37" s="2"/>
      <c r="AS37" s="2"/>
      <c r="AT37" s="2"/>
      <c r="AU37" s="2"/>
      <c r="AV37" s="2"/>
      <c r="AW37" s="2"/>
      <c r="AX37" s="2"/>
      <c r="AY37" s="2"/>
      <c r="AZ37" s="2"/>
      <c r="BA37" s="2"/>
      <c r="BB37" s="2"/>
      <c r="BC37" s="2"/>
      <c r="BF37" s="2"/>
      <c r="BG37" s="262" t="str">
        <f t="shared" si="17"/>
        <v>#25:</v>
      </c>
      <c r="BH37" s="217">
        <f t="shared" si="39"/>
        <v>6.0000001920000008</v>
      </c>
      <c r="BI37" s="229">
        <f t="shared" si="40"/>
        <v>12.000000384000002</v>
      </c>
      <c r="BJ37" s="262" t="str">
        <f t="shared" si="18"/>
        <v/>
      </c>
      <c r="BK37" s="217" t="str">
        <f t="shared" si="25"/>
        <v/>
      </c>
      <c r="BL37" s="229" t="str">
        <f t="shared" si="26"/>
        <v/>
      </c>
      <c r="BM37" s="262" t="str">
        <f t="shared" si="19"/>
        <v/>
      </c>
      <c r="BN37" s="217" t="str">
        <f t="shared" si="27"/>
        <v/>
      </c>
      <c r="BO37" s="229" t="str">
        <f t="shared" si="28"/>
        <v/>
      </c>
      <c r="BP37" s="262" t="str">
        <f t="shared" si="20"/>
        <v/>
      </c>
      <c r="BQ37" s="217" t="str">
        <f t="shared" si="29"/>
        <v/>
      </c>
      <c r="BR37" s="229" t="str">
        <f t="shared" si="30"/>
        <v/>
      </c>
      <c r="BS37" s="262" t="str">
        <f t="shared" si="21"/>
        <v/>
      </c>
      <c r="BT37" s="217" t="str">
        <f t="shared" si="31"/>
        <v/>
      </c>
      <c r="BU37" s="229" t="str">
        <f t="shared" si="32"/>
        <v/>
      </c>
      <c r="BV37" s="262" t="str">
        <f t="shared" si="22"/>
        <v/>
      </c>
      <c r="BW37" s="217" t="str">
        <f t="shared" si="33"/>
        <v/>
      </c>
      <c r="BX37" s="229" t="str">
        <f t="shared" si="34"/>
        <v/>
      </c>
      <c r="BY37" s="262" t="str">
        <f t="shared" si="23"/>
        <v/>
      </c>
      <c r="BZ37" s="217" t="str">
        <f t="shared" si="35"/>
        <v/>
      </c>
      <c r="CA37" s="229" t="str">
        <f t="shared" si="36"/>
        <v/>
      </c>
      <c r="CB37" s="262" t="str">
        <f t="shared" si="24"/>
        <v/>
      </c>
      <c r="CC37" s="217" t="str">
        <f t="shared" si="37"/>
        <v/>
      </c>
      <c r="CD37" s="229" t="str">
        <f t="shared" si="38"/>
        <v/>
      </c>
      <c r="CG37" s="92"/>
      <c r="CH37" s="92"/>
      <c r="CI37" s="92"/>
      <c r="CJ37" s="92"/>
      <c r="CK37" s="92"/>
    </row>
    <row r="38" spans="1:89" x14ac:dyDescent="0.25">
      <c r="A38" s="260" t="str">
        <f t="shared" si="9"/>
        <v>#26:</v>
      </c>
      <c r="B38" s="145">
        <v>1.8288000000000002</v>
      </c>
      <c r="C38" s="145">
        <v>4.5720000000000001</v>
      </c>
      <c r="D38" s="260" t="str">
        <f t="shared" si="10"/>
        <v/>
      </c>
      <c r="E38" s="145"/>
      <c r="F38" s="145"/>
      <c r="G38" s="260" t="str">
        <f t="shared" si="11"/>
        <v/>
      </c>
      <c r="H38" s="145"/>
      <c r="I38" s="145"/>
      <c r="J38" s="261" t="str">
        <f t="shared" si="12"/>
        <v/>
      </c>
      <c r="K38" s="145"/>
      <c r="L38" s="145"/>
      <c r="M38" s="260" t="str">
        <f t="shared" si="13"/>
        <v/>
      </c>
      <c r="N38" s="145"/>
      <c r="O38" s="145"/>
      <c r="P38" s="260" t="str">
        <f t="shared" si="14"/>
        <v/>
      </c>
      <c r="Q38" s="145"/>
      <c r="R38" s="145"/>
      <c r="S38" s="260" t="str">
        <f t="shared" si="15"/>
        <v/>
      </c>
      <c r="T38" s="145"/>
      <c r="U38" s="145"/>
      <c r="V38" s="260" t="str">
        <f t="shared" si="16"/>
        <v/>
      </c>
      <c r="W38" s="145"/>
      <c r="X38" s="145"/>
      <c r="Y38" s="259"/>
      <c r="Z38" s="2"/>
      <c r="AA38" s="256">
        <v>34</v>
      </c>
      <c r="AB38" s="16">
        <f t="shared" si="0"/>
        <v>-1.3715990000000011</v>
      </c>
      <c r="AC38" s="16">
        <f t="shared" si="1"/>
        <v>1.3716009999999998</v>
      </c>
      <c r="AD38" s="16">
        <f t="shared" si="2"/>
        <v>1.8812838168010031</v>
      </c>
      <c r="AE38" s="16">
        <f t="shared" si="3"/>
        <v>1.8812893032009996</v>
      </c>
      <c r="AF38" s="16">
        <f t="shared" si="4"/>
        <v>-1.8812865599990014</v>
      </c>
      <c r="AG38" s="17">
        <f t="shared" si="5"/>
        <v>1.3715999999999997</v>
      </c>
      <c r="AH38" s="17">
        <f t="shared" si="6"/>
        <v>-1.3716000000000013</v>
      </c>
      <c r="AI38" s="18">
        <f t="shared" si="7"/>
        <v>314.74537822717429</v>
      </c>
      <c r="AJ38" s="18">
        <f t="shared" si="8"/>
        <v>8.0191462528234894</v>
      </c>
      <c r="AM38" s="2"/>
      <c r="AN38" s="2"/>
      <c r="AO38" s="2"/>
      <c r="AP38" s="2"/>
      <c r="AQ38" s="2"/>
      <c r="AR38" s="2"/>
      <c r="AS38" s="2"/>
      <c r="AT38" s="2"/>
      <c r="AU38" s="2"/>
      <c r="AV38" s="2"/>
      <c r="AW38" s="2"/>
      <c r="AX38" s="2"/>
      <c r="AY38" s="2"/>
      <c r="AZ38" s="2"/>
      <c r="BA38" s="2"/>
      <c r="BB38" s="2"/>
      <c r="BC38" s="2"/>
      <c r="BF38" s="2"/>
      <c r="BG38" s="262" t="str">
        <f t="shared" si="17"/>
        <v>#26:</v>
      </c>
      <c r="BH38" s="217">
        <f t="shared" si="39"/>
        <v>6.0000001920000008</v>
      </c>
      <c r="BI38" s="229">
        <f t="shared" si="40"/>
        <v>15.000000480000001</v>
      </c>
      <c r="BJ38" s="262" t="str">
        <f t="shared" si="18"/>
        <v/>
      </c>
      <c r="BK38" s="217" t="str">
        <f t="shared" si="25"/>
        <v/>
      </c>
      <c r="BL38" s="229" t="str">
        <f t="shared" si="26"/>
        <v/>
      </c>
      <c r="BM38" s="262" t="str">
        <f t="shared" si="19"/>
        <v/>
      </c>
      <c r="BN38" s="217" t="str">
        <f t="shared" si="27"/>
        <v/>
      </c>
      <c r="BO38" s="229" t="str">
        <f t="shared" si="28"/>
        <v/>
      </c>
      <c r="BP38" s="262" t="str">
        <f t="shared" si="20"/>
        <v/>
      </c>
      <c r="BQ38" s="217" t="str">
        <f t="shared" si="29"/>
        <v/>
      </c>
      <c r="BR38" s="229" t="str">
        <f t="shared" si="30"/>
        <v/>
      </c>
      <c r="BS38" s="262" t="str">
        <f t="shared" si="21"/>
        <v/>
      </c>
      <c r="BT38" s="217" t="str">
        <f t="shared" si="31"/>
        <v/>
      </c>
      <c r="BU38" s="229" t="str">
        <f t="shared" si="32"/>
        <v/>
      </c>
      <c r="BV38" s="262" t="str">
        <f t="shared" si="22"/>
        <v/>
      </c>
      <c r="BW38" s="217" t="str">
        <f t="shared" si="33"/>
        <v/>
      </c>
      <c r="BX38" s="229" t="str">
        <f t="shared" si="34"/>
        <v/>
      </c>
      <c r="BY38" s="262" t="str">
        <f t="shared" si="23"/>
        <v/>
      </c>
      <c r="BZ38" s="217" t="str">
        <f t="shared" si="35"/>
        <v/>
      </c>
      <c r="CA38" s="229" t="str">
        <f t="shared" si="36"/>
        <v/>
      </c>
      <c r="CB38" s="262" t="str">
        <f t="shared" si="24"/>
        <v/>
      </c>
      <c r="CC38" s="217" t="str">
        <f t="shared" si="37"/>
        <v/>
      </c>
      <c r="CD38" s="229" t="str">
        <f t="shared" si="38"/>
        <v/>
      </c>
      <c r="CG38" s="92"/>
      <c r="CH38" s="92"/>
      <c r="CI38" s="92"/>
      <c r="CJ38" s="92"/>
      <c r="CK38" s="92"/>
    </row>
    <row r="39" spans="1:89" x14ac:dyDescent="0.25">
      <c r="A39" s="260" t="str">
        <f t="shared" si="9"/>
        <v>#27:</v>
      </c>
      <c r="B39" s="145">
        <v>1.8288000000000002</v>
      </c>
      <c r="C39" s="145">
        <v>5.4864000000000006</v>
      </c>
      <c r="D39" s="260" t="str">
        <f t="shared" si="10"/>
        <v/>
      </c>
      <c r="E39" s="145"/>
      <c r="F39" s="145"/>
      <c r="G39" s="260" t="str">
        <f t="shared" si="11"/>
        <v/>
      </c>
      <c r="H39" s="145"/>
      <c r="I39" s="145"/>
      <c r="J39" s="261" t="str">
        <f t="shared" si="12"/>
        <v/>
      </c>
      <c r="K39" s="145"/>
      <c r="L39" s="145"/>
      <c r="M39" s="260" t="str">
        <f t="shared" si="13"/>
        <v/>
      </c>
      <c r="N39" s="145"/>
      <c r="O39" s="145"/>
      <c r="P39" s="260" t="str">
        <f t="shared" si="14"/>
        <v/>
      </c>
      <c r="Q39" s="145"/>
      <c r="R39" s="145"/>
      <c r="S39" s="260" t="str">
        <f t="shared" si="15"/>
        <v/>
      </c>
      <c r="T39" s="145"/>
      <c r="U39" s="145"/>
      <c r="V39" s="260" t="str">
        <f t="shared" si="16"/>
        <v/>
      </c>
      <c r="W39" s="145"/>
      <c r="X39" s="145"/>
      <c r="Y39" s="259"/>
      <c r="Z39" s="2"/>
      <c r="AA39" s="256">
        <v>35</v>
      </c>
      <c r="AB39" s="16">
        <f t="shared" si="0"/>
        <v>-0.45719900000000102</v>
      </c>
      <c r="AC39" s="16">
        <f t="shared" si="1"/>
        <v>1.3716009999999998</v>
      </c>
      <c r="AD39" s="16">
        <f t="shared" si="2"/>
        <v>0.20903092560100092</v>
      </c>
      <c r="AE39" s="16">
        <f t="shared" si="3"/>
        <v>1.8812893032009996</v>
      </c>
      <c r="AF39" s="16">
        <f t="shared" si="4"/>
        <v>-0.62709460559900132</v>
      </c>
      <c r="AG39" s="17">
        <f t="shared" si="5"/>
        <v>1.3715999999999997</v>
      </c>
      <c r="AH39" s="17">
        <f t="shared" si="6"/>
        <v>-0.45720000000000116</v>
      </c>
      <c r="AI39" s="18">
        <f t="shared" si="7"/>
        <v>312.49879825421669</v>
      </c>
      <c r="AJ39" s="18">
        <f t="shared" si="8"/>
        <v>8.0191462528234894</v>
      </c>
      <c r="AM39" s="2"/>
      <c r="AN39" s="2"/>
      <c r="AO39" s="2"/>
      <c r="AP39" s="2"/>
      <c r="AQ39" s="2"/>
      <c r="AR39" s="2"/>
      <c r="AS39" s="2"/>
      <c r="AT39" s="2"/>
      <c r="AU39" s="2"/>
      <c r="AV39" s="2"/>
      <c r="AW39" s="2"/>
      <c r="AX39" s="2"/>
      <c r="AY39" s="2"/>
      <c r="AZ39" s="2"/>
      <c r="BA39" s="2"/>
      <c r="BB39" s="2"/>
      <c r="BC39" s="2"/>
      <c r="BF39" s="2"/>
      <c r="BG39" s="262" t="str">
        <f t="shared" si="17"/>
        <v>#27:</v>
      </c>
      <c r="BH39" s="217">
        <f t="shared" si="39"/>
        <v>6.0000001920000008</v>
      </c>
      <c r="BI39" s="229">
        <f t="shared" si="40"/>
        <v>18.000000576000001</v>
      </c>
      <c r="BJ39" s="262" t="str">
        <f t="shared" si="18"/>
        <v/>
      </c>
      <c r="BK39" s="217" t="str">
        <f t="shared" si="25"/>
        <v/>
      </c>
      <c r="BL39" s="229" t="str">
        <f t="shared" si="26"/>
        <v/>
      </c>
      <c r="BM39" s="262" t="str">
        <f t="shared" si="19"/>
        <v/>
      </c>
      <c r="BN39" s="217" t="str">
        <f t="shared" si="27"/>
        <v/>
      </c>
      <c r="BO39" s="229" t="str">
        <f t="shared" si="28"/>
        <v/>
      </c>
      <c r="BP39" s="262" t="str">
        <f t="shared" si="20"/>
        <v/>
      </c>
      <c r="BQ39" s="217" t="str">
        <f t="shared" si="29"/>
        <v/>
      </c>
      <c r="BR39" s="229" t="str">
        <f t="shared" si="30"/>
        <v/>
      </c>
      <c r="BS39" s="262" t="str">
        <f t="shared" si="21"/>
        <v/>
      </c>
      <c r="BT39" s="217" t="str">
        <f t="shared" si="31"/>
        <v/>
      </c>
      <c r="BU39" s="229" t="str">
        <f t="shared" si="32"/>
        <v/>
      </c>
      <c r="BV39" s="262" t="str">
        <f t="shared" si="22"/>
        <v/>
      </c>
      <c r="BW39" s="217" t="str">
        <f t="shared" si="33"/>
        <v/>
      </c>
      <c r="BX39" s="229" t="str">
        <f t="shared" si="34"/>
        <v/>
      </c>
      <c r="BY39" s="262" t="str">
        <f t="shared" si="23"/>
        <v/>
      </c>
      <c r="BZ39" s="217" t="str">
        <f t="shared" si="35"/>
        <v/>
      </c>
      <c r="CA39" s="229" t="str">
        <f t="shared" si="36"/>
        <v/>
      </c>
      <c r="CB39" s="262" t="str">
        <f t="shared" si="24"/>
        <v/>
      </c>
      <c r="CC39" s="217" t="str">
        <f t="shared" si="37"/>
        <v/>
      </c>
      <c r="CD39" s="229" t="str">
        <f t="shared" si="38"/>
        <v/>
      </c>
    </row>
    <row r="40" spans="1:89" x14ac:dyDescent="0.25">
      <c r="A40" s="260" t="str">
        <f t="shared" si="9"/>
        <v>#28:</v>
      </c>
      <c r="B40" s="145">
        <v>1.8288000000000002</v>
      </c>
      <c r="C40" s="145">
        <v>6.4008000000000003</v>
      </c>
      <c r="D40" s="260" t="str">
        <f t="shared" si="10"/>
        <v/>
      </c>
      <c r="E40" s="145"/>
      <c r="F40" s="145"/>
      <c r="G40" s="260" t="str">
        <f t="shared" si="11"/>
        <v/>
      </c>
      <c r="H40" s="145"/>
      <c r="I40" s="145"/>
      <c r="J40" s="261" t="str">
        <f t="shared" si="12"/>
        <v/>
      </c>
      <c r="K40" s="145"/>
      <c r="L40" s="145"/>
      <c r="M40" s="260" t="str">
        <f t="shared" si="13"/>
        <v/>
      </c>
      <c r="N40" s="145"/>
      <c r="O40" s="145"/>
      <c r="P40" s="260" t="str">
        <f t="shared" si="14"/>
        <v/>
      </c>
      <c r="Q40" s="145"/>
      <c r="R40" s="145"/>
      <c r="S40" s="260" t="str">
        <f t="shared" si="15"/>
        <v/>
      </c>
      <c r="T40" s="145"/>
      <c r="U40" s="145"/>
      <c r="V40" s="260" t="str">
        <f t="shared" si="16"/>
        <v/>
      </c>
      <c r="W40" s="145"/>
      <c r="X40" s="145"/>
      <c r="Y40" s="259"/>
      <c r="Z40" s="2"/>
      <c r="AA40" s="256">
        <v>36</v>
      </c>
      <c r="AB40" s="16">
        <f t="shared" si="0"/>
        <v>0.45720099999999864</v>
      </c>
      <c r="AC40" s="16">
        <f t="shared" si="1"/>
        <v>1.3716009999999998</v>
      </c>
      <c r="AD40" s="16">
        <f t="shared" si="2"/>
        <v>0.20903275440099875</v>
      </c>
      <c r="AE40" s="16">
        <f t="shared" si="3"/>
        <v>1.8812893032009996</v>
      </c>
      <c r="AF40" s="16">
        <f t="shared" si="4"/>
        <v>0.6270973488009981</v>
      </c>
      <c r="AG40" s="17">
        <f t="shared" si="5"/>
        <v>1.3715999999999997</v>
      </c>
      <c r="AH40" s="17">
        <f t="shared" si="6"/>
        <v>0.4571999999999985</v>
      </c>
      <c r="AI40" s="18">
        <f t="shared" si="7"/>
        <v>310.25221828125905</v>
      </c>
      <c r="AJ40" s="18">
        <f t="shared" si="8"/>
        <v>8.0191462528234894</v>
      </c>
      <c r="AM40" s="2"/>
      <c r="AN40" s="2"/>
      <c r="AO40" s="2"/>
      <c r="AP40" s="2"/>
      <c r="AQ40" s="2"/>
      <c r="AR40" s="2"/>
      <c r="AS40" s="2"/>
      <c r="AT40" s="2"/>
      <c r="AU40" s="2"/>
      <c r="AV40" s="2"/>
      <c r="AW40" s="2"/>
      <c r="AX40" s="2"/>
      <c r="AY40" s="2"/>
      <c r="AZ40" s="2"/>
      <c r="BA40" s="2"/>
      <c r="BB40" s="2"/>
      <c r="BC40" s="2"/>
      <c r="BF40" s="2"/>
      <c r="BG40" s="262" t="str">
        <f t="shared" si="17"/>
        <v>#28:</v>
      </c>
      <c r="BH40" s="217">
        <f t="shared" si="39"/>
        <v>6.0000001920000008</v>
      </c>
      <c r="BI40" s="229">
        <f t="shared" si="40"/>
        <v>21.000000672000002</v>
      </c>
      <c r="BJ40" s="262" t="str">
        <f t="shared" si="18"/>
        <v/>
      </c>
      <c r="BK40" s="217" t="str">
        <f t="shared" si="25"/>
        <v/>
      </c>
      <c r="BL40" s="229" t="str">
        <f t="shared" si="26"/>
        <v/>
      </c>
      <c r="BM40" s="262" t="str">
        <f t="shared" si="19"/>
        <v/>
      </c>
      <c r="BN40" s="217" t="str">
        <f t="shared" si="27"/>
        <v/>
      </c>
      <c r="BO40" s="229" t="str">
        <f t="shared" si="28"/>
        <v/>
      </c>
      <c r="BP40" s="262" t="str">
        <f t="shared" si="20"/>
        <v/>
      </c>
      <c r="BQ40" s="217" t="str">
        <f t="shared" si="29"/>
        <v/>
      </c>
      <c r="BR40" s="229" t="str">
        <f t="shared" si="30"/>
        <v/>
      </c>
      <c r="BS40" s="262" t="str">
        <f t="shared" si="21"/>
        <v/>
      </c>
      <c r="BT40" s="217" t="str">
        <f t="shared" si="31"/>
        <v/>
      </c>
      <c r="BU40" s="229" t="str">
        <f t="shared" si="32"/>
        <v/>
      </c>
      <c r="BV40" s="262" t="str">
        <f t="shared" si="22"/>
        <v/>
      </c>
      <c r="BW40" s="217" t="str">
        <f t="shared" si="33"/>
        <v/>
      </c>
      <c r="BX40" s="229" t="str">
        <f t="shared" si="34"/>
        <v/>
      </c>
      <c r="BY40" s="262" t="str">
        <f t="shared" si="23"/>
        <v/>
      </c>
      <c r="BZ40" s="217" t="str">
        <f t="shared" si="35"/>
        <v/>
      </c>
      <c r="CA40" s="229" t="str">
        <f t="shared" si="36"/>
        <v/>
      </c>
      <c r="CB40" s="262" t="str">
        <f t="shared" si="24"/>
        <v/>
      </c>
      <c r="CC40" s="217" t="str">
        <f t="shared" si="37"/>
        <v/>
      </c>
      <c r="CD40" s="229" t="str">
        <f t="shared" si="38"/>
        <v/>
      </c>
    </row>
    <row r="41" spans="1:89" x14ac:dyDescent="0.25">
      <c r="A41" s="260" t="str">
        <f t="shared" si="9"/>
        <v>#29:</v>
      </c>
      <c r="B41" s="145">
        <v>1.8288000000000002</v>
      </c>
      <c r="C41" s="145">
        <v>7.3152000000000008</v>
      </c>
      <c r="D41" s="260" t="str">
        <f t="shared" si="10"/>
        <v/>
      </c>
      <c r="E41" s="145"/>
      <c r="F41" s="145"/>
      <c r="G41" s="260" t="str">
        <f t="shared" si="11"/>
        <v/>
      </c>
      <c r="H41" s="145"/>
      <c r="I41" s="145"/>
      <c r="J41" s="261" t="str">
        <f t="shared" si="12"/>
        <v/>
      </c>
      <c r="K41" s="145"/>
      <c r="L41" s="145"/>
      <c r="M41" s="260" t="str">
        <f t="shared" si="13"/>
        <v/>
      </c>
      <c r="N41" s="145"/>
      <c r="O41" s="145"/>
      <c r="P41" s="260" t="str">
        <f t="shared" si="14"/>
        <v/>
      </c>
      <c r="Q41" s="145"/>
      <c r="R41" s="145"/>
      <c r="S41" s="260" t="str">
        <f t="shared" si="15"/>
        <v/>
      </c>
      <c r="T41" s="145"/>
      <c r="U41" s="145"/>
      <c r="V41" s="260" t="str">
        <f t="shared" si="16"/>
        <v/>
      </c>
      <c r="W41" s="145"/>
      <c r="X41" s="145"/>
      <c r="Y41" s="259"/>
      <c r="Z41" s="2"/>
      <c r="AA41" s="256">
        <v>37</v>
      </c>
      <c r="AB41" s="16">
        <f t="shared" si="0"/>
        <v>1.3716009999999992</v>
      </c>
      <c r="AC41" s="16">
        <f t="shared" si="1"/>
        <v>1.3716009999999998</v>
      </c>
      <c r="AD41" s="16">
        <f t="shared" si="2"/>
        <v>1.8812893032009979</v>
      </c>
      <c r="AE41" s="16">
        <f t="shared" si="3"/>
        <v>1.8812893032009996</v>
      </c>
      <c r="AF41" s="16">
        <f t="shared" si="4"/>
        <v>1.8812893032009987</v>
      </c>
      <c r="AG41" s="17">
        <f t="shared" si="5"/>
        <v>1.3715999999999997</v>
      </c>
      <c r="AH41" s="17">
        <f t="shared" si="6"/>
        <v>1.371599999999999</v>
      </c>
      <c r="AI41" s="18">
        <f t="shared" si="7"/>
        <v>308.00563830830146</v>
      </c>
      <c r="AJ41" s="18">
        <f t="shared" si="8"/>
        <v>8.0191462528234894</v>
      </c>
      <c r="AM41" s="2"/>
      <c r="AN41" s="2"/>
      <c r="AO41" s="2"/>
      <c r="AP41" s="2"/>
      <c r="AQ41" s="2"/>
      <c r="AR41" s="2"/>
      <c r="AS41" s="2"/>
      <c r="AT41" s="2"/>
      <c r="AU41" s="2"/>
      <c r="AV41" s="2"/>
      <c r="AW41" s="2"/>
      <c r="AX41" s="2"/>
      <c r="AY41" s="2"/>
      <c r="AZ41" s="2"/>
      <c r="BA41" s="2"/>
      <c r="BB41" s="2"/>
      <c r="BC41" s="2"/>
      <c r="BF41" s="2"/>
      <c r="BG41" s="262" t="str">
        <f t="shared" si="17"/>
        <v>#29:</v>
      </c>
      <c r="BH41" s="217">
        <f t="shared" si="39"/>
        <v>6.0000001920000008</v>
      </c>
      <c r="BI41" s="229">
        <f t="shared" si="40"/>
        <v>24.000000768000003</v>
      </c>
      <c r="BJ41" s="262" t="str">
        <f t="shared" si="18"/>
        <v/>
      </c>
      <c r="BK41" s="217" t="str">
        <f t="shared" si="25"/>
        <v/>
      </c>
      <c r="BL41" s="229" t="str">
        <f t="shared" si="26"/>
        <v/>
      </c>
      <c r="BM41" s="262" t="str">
        <f t="shared" si="19"/>
        <v/>
      </c>
      <c r="BN41" s="217" t="str">
        <f t="shared" si="27"/>
        <v/>
      </c>
      <c r="BO41" s="229" t="str">
        <f t="shared" si="28"/>
        <v/>
      </c>
      <c r="BP41" s="262" t="str">
        <f t="shared" si="20"/>
        <v/>
      </c>
      <c r="BQ41" s="217" t="str">
        <f t="shared" si="29"/>
        <v/>
      </c>
      <c r="BR41" s="229" t="str">
        <f t="shared" si="30"/>
        <v/>
      </c>
      <c r="BS41" s="262" t="str">
        <f t="shared" si="21"/>
        <v/>
      </c>
      <c r="BT41" s="217" t="str">
        <f t="shared" si="31"/>
        <v/>
      </c>
      <c r="BU41" s="229" t="str">
        <f t="shared" si="32"/>
        <v/>
      </c>
      <c r="BV41" s="262" t="str">
        <f t="shared" si="22"/>
        <v/>
      </c>
      <c r="BW41" s="217" t="str">
        <f t="shared" si="33"/>
        <v/>
      </c>
      <c r="BX41" s="229" t="str">
        <f t="shared" si="34"/>
        <v/>
      </c>
      <c r="BY41" s="262" t="str">
        <f t="shared" si="23"/>
        <v/>
      </c>
      <c r="BZ41" s="217" t="str">
        <f t="shared" si="35"/>
        <v/>
      </c>
      <c r="CA41" s="229" t="str">
        <f t="shared" si="36"/>
        <v/>
      </c>
      <c r="CB41" s="262" t="str">
        <f t="shared" si="24"/>
        <v/>
      </c>
      <c r="CC41" s="217" t="str">
        <f t="shared" si="37"/>
        <v/>
      </c>
      <c r="CD41" s="229" t="str">
        <f t="shared" si="38"/>
        <v/>
      </c>
    </row>
    <row r="42" spans="1:89" x14ac:dyDescent="0.25">
      <c r="A42" s="260" t="str">
        <f t="shared" si="9"/>
        <v>#30:</v>
      </c>
      <c r="B42" s="145">
        <v>1.8288000000000002</v>
      </c>
      <c r="C42" s="145">
        <v>8.2295999999999996</v>
      </c>
      <c r="D42" s="260" t="str">
        <f t="shared" si="10"/>
        <v/>
      </c>
      <c r="E42" s="145"/>
      <c r="F42" s="145"/>
      <c r="G42" s="260" t="str">
        <f t="shared" si="11"/>
        <v/>
      </c>
      <c r="H42" s="145"/>
      <c r="I42" s="145"/>
      <c r="J42" s="261" t="str">
        <f t="shared" si="12"/>
        <v/>
      </c>
      <c r="K42" s="145"/>
      <c r="L42" s="145"/>
      <c r="M42" s="260" t="str">
        <f t="shared" si="13"/>
        <v/>
      </c>
      <c r="N42" s="145"/>
      <c r="O42" s="145"/>
      <c r="P42" s="260" t="str">
        <f t="shared" si="14"/>
        <v/>
      </c>
      <c r="Q42" s="145"/>
      <c r="R42" s="145"/>
      <c r="S42" s="260" t="str">
        <f t="shared" si="15"/>
        <v/>
      </c>
      <c r="T42" s="145"/>
      <c r="U42" s="145"/>
      <c r="V42" s="260" t="str">
        <f t="shared" si="16"/>
        <v/>
      </c>
      <c r="W42" s="145"/>
      <c r="X42" s="145"/>
      <c r="Y42" s="259"/>
      <c r="Z42" s="2"/>
      <c r="AA42" s="256">
        <v>38</v>
      </c>
      <c r="AB42" s="16">
        <f t="shared" si="0"/>
        <v>2.2860009999999988</v>
      </c>
      <c r="AC42" s="16">
        <f t="shared" si="1"/>
        <v>1.3716009999999998</v>
      </c>
      <c r="AD42" s="16">
        <f t="shared" si="2"/>
        <v>5.2258005720009946</v>
      </c>
      <c r="AE42" s="16">
        <f t="shared" si="3"/>
        <v>1.8812893032009996</v>
      </c>
      <c r="AF42" s="16">
        <f t="shared" si="4"/>
        <v>3.1354812576009983</v>
      </c>
      <c r="AG42" s="17">
        <f t="shared" si="5"/>
        <v>1.3715999999999997</v>
      </c>
      <c r="AH42" s="17">
        <f t="shared" si="6"/>
        <v>2.2859999999999987</v>
      </c>
      <c r="AI42" s="18">
        <f t="shared" si="7"/>
        <v>305.75905833534387</v>
      </c>
      <c r="AJ42" s="18">
        <f t="shared" si="8"/>
        <v>8.0191462528234894</v>
      </c>
      <c r="AM42" s="2"/>
      <c r="AN42" s="2"/>
      <c r="AO42" s="2"/>
      <c r="AP42" s="2"/>
      <c r="AQ42" s="2"/>
      <c r="AR42" s="2"/>
      <c r="AS42" s="2"/>
      <c r="AT42" s="2"/>
      <c r="AU42" s="2"/>
      <c r="AV42" s="2"/>
      <c r="AW42" s="2"/>
      <c r="AX42" s="2"/>
      <c r="AY42" s="2"/>
      <c r="AZ42" s="2"/>
      <c r="BA42" s="2"/>
      <c r="BB42" s="2"/>
      <c r="BC42" s="2"/>
      <c r="BF42" s="2"/>
      <c r="BG42" s="262" t="str">
        <f t="shared" si="17"/>
        <v>#30:</v>
      </c>
      <c r="BH42" s="217">
        <f t="shared" si="39"/>
        <v>6.0000001920000008</v>
      </c>
      <c r="BI42" s="229">
        <f t="shared" si="40"/>
        <v>27.000000863999997</v>
      </c>
      <c r="BJ42" s="262" t="str">
        <f t="shared" si="18"/>
        <v/>
      </c>
      <c r="BK42" s="217" t="str">
        <f t="shared" si="25"/>
        <v/>
      </c>
      <c r="BL42" s="229" t="str">
        <f t="shared" si="26"/>
        <v/>
      </c>
      <c r="BM42" s="262" t="str">
        <f t="shared" si="19"/>
        <v/>
      </c>
      <c r="BN42" s="217" t="str">
        <f t="shared" si="27"/>
        <v/>
      </c>
      <c r="BO42" s="229" t="str">
        <f t="shared" si="28"/>
        <v/>
      </c>
      <c r="BP42" s="262" t="str">
        <f t="shared" si="20"/>
        <v/>
      </c>
      <c r="BQ42" s="217" t="str">
        <f t="shared" si="29"/>
        <v/>
      </c>
      <c r="BR42" s="229" t="str">
        <f t="shared" si="30"/>
        <v/>
      </c>
      <c r="BS42" s="262" t="str">
        <f t="shared" si="21"/>
        <v/>
      </c>
      <c r="BT42" s="217" t="str">
        <f t="shared" si="31"/>
        <v/>
      </c>
      <c r="BU42" s="229" t="str">
        <f t="shared" si="32"/>
        <v/>
      </c>
      <c r="BV42" s="262" t="str">
        <f t="shared" si="22"/>
        <v/>
      </c>
      <c r="BW42" s="217" t="str">
        <f t="shared" si="33"/>
        <v/>
      </c>
      <c r="BX42" s="229" t="str">
        <f t="shared" si="34"/>
        <v/>
      </c>
      <c r="BY42" s="262" t="str">
        <f t="shared" si="23"/>
        <v/>
      </c>
      <c r="BZ42" s="217" t="str">
        <f t="shared" si="35"/>
        <v/>
      </c>
      <c r="CA42" s="229" t="str">
        <f t="shared" si="36"/>
        <v/>
      </c>
      <c r="CB42" s="262" t="str">
        <f t="shared" si="24"/>
        <v/>
      </c>
      <c r="CC42" s="217" t="str">
        <f t="shared" si="37"/>
        <v/>
      </c>
      <c r="CD42" s="229" t="str">
        <f t="shared" si="38"/>
        <v/>
      </c>
    </row>
    <row r="43" spans="1:89" x14ac:dyDescent="0.25">
      <c r="A43" s="260" t="str">
        <f t="shared" si="9"/>
        <v>#31:</v>
      </c>
      <c r="B43" s="145">
        <v>2.7432000000000003</v>
      </c>
      <c r="C43" s="145">
        <v>0</v>
      </c>
      <c r="D43" s="260" t="str">
        <f t="shared" si="10"/>
        <v/>
      </c>
      <c r="E43" s="145"/>
      <c r="F43" s="145"/>
      <c r="G43" s="260" t="str">
        <f t="shared" si="11"/>
        <v/>
      </c>
      <c r="H43" s="145"/>
      <c r="I43" s="145"/>
      <c r="J43" s="261" t="str">
        <f t="shared" si="12"/>
        <v/>
      </c>
      <c r="K43" s="145"/>
      <c r="L43" s="145"/>
      <c r="M43" s="260" t="str">
        <f t="shared" si="13"/>
        <v/>
      </c>
      <c r="N43" s="145"/>
      <c r="O43" s="145"/>
      <c r="P43" s="260" t="str">
        <f t="shared" si="14"/>
        <v/>
      </c>
      <c r="Q43" s="145"/>
      <c r="R43" s="145"/>
      <c r="S43" s="260" t="str">
        <f t="shared" si="15"/>
        <v/>
      </c>
      <c r="T43" s="145"/>
      <c r="U43" s="145"/>
      <c r="V43" s="260" t="str">
        <f t="shared" si="16"/>
        <v/>
      </c>
      <c r="W43" s="145"/>
      <c r="X43" s="145"/>
      <c r="Y43" s="263"/>
      <c r="Z43" s="10"/>
      <c r="AA43" s="256">
        <v>39</v>
      </c>
      <c r="AB43" s="16">
        <f t="shared" si="0"/>
        <v>3.2004009999999994</v>
      </c>
      <c r="AC43" s="16">
        <f t="shared" si="1"/>
        <v>1.3716009999999998</v>
      </c>
      <c r="AD43" s="16">
        <f t="shared" si="2"/>
        <v>10.242566560800997</v>
      </c>
      <c r="AE43" s="16">
        <f t="shared" si="3"/>
        <v>1.8812893032009996</v>
      </c>
      <c r="AF43" s="16">
        <f t="shared" si="4"/>
        <v>4.3896732120009982</v>
      </c>
      <c r="AG43" s="17">
        <f t="shared" si="5"/>
        <v>1.3715999999999997</v>
      </c>
      <c r="AH43" s="17">
        <f t="shared" si="6"/>
        <v>3.2003999999999992</v>
      </c>
      <c r="AI43" s="18">
        <f t="shared" si="7"/>
        <v>303.51247836238628</v>
      </c>
      <c r="AJ43" s="18">
        <f t="shared" si="8"/>
        <v>8.0191462528234894</v>
      </c>
      <c r="AM43" s="2"/>
      <c r="AN43" s="2"/>
      <c r="AO43" s="2"/>
      <c r="AP43" s="2"/>
      <c r="AQ43" s="2"/>
      <c r="AR43" s="2"/>
      <c r="AS43" s="2"/>
      <c r="AT43" s="2"/>
      <c r="AU43" s="2"/>
      <c r="AV43" s="2"/>
      <c r="AW43" s="2"/>
      <c r="AX43" s="2"/>
      <c r="AY43" s="2"/>
      <c r="AZ43" s="2"/>
      <c r="BA43" s="2"/>
      <c r="BB43" s="2"/>
      <c r="BC43" s="2"/>
      <c r="BF43" s="2"/>
      <c r="BG43" s="262" t="str">
        <f t="shared" si="17"/>
        <v>#31:</v>
      </c>
      <c r="BH43" s="217">
        <f t="shared" si="39"/>
        <v>9.0000002880000007</v>
      </c>
      <c r="BI43" s="229">
        <f t="shared" si="40"/>
        <v>0</v>
      </c>
      <c r="BJ43" s="262" t="str">
        <f t="shared" si="18"/>
        <v/>
      </c>
      <c r="BK43" s="217" t="str">
        <f t="shared" si="25"/>
        <v/>
      </c>
      <c r="BL43" s="229" t="str">
        <f t="shared" si="26"/>
        <v/>
      </c>
      <c r="BM43" s="262" t="str">
        <f t="shared" si="19"/>
        <v/>
      </c>
      <c r="BN43" s="217" t="str">
        <f t="shared" si="27"/>
        <v/>
      </c>
      <c r="BO43" s="229" t="str">
        <f t="shared" si="28"/>
        <v/>
      </c>
      <c r="BP43" s="262" t="str">
        <f t="shared" si="20"/>
        <v/>
      </c>
      <c r="BQ43" s="217" t="str">
        <f t="shared" si="29"/>
        <v/>
      </c>
      <c r="BR43" s="229" t="str">
        <f t="shared" si="30"/>
        <v/>
      </c>
      <c r="BS43" s="262" t="str">
        <f t="shared" si="21"/>
        <v/>
      </c>
      <c r="BT43" s="217" t="str">
        <f t="shared" si="31"/>
        <v/>
      </c>
      <c r="BU43" s="229" t="str">
        <f t="shared" si="32"/>
        <v/>
      </c>
      <c r="BV43" s="262" t="str">
        <f t="shared" si="22"/>
        <v/>
      </c>
      <c r="BW43" s="217" t="str">
        <f t="shared" si="33"/>
        <v/>
      </c>
      <c r="BX43" s="229" t="str">
        <f t="shared" si="34"/>
        <v/>
      </c>
      <c r="BY43" s="262" t="str">
        <f t="shared" si="23"/>
        <v/>
      </c>
      <c r="BZ43" s="217" t="str">
        <f t="shared" si="35"/>
        <v/>
      </c>
      <c r="CA43" s="229" t="str">
        <f t="shared" si="36"/>
        <v/>
      </c>
      <c r="CB43" s="262" t="str">
        <f t="shared" si="24"/>
        <v/>
      </c>
      <c r="CC43" s="217" t="str">
        <f t="shared" si="37"/>
        <v/>
      </c>
      <c r="CD43" s="229" t="str">
        <f t="shared" si="38"/>
        <v/>
      </c>
    </row>
    <row r="44" spans="1:89" x14ac:dyDescent="0.25">
      <c r="A44" s="260" t="str">
        <f t="shared" si="9"/>
        <v>#32:</v>
      </c>
      <c r="B44" s="145">
        <v>2.7432000000000003</v>
      </c>
      <c r="C44" s="145">
        <v>0.9144000000000001</v>
      </c>
      <c r="D44" s="260" t="str">
        <f t="shared" si="10"/>
        <v/>
      </c>
      <c r="E44" s="145"/>
      <c r="F44" s="145"/>
      <c r="G44" s="260" t="str">
        <f t="shared" si="11"/>
        <v/>
      </c>
      <c r="H44" s="145"/>
      <c r="I44" s="145"/>
      <c r="J44" s="261" t="str">
        <f t="shared" si="12"/>
        <v/>
      </c>
      <c r="K44" s="145"/>
      <c r="L44" s="145"/>
      <c r="M44" s="260" t="str">
        <f t="shared" si="13"/>
        <v/>
      </c>
      <c r="N44" s="145"/>
      <c r="O44" s="145"/>
      <c r="P44" s="260" t="str">
        <f t="shared" si="14"/>
        <v/>
      </c>
      <c r="Q44" s="145"/>
      <c r="R44" s="145"/>
      <c r="S44" s="260" t="str">
        <f t="shared" si="15"/>
        <v/>
      </c>
      <c r="T44" s="145"/>
      <c r="U44" s="145"/>
      <c r="V44" s="260" t="str">
        <f t="shared" si="16"/>
        <v/>
      </c>
      <c r="W44" s="145"/>
      <c r="X44" s="145"/>
      <c r="Y44" s="259"/>
      <c r="Z44" s="2"/>
      <c r="AA44" s="256">
        <v>40</v>
      </c>
      <c r="AB44" s="16">
        <f t="shared" si="0"/>
        <v>4.1148009999999973</v>
      </c>
      <c r="AC44" s="16">
        <f t="shared" si="1"/>
        <v>1.3716009999999998</v>
      </c>
      <c r="AD44" s="16">
        <f t="shared" si="2"/>
        <v>16.931587269600978</v>
      </c>
      <c r="AE44" s="16">
        <f t="shared" si="3"/>
        <v>1.8812893032009996</v>
      </c>
      <c r="AF44" s="16">
        <f t="shared" si="4"/>
        <v>5.643865166400996</v>
      </c>
      <c r="AG44" s="17">
        <f t="shared" si="5"/>
        <v>1.3715999999999997</v>
      </c>
      <c r="AH44" s="17">
        <f t="shared" si="6"/>
        <v>4.114799999999998</v>
      </c>
      <c r="AI44" s="18">
        <f t="shared" si="7"/>
        <v>301.26589838942868</v>
      </c>
      <c r="AJ44" s="18">
        <f t="shared" si="8"/>
        <v>8.0191462528234894</v>
      </c>
      <c r="AM44" s="2"/>
      <c r="AN44" s="2"/>
      <c r="AO44" s="2"/>
      <c r="AP44" s="2"/>
      <c r="AQ44" s="2"/>
      <c r="AR44" s="2"/>
      <c r="AS44" s="2"/>
      <c r="AT44" s="2"/>
      <c r="AU44" s="2"/>
      <c r="AV44" s="2"/>
      <c r="AW44" s="2"/>
      <c r="AX44" s="2"/>
      <c r="AY44" s="2"/>
      <c r="AZ44" s="2"/>
      <c r="BA44" s="2"/>
      <c r="BB44" s="2"/>
      <c r="BC44" s="2"/>
      <c r="BF44" s="2"/>
      <c r="BG44" s="262" t="str">
        <f t="shared" si="17"/>
        <v>#32:</v>
      </c>
      <c r="BH44" s="217">
        <f t="shared" si="39"/>
        <v>9.0000002880000007</v>
      </c>
      <c r="BI44" s="229">
        <f t="shared" si="40"/>
        <v>3.0000000960000004</v>
      </c>
      <c r="BJ44" s="262" t="str">
        <f t="shared" si="18"/>
        <v/>
      </c>
      <c r="BK44" s="217" t="str">
        <f t="shared" si="25"/>
        <v/>
      </c>
      <c r="BL44" s="229" t="str">
        <f t="shared" si="26"/>
        <v/>
      </c>
      <c r="BM44" s="262" t="str">
        <f t="shared" si="19"/>
        <v/>
      </c>
      <c r="BN44" s="217" t="str">
        <f t="shared" si="27"/>
        <v/>
      </c>
      <c r="BO44" s="229" t="str">
        <f t="shared" si="28"/>
        <v/>
      </c>
      <c r="BP44" s="262" t="str">
        <f t="shared" si="20"/>
        <v/>
      </c>
      <c r="BQ44" s="217" t="str">
        <f t="shared" si="29"/>
        <v/>
      </c>
      <c r="BR44" s="229" t="str">
        <f t="shared" si="30"/>
        <v/>
      </c>
      <c r="BS44" s="262" t="str">
        <f t="shared" si="21"/>
        <v/>
      </c>
      <c r="BT44" s="217" t="str">
        <f t="shared" si="31"/>
        <v/>
      </c>
      <c r="BU44" s="229" t="str">
        <f t="shared" si="32"/>
        <v/>
      </c>
      <c r="BV44" s="262" t="str">
        <f t="shared" si="22"/>
        <v/>
      </c>
      <c r="BW44" s="217" t="str">
        <f t="shared" si="33"/>
        <v/>
      </c>
      <c r="BX44" s="229" t="str">
        <f t="shared" si="34"/>
        <v/>
      </c>
      <c r="BY44" s="262" t="str">
        <f t="shared" si="23"/>
        <v/>
      </c>
      <c r="BZ44" s="217" t="str">
        <f t="shared" si="35"/>
        <v/>
      </c>
      <c r="CA44" s="229" t="str">
        <f t="shared" si="36"/>
        <v/>
      </c>
      <c r="CB44" s="262" t="str">
        <f t="shared" si="24"/>
        <v/>
      </c>
      <c r="CC44" s="217" t="str">
        <f t="shared" si="37"/>
        <v/>
      </c>
      <c r="CD44" s="229" t="str">
        <f t="shared" si="38"/>
        <v/>
      </c>
    </row>
    <row r="45" spans="1:89" x14ac:dyDescent="0.25">
      <c r="A45" s="260" t="str">
        <f t="shared" ref="A45:A62" si="41">IF($C$9&gt;=$AA37,"#"&amp;$AA37&amp;":","")</f>
        <v>#33:</v>
      </c>
      <c r="B45" s="145">
        <v>2.7432000000000003</v>
      </c>
      <c r="C45" s="145">
        <v>1.8288000000000002</v>
      </c>
      <c r="D45" s="260" t="str">
        <f t="shared" ref="D45:D62" si="42">IF($C$9&gt;=$AA87,"#"&amp;$AA87&amp;":","")</f>
        <v/>
      </c>
      <c r="E45" s="145"/>
      <c r="F45" s="145"/>
      <c r="G45" s="260" t="str">
        <f t="shared" ref="G45:G62" si="43">IF($C$9&gt;=$AA137,"#"&amp;$AA137&amp;":","")</f>
        <v/>
      </c>
      <c r="H45" s="145"/>
      <c r="I45" s="145"/>
      <c r="J45" s="261" t="str">
        <f t="shared" ref="J45:J62" si="44">IF($C$9&gt;=$AA187,"#"&amp;$AA187&amp;":","")</f>
        <v/>
      </c>
      <c r="K45" s="145"/>
      <c r="L45" s="145"/>
      <c r="M45" s="260" t="str">
        <f t="shared" ref="M45:M62" si="45">IF($C$9&gt;=$AA237,"#"&amp;$AA237&amp;":","")</f>
        <v/>
      </c>
      <c r="N45" s="145"/>
      <c r="O45" s="145"/>
      <c r="P45" s="260" t="str">
        <f t="shared" ref="P45:P62" si="46">IF($C$9&gt;=$AA287,"#"&amp;$AA287&amp;":","")</f>
        <v/>
      </c>
      <c r="Q45" s="145"/>
      <c r="R45" s="145"/>
      <c r="S45" s="260" t="str">
        <f t="shared" ref="S45:S62" si="47">IF($C$9&gt;=$AA337,"#"&amp;$AA337&amp;":","")</f>
        <v/>
      </c>
      <c r="T45" s="145"/>
      <c r="U45" s="145"/>
      <c r="V45" s="260" t="str">
        <f t="shared" ref="V45:V62" si="48">IF($C$9&gt;=$AA387,"#"&amp;$AA387&amp;":","")</f>
        <v/>
      </c>
      <c r="W45" s="145"/>
      <c r="X45" s="145"/>
      <c r="Y45" s="259"/>
      <c r="Z45" s="2"/>
      <c r="AA45" s="256">
        <v>41</v>
      </c>
      <c r="AB45" s="16" t="str">
        <f t="shared" si="0"/>
        <v/>
      </c>
      <c r="AC45" s="16" t="str">
        <f t="shared" si="1"/>
        <v/>
      </c>
      <c r="AD45" s="16" t="str">
        <f t="shared" si="2"/>
        <v/>
      </c>
      <c r="AE45" s="16" t="str">
        <f t="shared" si="3"/>
        <v/>
      </c>
      <c r="AF45" s="16" t="str">
        <f t="shared" si="4"/>
        <v/>
      </c>
      <c r="AG45" s="17" t="str">
        <f t="shared" si="5"/>
        <v/>
      </c>
      <c r="AH45" s="17" t="str">
        <f t="shared" si="6"/>
        <v/>
      </c>
      <c r="AI45" s="18" t="str">
        <f t="shared" si="7"/>
        <v/>
      </c>
      <c r="AJ45" s="18" t="str">
        <f t="shared" si="8"/>
        <v/>
      </c>
      <c r="AM45" s="2"/>
      <c r="AN45" s="2"/>
      <c r="AO45" s="2"/>
      <c r="AP45" s="2"/>
      <c r="AQ45" s="2"/>
      <c r="AR45" s="2"/>
      <c r="AS45" s="2"/>
      <c r="AT45" s="2"/>
      <c r="AU45" s="2"/>
      <c r="AV45" s="2"/>
      <c r="AW45" s="2"/>
      <c r="AX45" s="2"/>
      <c r="AY45" s="2"/>
      <c r="AZ45" s="2"/>
      <c r="BA45" s="2"/>
      <c r="BB45" s="2"/>
      <c r="BC45" s="2"/>
      <c r="BF45" s="2"/>
      <c r="BG45" s="262" t="str">
        <f t="shared" ref="BG45:BG62" si="49">IF($C$9&gt;=$AA37,"#"&amp;$AA37&amp;":","")</f>
        <v>#33:</v>
      </c>
      <c r="BH45" s="217">
        <f t="shared" si="39"/>
        <v>9.0000002880000007</v>
      </c>
      <c r="BI45" s="229">
        <f t="shared" si="40"/>
        <v>6.0000001920000008</v>
      </c>
      <c r="BJ45" s="262" t="str">
        <f t="shared" ref="BJ45:BJ62" si="50">IF($C$9&gt;=$AA87,"#"&amp;$AA87&amp;":","")</f>
        <v/>
      </c>
      <c r="BK45" s="217" t="str">
        <f t="shared" si="25"/>
        <v/>
      </c>
      <c r="BL45" s="229" t="str">
        <f t="shared" si="26"/>
        <v/>
      </c>
      <c r="BM45" s="262" t="str">
        <f t="shared" ref="BM45:BM62" si="51">IF($C$9&gt;=$AA137,"#"&amp;$AA137&amp;":","")</f>
        <v/>
      </c>
      <c r="BN45" s="217" t="str">
        <f t="shared" si="27"/>
        <v/>
      </c>
      <c r="BO45" s="229" t="str">
        <f t="shared" si="28"/>
        <v/>
      </c>
      <c r="BP45" s="262" t="str">
        <f t="shared" ref="BP45:BP62" si="52">IF($C$9&gt;=$AA187,"#"&amp;$AA187&amp;":","")</f>
        <v/>
      </c>
      <c r="BQ45" s="217" t="str">
        <f t="shared" si="29"/>
        <v/>
      </c>
      <c r="BR45" s="229" t="str">
        <f t="shared" si="30"/>
        <v/>
      </c>
      <c r="BS45" s="262" t="str">
        <f t="shared" ref="BS45:BS62" si="53">IF($C$9&gt;=$AA237,"#"&amp;$AA237&amp;":","")</f>
        <v/>
      </c>
      <c r="BT45" s="217" t="str">
        <f t="shared" si="31"/>
        <v/>
      </c>
      <c r="BU45" s="229" t="str">
        <f t="shared" si="32"/>
        <v/>
      </c>
      <c r="BV45" s="262" t="str">
        <f t="shared" ref="BV45:BV62" si="54">IF($C$9&gt;=$AA287,"#"&amp;$AA287&amp;":","")</f>
        <v/>
      </c>
      <c r="BW45" s="217" t="str">
        <f t="shared" si="33"/>
        <v/>
      </c>
      <c r="BX45" s="229" t="str">
        <f t="shared" si="34"/>
        <v/>
      </c>
      <c r="BY45" s="262" t="str">
        <f t="shared" ref="BY45:BY62" si="55">IF($C$9&gt;=$AA337,"#"&amp;$AA337&amp;":","")</f>
        <v/>
      </c>
      <c r="BZ45" s="217" t="str">
        <f t="shared" si="35"/>
        <v/>
      </c>
      <c r="CA45" s="229" t="str">
        <f t="shared" si="36"/>
        <v/>
      </c>
      <c r="CB45" s="262" t="str">
        <f t="shared" ref="CB45:CB62" si="56">IF($C$9&gt;=$AA387,"#"&amp;$AA387&amp;":","")</f>
        <v/>
      </c>
      <c r="CC45" s="217" t="str">
        <f t="shared" si="37"/>
        <v/>
      </c>
      <c r="CD45" s="229" t="str">
        <f t="shared" si="38"/>
        <v/>
      </c>
    </row>
    <row r="46" spans="1:89" x14ac:dyDescent="0.25">
      <c r="A46" s="260" t="str">
        <f t="shared" si="41"/>
        <v>#34:</v>
      </c>
      <c r="B46" s="145">
        <v>2.7432000000000003</v>
      </c>
      <c r="C46" s="145">
        <v>2.7432000000000003</v>
      </c>
      <c r="D46" s="260" t="str">
        <f t="shared" si="42"/>
        <v/>
      </c>
      <c r="E46" s="145"/>
      <c r="F46" s="145"/>
      <c r="G46" s="260" t="str">
        <f t="shared" si="43"/>
        <v/>
      </c>
      <c r="H46" s="145"/>
      <c r="I46" s="145"/>
      <c r="J46" s="261" t="str">
        <f t="shared" si="44"/>
        <v/>
      </c>
      <c r="K46" s="145"/>
      <c r="L46" s="145"/>
      <c r="M46" s="260" t="str">
        <f t="shared" si="45"/>
        <v/>
      </c>
      <c r="N46" s="145"/>
      <c r="O46" s="145"/>
      <c r="P46" s="260" t="str">
        <f t="shared" si="46"/>
        <v/>
      </c>
      <c r="Q46" s="145"/>
      <c r="R46" s="145"/>
      <c r="S46" s="260" t="str">
        <f t="shared" si="47"/>
        <v/>
      </c>
      <c r="T46" s="145"/>
      <c r="U46" s="145"/>
      <c r="V46" s="260" t="str">
        <f t="shared" si="48"/>
        <v/>
      </c>
      <c r="W46" s="145"/>
      <c r="X46" s="145"/>
      <c r="Y46" s="259"/>
      <c r="Z46" s="2"/>
      <c r="AA46" s="256">
        <v>42</v>
      </c>
      <c r="AB46" s="16" t="str">
        <f t="shared" si="0"/>
        <v/>
      </c>
      <c r="AC46" s="16" t="str">
        <f t="shared" si="1"/>
        <v/>
      </c>
      <c r="AD46" s="16" t="str">
        <f t="shared" si="2"/>
        <v/>
      </c>
      <c r="AE46" s="16" t="str">
        <f t="shared" si="3"/>
        <v/>
      </c>
      <c r="AF46" s="16" t="str">
        <f t="shared" si="4"/>
        <v/>
      </c>
      <c r="AG46" s="17" t="str">
        <f t="shared" si="5"/>
        <v/>
      </c>
      <c r="AH46" s="17" t="str">
        <f t="shared" si="6"/>
        <v/>
      </c>
      <c r="AI46" s="18" t="str">
        <f t="shared" si="7"/>
        <v/>
      </c>
      <c r="AJ46" s="18" t="str">
        <f t="shared" si="8"/>
        <v/>
      </c>
      <c r="AM46" s="2"/>
      <c r="AN46" s="2"/>
      <c r="AO46" s="2"/>
      <c r="AP46" s="2"/>
      <c r="AQ46" s="2"/>
      <c r="AR46" s="2"/>
      <c r="AS46" s="2"/>
      <c r="AT46" s="2"/>
      <c r="AU46" s="2"/>
      <c r="AV46" s="2"/>
      <c r="AW46" s="2"/>
      <c r="AX46" s="2"/>
      <c r="AY46" s="2"/>
      <c r="AZ46" s="2"/>
      <c r="BA46" s="2"/>
      <c r="BB46" s="2"/>
      <c r="BC46" s="2"/>
      <c r="BF46" s="2"/>
      <c r="BG46" s="262" t="str">
        <f t="shared" si="49"/>
        <v>#34:</v>
      </c>
      <c r="BH46" s="217">
        <f t="shared" si="39"/>
        <v>9.0000002880000007</v>
      </c>
      <c r="BI46" s="229">
        <f t="shared" si="40"/>
        <v>9.0000002880000007</v>
      </c>
      <c r="BJ46" s="262" t="str">
        <f t="shared" si="50"/>
        <v/>
      </c>
      <c r="BK46" s="217" t="str">
        <f t="shared" si="25"/>
        <v/>
      </c>
      <c r="BL46" s="229" t="str">
        <f t="shared" si="26"/>
        <v/>
      </c>
      <c r="BM46" s="262" t="str">
        <f t="shared" si="51"/>
        <v/>
      </c>
      <c r="BN46" s="217" t="str">
        <f t="shared" si="27"/>
        <v/>
      </c>
      <c r="BO46" s="229" t="str">
        <f t="shared" si="28"/>
        <v/>
      </c>
      <c r="BP46" s="262" t="str">
        <f t="shared" si="52"/>
        <v/>
      </c>
      <c r="BQ46" s="217" t="str">
        <f t="shared" si="29"/>
        <v/>
      </c>
      <c r="BR46" s="229" t="str">
        <f t="shared" si="30"/>
        <v/>
      </c>
      <c r="BS46" s="262" t="str">
        <f t="shared" si="53"/>
        <v/>
      </c>
      <c r="BT46" s="217" t="str">
        <f t="shared" si="31"/>
        <v/>
      </c>
      <c r="BU46" s="229" t="str">
        <f t="shared" si="32"/>
        <v/>
      </c>
      <c r="BV46" s="262" t="str">
        <f t="shared" si="54"/>
        <v/>
      </c>
      <c r="BW46" s="217" t="str">
        <f t="shared" si="33"/>
        <v/>
      </c>
      <c r="BX46" s="229" t="str">
        <f t="shared" si="34"/>
        <v/>
      </c>
      <c r="BY46" s="262" t="str">
        <f t="shared" si="55"/>
        <v/>
      </c>
      <c r="BZ46" s="217" t="str">
        <f t="shared" si="35"/>
        <v/>
      </c>
      <c r="CA46" s="229" t="str">
        <f t="shared" si="36"/>
        <v/>
      </c>
      <c r="CB46" s="262" t="str">
        <f t="shared" si="56"/>
        <v/>
      </c>
      <c r="CC46" s="217" t="str">
        <f t="shared" si="37"/>
        <v/>
      </c>
      <c r="CD46" s="229" t="str">
        <f t="shared" si="38"/>
        <v/>
      </c>
    </row>
    <row r="47" spans="1:89" x14ac:dyDescent="0.25">
      <c r="A47" s="260" t="str">
        <f t="shared" si="41"/>
        <v>#35:</v>
      </c>
      <c r="B47" s="145">
        <v>2.7432000000000003</v>
      </c>
      <c r="C47" s="145">
        <v>3.6576000000000004</v>
      </c>
      <c r="D47" s="260" t="str">
        <f t="shared" si="42"/>
        <v/>
      </c>
      <c r="E47" s="145"/>
      <c r="F47" s="145"/>
      <c r="G47" s="260" t="str">
        <f t="shared" si="43"/>
        <v/>
      </c>
      <c r="H47" s="145"/>
      <c r="I47" s="145"/>
      <c r="J47" s="261" t="str">
        <f t="shared" si="44"/>
        <v/>
      </c>
      <c r="K47" s="145"/>
      <c r="L47" s="145"/>
      <c r="M47" s="260" t="str">
        <f t="shared" si="45"/>
        <v/>
      </c>
      <c r="N47" s="145"/>
      <c r="O47" s="145"/>
      <c r="P47" s="260" t="str">
        <f t="shared" si="46"/>
        <v/>
      </c>
      <c r="Q47" s="145"/>
      <c r="R47" s="145"/>
      <c r="S47" s="260" t="str">
        <f t="shared" si="47"/>
        <v/>
      </c>
      <c r="T47" s="145"/>
      <c r="U47" s="145"/>
      <c r="V47" s="260" t="str">
        <f t="shared" si="48"/>
        <v/>
      </c>
      <c r="W47" s="145"/>
      <c r="X47" s="145"/>
      <c r="Y47" s="259"/>
      <c r="Z47" s="2"/>
      <c r="AA47" s="256">
        <v>43</v>
      </c>
      <c r="AB47" s="16" t="str">
        <f t="shared" si="0"/>
        <v/>
      </c>
      <c r="AC47" s="16" t="str">
        <f t="shared" si="1"/>
        <v/>
      </c>
      <c r="AD47" s="16" t="str">
        <f t="shared" si="2"/>
        <v/>
      </c>
      <c r="AE47" s="16" t="str">
        <f t="shared" si="3"/>
        <v/>
      </c>
      <c r="AF47" s="16" t="str">
        <f t="shared" si="4"/>
        <v/>
      </c>
      <c r="AG47" s="17" t="str">
        <f t="shared" si="5"/>
        <v/>
      </c>
      <c r="AH47" s="17" t="str">
        <f t="shared" si="6"/>
        <v/>
      </c>
      <c r="AI47" s="18" t="str">
        <f t="shared" si="7"/>
        <v/>
      </c>
      <c r="AJ47" s="18" t="str">
        <f t="shared" si="8"/>
        <v/>
      </c>
      <c r="AM47" s="2"/>
      <c r="AN47" s="2"/>
      <c r="AO47" s="2"/>
      <c r="AP47" s="2"/>
      <c r="AQ47" s="2"/>
      <c r="AR47" s="2"/>
      <c r="AS47" s="2"/>
      <c r="AT47" s="2"/>
      <c r="AU47" s="2"/>
      <c r="AV47" s="2"/>
      <c r="AW47" s="2"/>
      <c r="AX47" s="2"/>
      <c r="AY47" s="2"/>
      <c r="AZ47" s="2"/>
      <c r="BA47" s="2"/>
      <c r="BB47" s="2"/>
      <c r="BC47" s="2"/>
      <c r="BF47" s="2"/>
      <c r="BG47" s="262" t="str">
        <f t="shared" si="49"/>
        <v>#35:</v>
      </c>
      <c r="BH47" s="217">
        <f t="shared" si="39"/>
        <v>9.0000002880000007</v>
      </c>
      <c r="BI47" s="229">
        <f t="shared" si="40"/>
        <v>12.000000384000002</v>
      </c>
      <c r="BJ47" s="262" t="str">
        <f t="shared" si="50"/>
        <v/>
      </c>
      <c r="BK47" s="217" t="str">
        <f t="shared" si="25"/>
        <v/>
      </c>
      <c r="BL47" s="229" t="str">
        <f t="shared" si="26"/>
        <v/>
      </c>
      <c r="BM47" s="262" t="str">
        <f t="shared" si="51"/>
        <v/>
      </c>
      <c r="BN47" s="217" t="str">
        <f t="shared" si="27"/>
        <v/>
      </c>
      <c r="BO47" s="229" t="str">
        <f t="shared" si="28"/>
        <v/>
      </c>
      <c r="BP47" s="262" t="str">
        <f t="shared" si="52"/>
        <v/>
      </c>
      <c r="BQ47" s="217" t="str">
        <f t="shared" si="29"/>
        <v/>
      </c>
      <c r="BR47" s="229" t="str">
        <f t="shared" si="30"/>
        <v/>
      </c>
      <c r="BS47" s="262" t="str">
        <f t="shared" si="53"/>
        <v/>
      </c>
      <c r="BT47" s="217" t="str">
        <f t="shared" si="31"/>
        <v/>
      </c>
      <c r="BU47" s="229" t="str">
        <f t="shared" si="32"/>
        <v/>
      </c>
      <c r="BV47" s="262" t="str">
        <f t="shared" si="54"/>
        <v/>
      </c>
      <c r="BW47" s="217" t="str">
        <f t="shared" si="33"/>
        <v/>
      </c>
      <c r="BX47" s="229" t="str">
        <f t="shared" si="34"/>
        <v/>
      </c>
      <c r="BY47" s="262" t="str">
        <f t="shared" si="55"/>
        <v/>
      </c>
      <c r="BZ47" s="217" t="str">
        <f t="shared" si="35"/>
        <v/>
      </c>
      <c r="CA47" s="229" t="str">
        <f t="shared" si="36"/>
        <v/>
      </c>
      <c r="CB47" s="262" t="str">
        <f t="shared" si="56"/>
        <v/>
      </c>
      <c r="CC47" s="217" t="str">
        <f t="shared" si="37"/>
        <v/>
      </c>
      <c r="CD47" s="229" t="str">
        <f t="shared" si="38"/>
        <v/>
      </c>
    </row>
    <row r="48" spans="1:89" x14ac:dyDescent="0.25">
      <c r="A48" s="260" t="str">
        <f t="shared" si="41"/>
        <v>#36:</v>
      </c>
      <c r="B48" s="145">
        <v>2.7432000000000003</v>
      </c>
      <c r="C48" s="145">
        <v>4.5720000000000001</v>
      </c>
      <c r="D48" s="260" t="str">
        <f t="shared" si="42"/>
        <v/>
      </c>
      <c r="E48" s="145"/>
      <c r="F48" s="145"/>
      <c r="G48" s="260" t="str">
        <f t="shared" si="43"/>
        <v/>
      </c>
      <c r="H48" s="145"/>
      <c r="I48" s="145"/>
      <c r="J48" s="261" t="str">
        <f t="shared" si="44"/>
        <v/>
      </c>
      <c r="K48" s="145"/>
      <c r="L48" s="145"/>
      <c r="M48" s="260" t="str">
        <f t="shared" si="45"/>
        <v/>
      </c>
      <c r="N48" s="145"/>
      <c r="O48" s="145"/>
      <c r="P48" s="260" t="str">
        <f t="shared" si="46"/>
        <v/>
      </c>
      <c r="Q48" s="145"/>
      <c r="R48" s="145"/>
      <c r="S48" s="260" t="str">
        <f t="shared" si="47"/>
        <v/>
      </c>
      <c r="T48" s="145"/>
      <c r="U48" s="145"/>
      <c r="V48" s="260" t="str">
        <f t="shared" si="48"/>
        <v/>
      </c>
      <c r="W48" s="145"/>
      <c r="X48" s="145"/>
      <c r="Y48" s="259"/>
      <c r="Z48" s="2"/>
      <c r="AA48" s="256">
        <v>44</v>
      </c>
      <c r="AB48" s="16" t="str">
        <f t="shared" si="0"/>
        <v/>
      </c>
      <c r="AC48" s="16" t="str">
        <f t="shared" si="1"/>
        <v/>
      </c>
      <c r="AD48" s="16" t="str">
        <f t="shared" si="2"/>
        <v/>
      </c>
      <c r="AE48" s="16" t="str">
        <f t="shared" si="3"/>
        <v/>
      </c>
      <c r="AF48" s="16" t="str">
        <f t="shared" si="4"/>
        <v/>
      </c>
      <c r="AG48" s="17" t="str">
        <f t="shared" si="5"/>
        <v/>
      </c>
      <c r="AH48" s="17" t="str">
        <f t="shared" si="6"/>
        <v/>
      </c>
      <c r="AI48" s="18" t="str">
        <f t="shared" si="7"/>
        <v/>
      </c>
      <c r="AJ48" s="18" t="str">
        <f t="shared" si="8"/>
        <v/>
      </c>
      <c r="AM48" s="2"/>
      <c r="AN48" s="2"/>
      <c r="AO48" s="2"/>
      <c r="AP48" s="2"/>
      <c r="AQ48" s="2"/>
      <c r="AR48" s="2"/>
      <c r="AS48" s="2"/>
      <c r="AT48" s="2"/>
      <c r="AU48" s="2"/>
      <c r="AV48" s="2"/>
      <c r="AW48" s="2"/>
      <c r="AX48" s="2"/>
      <c r="AY48" s="2"/>
      <c r="AZ48" s="2"/>
      <c r="BA48" s="2"/>
      <c r="BB48" s="2"/>
      <c r="BC48" s="2"/>
      <c r="BF48" s="2"/>
      <c r="BG48" s="262" t="str">
        <f t="shared" si="49"/>
        <v>#36:</v>
      </c>
      <c r="BH48" s="217">
        <f t="shared" si="39"/>
        <v>9.0000002880000007</v>
      </c>
      <c r="BI48" s="229">
        <f t="shared" si="40"/>
        <v>15.000000480000001</v>
      </c>
      <c r="BJ48" s="262" t="str">
        <f t="shared" si="50"/>
        <v/>
      </c>
      <c r="BK48" s="217" t="str">
        <f t="shared" si="25"/>
        <v/>
      </c>
      <c r="BL48" s="229" t="str">
        <f t="shared" si="26"/>
        <v/>
      </c>
      <c r="BM48" s="262" t="str">
        <f t="shared" si="51"/>
        <v/>
      </c>
      <c r="BN48" s="217" t="str">
        <f t="shared" si="27"/>
        <v/>
      </c>
      <c r="BO48" s="229" t="str">
        <f t="shared" si="28"/>
        <v/>
      </c>
      <c r="BP48" s="262" t="str">
        <f t="shared" si="52"/>
        <v/>
      </c>
      <c r="BQ48" s="217" t="str">
        <f t="shared" si="29"/>
        <v/>
      </c>
      <c r="BR48" s="229" t="str">
        <f t="shared" si="30"/>
        <v/>
      </c>
      <c r="BS48" s="262" t="str">
        <f t="shared" si="53"/>
        <v/>
      </c>
      <c r="BT48" s="217" t="str">
        <f t="shared" si="31"/>
        <v/>
      </c>
      <c r="BU48" s="229" t="str">
        <f t="shared" si="32"/>
        <v/>
      </c>
      <c r="BV48" s="262" t="str">
        <f t="shared" si="54"/>
        <v/>
      </c>
      <c r="BW48" s="217" t="str">
        <f t="shared" si="33"/>
        <v/>
      </c>
      <c r="BX48" s="229" t="str">
        <f t="shared" si="34"/>
        <v/>
      </c>
      <c r="BY48" s="262" t="str">
        <f t="shared" si="55"/>
        <v/>
      </c>
      <c r="BZ48" s="217" t="str">
        <f t="shared" si="35"/>
        <v/>
      </c>
      <c r="CA48" s="229" t="str">
        <f t="shared" si="36"/>
        <v/>
      </c>
      <c r="CB48" s="262" t="str">
        <f t="shared" si="56"/>
        <v/>
      </c>
      <c r="CC48" s="217" t="str">
        <f t="shared" si="37"/>
        <v/>
      </c>
      <c r="CD48" s="229" t="str">
        <f t="shared" si="38"/>
        <v/>
      </c>
    </row>
    <row r="49" spans="1:82" x14ac:dyDescent="0.25">
      <c r="A49" s="260" t="str">
        <f t="shared" si="41"/>
        <v>#37:</v>
      </c>
      <c r="B49" s="145">
        <v>2.7432000000000003</v>
      </c>
      <c r="C49" s="145">
        <v>5.4864000000000006</v>
      </c>
      <c r="D49" s="260" t="str">
        <f t="shared" si="42"/>
        <v/>
      </c>
      <c r="E49" s="145"/>
      <c r="F49" s="145"/>
      <c r="G49" s="260" t="str">
        <f t="shared" si="43"/>
        <v/>
      </c>
      <c r="H49" s="145"/>
      <c r="I49" s="145"/>
      <c r="J49" s="261" t="str">
        <f t="shared" si="44"/>
        <v/>
      </c>
      <c r="K49" s="145"/>
      <c r="L49" s="145"/>
      <c r="M49" s="260" t="str">
        <f t="shared" si="45"/>
        <v/>
      </c>
      <c r="N49" s="145"/>
      <c r="O49" s="145"/>
      <c r="P49" s="260" t="str">
        <f t="shared" si="46"/>
        <v/>
      </c>
      <c r="Q49" s="145"/>
      <c r="R49" s="145"/>
      <c r="S49" s="260" t="str">
        <f t="shared" si="47"/>
        <v/>
      </c>
      <c r="T49" s="145"/>
      <c r="U49" s="145"/>
      <c r="V49" s="260" t="str">
        <f t="shared" si="48"/>
        <v/>
      </c>
      <c r="W49" s="145"/>
      <c r="X49" s="145"/>
      <c r="Y49" s="259"/>
      <c r="Z49" s="2"/>
      <c r="AA49" s="256">
        <v>45</v>
      </c>
      <c r="AB49" s="16" t="str">
        <f t="shared" si="0"/>
        <v/>
      </c>
      <c r="AC49" s="16" t="str">
        <f t="shared" si="1"/>
        <v/>
      </c>
      <c r="AD49" s="16" t="str">
        <f t="shared" si="2"/>
        <v/>
      </c>
      <c r="AE49" s="16" t="str">
        <f t="shared" si="3"/>
        <v/>
      </c>
      <c r="AF49" s="16" t="str">
        <f t="shared" si="4"/>
        <v/>
      </c>
      <c r="AG49" s="17" t="str">
        <f t="shared" si="5"/>
        <v/>
      </c>
      <c r="AH49" s="17" t="str">
        <f t="shared" si="6"/>
        <v/>
      </c>
      <c r="AI49" s="18" t="str">
        <f t="shared" si="7"/>
        <v/>
      </c>
      <c r="AJ49" s="18" t="str">
        <f t="shared" si="8"/>
        <v/>
      </c>
      <c r="AM49" s="2"/>
      <c r="AN49" s="2"/>
      <c r="AO49" s="2"/>
      <c r="AP49" s="2"/>
      <c r="AQ49" s="2"/>
      <c r="AR49" s="2"/>
      <c r="AS49" s="2"/>
      <c r="AT49" s="2"/>
      <c r="AU49" s="2"/>
      <c r="AV49" s="2"/>
      <c r="AW49" s="2"/>
      <c r="AX49" s="2"/>
      <c r="AY49" s="2"/>
      <c r="AZ49" s="2"/>
      <c r="BA49" s="2"/>
      <c r="BB49" s="2"/>
      <c r="BC49" s="2"/>
      <c r="BF49" s="2"/>
      <c r="BG49" s="262" t="str">
        <f t="shared" si="49"/>
        <v>#37:</v>
      </c>
      <c r="BH49" s="217">
        <f t="shared" si="39"/>
        <v>9.0000002880000007</v>
      </c>
      <c r="BI49" s="229">
        <f t="shared" si="40"/>
        <v>18.000000576000001</v>
      </c>
      <c r="BJ49" s="262" t="str">
        <f t="shared" si="50"/>
        <v/>
      </c>
      <c r="BK49" s="217" t="str">
        <f t="shared" si="25"/>
        <v/>
      </c>
      <c r="BL49" s="229" t="str">
        <f t="shared" si="26"/>
        <v/>
      </c>
      <c r="BM49" s="262" t="str">
        <f t="shared" si="51"/>
        <v/>
      </c>
      <c r="BN49" s="217" t="str">
        <f t="shared" si="27"/>
        <v/>
      </c>
      <c r="BO49" s="229" t="str">
        <f t="shared" si="28"/>
        <v/>
      </c>
      <c r="BP49" s="262" t="str">
        <f t="shared" si="52"/>
        <v/>
      </c>
      <c r="BQ49" s="217" t="str">
        <f t="shared" si="29"/>
        <v/>
      </c>
      <c r="BR49" s="229" t="str">
        <f t="shared" si="30"/>
        <v/>
      </c>
      <c r="BS49" s="262" t="str">
        <f t="shared" si="53"/>
        <v/>
      </c>
      <c r="BT49" s="217" t="str">
        <f t="shared" si="31"/>
        <v/>
      </c>
      <c r="BU49" s="229" t="str">
        <f t="shared" si="32"/>
        <v/>
      </c>
      <c r="BV49" s="262" t="str">
        <f t="shared" si="54"/>
        <v/>
      </c>
      <c r="BW49" s="217" t="str">
        <f t="shared" si="33"/>
        <v/>
      </c>
      <c r="BX49" s="229" t="str">
        <f t="shared" si="34"/>
        <v/>
      </c>
      <c r="BY49" s="262" t="str">
        <f t="shared" si="55"/>
        <v/>
      </c>
      <c r="BZ49" s="217" t="str">
        <f t="shared" si="35"/>
        <v/>
      </c>
      <c r="CA49" s="229" t="str">
        <f t="shared" si="36"/>
        <v/>
      </c>
      <c r="CB49" s="262" t="str">
        <f t="shared" si="56"/>
        <v/>
      </c>
      <c r="CC49" s="217" t="str">
        <f t="shared" si="37"/>
        <v/>
      </c>
      <c r="CD49" s="229" t="str">
        <f t="shared" si="38"/>
        <v/>
      </c>
    </row>
    <row r="50" spans="1:82" x14ac:dyDescent="0.25">
      <c r="A50" s="260" t="str">
        <f t="shared" si="41"/>
        <v>#38:</v>
      </c>
      <c r="B50" s="145">
        <v>2.7432000000000003</v>
      </c>
      <c r="C50" s="145">
        <v>6.4008000000000003</v>
      </c>
      <c r="D50" s="260" t="str">
        <f t="shared" si="42"/>
        <v/>
      </c>
      <c r="E50" s="145"/>
      <c r="F50" s="145"/>
      <c r="G50" s="260" t="str">
        <f t="shared" si="43"/>
        <v/>
      </c>
      <c r="H50" s="145"/>
      <c r="I50" s="145"/>
      <c r="J50" s="261" t="str">
        <f t="shared" si="44"/>
        <v/>
      </c>
      <c r="K50" s="145"/>
      <c r="L50" s="145"/>
      <c r="M50" s="260" t="str">
        <f t="shared" si="45"/>
        <v/>
      </c>
      <c r="N50" s="145"/>
      <c r="O50" s="145"/>
      <c r="P50" s="260" t="str">
        <f t="shared" si="46"/>
        <v/>
      </c>
      <c r="Q50" s="145"/>
      <c r="R50" s="145"/>
      <c r="S50" s="260" t="str">
        <f t="shared" si="47"/>
        <v/>
      </c>
      <c r="T50" s="145"/>
      <c r="U50" s="145"/>
      <c r="V50" s="260" t="str">
        <f t="shared" si="48"/>
        <v/>
      </c>
      <c r="W50" s="145"/>
      <c r="X50" s="145"/>
      <c r="Y50" s="259"/>
      <c r="Z50" s="2"/>
      <c r="AA50" s="256">
        <v>46</v>
      </c>
      <c r="AB50" s="16" t="str">
        <f t="shared" si="0"/>
        <v/>
      </c>
      <c r="AC50" s="16" t="str">
        <f t="shared" si="1"/>
        <v/>
      </c>
      <c r="AD50" s="16" t="str">
        <f t="shared" si="2"/>
        <v/>
      </c>
      <c r="AE50" s="16" t="str">
        <f t="shared" si="3"/>
        <v/>
      </c>
      <c r="AF50" s="16" t="str">
        <f t="shared" si="4"/>
        <v/>
      </c>
      <c r="AG50" s="17" t="str">
        <f t="shared" si="5"/>
        <v/>
      </c>
      <c r="AH50" s="17" t="str">
        <f t="shared" si="6"/>
        <v/>
      </c>
      <c r="AI50" s="18" t="str">
        <f t="shared" si="7"/>
        <v/>
      </c>
      <c r="AJ50" s="18" t="str">
        <f t="shared" si="8"/>
        <v/>
      </c>
      <c r="AM50" s="2"/>
      <c r="AN50" s="2"/>
      <c r="AO50" s="2"/>
      <c r="AP50" s="2"/>
      <c r="AQ50" s="2"/>
      <c r="AR50" s="2"/>
      <c r="AS50" s="2"/>
      <c r="AT50" s="2"/>
      <c r="AU50" s="2"/>
      <c r="AV50" s="2"/>
      <c r="AW50" s="2"/>
      <c r="AX50" s="2"/>
      <c r="AY50" s="2"/>
      <c r="AZ50" s="2"/>
      <c r="BA50" s="2"/>
      <c r="BB50" s="2"/>
      <c r="BC50" s="2"/>
      <c r="BF50" s="2"/>
      <c r="BG50" s="262" t="str">
        <f t="shared" si="49"/>
        <v>#38:</v>
      </c>
      <c r="BH50" s="217">
        <f t="shared" si="39"/>
        <v>9.0000002880000007</v>
      </c>
      <c r="BI50" s="229">
        <f t="shared" si="40"/>
        <v>21.000000672000002</v>
      </c>
      <c r="BJ50" s="262" t="str">
        <f t="shared" si="50"/>
        <v/>
      </c>
      <c r="BK50" s="217" t="str">
        <f t="shared" si="25"/>
        <v/>
      </c>
      <c r="BL50" s="229" t="str">
        <f t="shared" si="26"/>
        <v/>
      </c>
      <c r="BM50" s="262" t="str">
        <f t="shared" si="51"/>
        <v/>
      </c>
      <c r="BN50" s="217" t="str">
        <f t="shared" si="27"/>
        <v/>
      </c>
      <c r="BO50" s="229" t="str">
        <f t="shared" si="28"/>
        <v/>
      </c>
      <c r="BP50" s="262" t="str">
        <f t="shared" si="52"/>
        <v/>
      </c>
      <c r="BQ50" s="217" t="str">
        <f t="shared" si="29"/>
        <v/>
      </c>
      <c r="BR50" s="229" t="str">
        <f t="shared" si="30"/>
        <v/>
      </c>
      <c r="BS50" s="262" t="str">
        <f t="shared" si="53"/>
        <v/>
      </c>
      <c r="BT50" s="217" t="str">
        <f t="shared" si="31"/>
        <v/>
      </c>
      <c r="BU50" s="229" t="str">
        <f t="shared" si="32"/>
        <v/>
      </c>
      <c r="BV50" s="262" t="str">
        <f t="shared" si="54"/>
        <v/>
      </c>
      <c r="BW50" s="217" t="str">
        <f t="shared" si="33"/>
        <v/>
      </c>
      <c r="BX50" s="229" t="str">
        <f t="shared" si="34"/>
        <v/>
      </c>
      <c r="BY50" s="262" t="str">
        <f t="shared" si="55"/>
        <v/>
      </c>
      <c r="BZ50" s="217" t="str">
        <f t="shared" si="35"/>
        <v/>
      </c>
      <c r="CA50" s="229" t="str">
        <f t="shared" si="36"/>
        <v/>
      </c>
      <c r="CB50" s="262" t="str">
        <f t="shared" si="56"/>
        <v/>
      </c>
      <c r="CC50" s="217" t="str">
        <f t="shared" si="37"/>
        <v/>
      </c>
      <c r="CD50" s="229" t="str">
        <f t="shared" si="38"/>
        <v/>
      </c>
    </row>
    <row r="51" spans="1:82" x14ac:dyDescent="0.25">
      <c r="A51" s="260" t="str">
        <f t="shared" si="41"/>
        <v>#39:</v>
      </c>
      <c r="B51" s="145">
        <v>2.7432000000000003</v>
      </c>
      <c r="C51" s="145">
        <v>7.3152000000000008</v>
      </c>
      <c r="D51" s="260" t="str">
        <f t="shared" si="42"/>
        <v/>
      </c>
      <c r="E51" s="145"/>
      <c r="F51" s="145"/>
      <c r="G51" s="260" t="str">
        <f t="shared" si="43"/>
        <v/>
      </c>
      <c r="H51" s="145"/>
      <c r="I51" s="145"/>
      <c r="J51" s="261" t="str">
        <f t="shared" si="44"/>
        <v/>
      </c>
      <c r="K51" s="145"/>
      <c r="L51" s="145"/>
      <c r="M51" s="260" t="str">
        <f t="shared" si="45"/>
        <v/>
      </c>
      <c r="N51" s="145"/>
      <c r="O51" s="145"/>
      <c r="P51" s="260" t="str">
        <f t="shared" si="46"/>
        <v/>
      </c>
      <c r="Q51" s="145"/>
      <c r="R51" s="145"/>
      <c r="S51" s="260" t="str">
        <f t="shared" si="47"/>
        <v/>
      </c>
      <c r="T51" s="145"/>
      <c r="U51" s="145"/>
      <c r="V51" s="260" t="str">
        <f t="shared" si="48"/>
        <v/>
      </c>
      <c r="W51" s="145"/>
      <c r="X51" s="145"/>
      <c r="Y51" s="259"/>
      <c r="Z51" s="2"/>
      <c r="AA51" s="256">
        <v>47</v>
      </c>
      <c r="AB51" s="16" t="str">
        <f t="shared" si="0"/>
        <v/>
      </c>
      <c r="AC51" s="16" t="str">
        <f t="shared" si="1"/>
        <v/>
      </c>
      <c r="AD51" s="16" t="str">
        <f t="shared" si="2"/>
        <v/>
      </c>
      <c r="AE51" s="16" t="str">
        <f t="shared" si="3"/>
        <v/>
      </c>
      <c r="AF51" s="16" t="str">
        <f t="shared" si="4"/>
        <v/>
      </c>
      <c r="AG51" s="17" t="str">
        <f t="shared" si="5"/>
        <v/>
      </c>
      <c r="AH51" s="17" t="str">
        <f t="shared" si="6"/>
        <v/>
      </c>
      <c r="AI51" s="18" t="str">
        <f t="shared" si="7"/>
        <v/>
      </c>
      <c r="AJ51" s="18" t="str">
        <f t="shared" si="8"/>
        <v/>
      </c>
      <c r="AM51" s="2"/>
      <c r="AN51" s="2"/>
      <c r="AO51" s="2"/>
      <c r="AP51" s="2"/>
      <c r="AQ51" s="2"/>
      <c r="AR51" s="2"/>
      <c r="AS51" s="2"/>
      <c r="AT51" s="2"/>
      <c r="AU51" s="2"/>
      <c r="AV51" s="2"/>
      <c r="AW51" s="2"/>
      <c r="AX51" s="2"/>
      <c r="AY51" s="2"/>
      <c r="AZ51" s="2"/>
      <c r="BA51" s="2"/>
      <c r="BB51" s="2"/>
      <c r="BC51" s="2"/>
      <c r="BF51" s="2"/>
      <c r="BG51" s="262" t="str">
        <f t="shared" si="49"/>
        <v>#39:</v>
      </c>
      <c r="BH51" s="217">
        <f t="shared" si="39"/>
        <v>9.0000002880000007</v>
      </c>
      <c r="BI51" s="229">
        <f t="shared" si="40"/>
        <v>24.000000768000003</v>
      </c>
      <c r="BJ51" s="262" t="str">
        <f t="shared" si="50"/>
        <v/>
      </c>
      <c r="BK51" s="217" t="str">
        <f t="shared" si="25"/>
        <v/>
      </c>
      <c r="BL51" s="229" t="str">
        <f t="shared" si="26"/>
        <v/>
      </c>
      <c r="BM51" s="262" t="str">
        <f t="shared" si="51"/>
        <v/>
      </c>
      <c r="BN51" s="217" t="str">
        <f t="shared" si="27"/>
        <v/>
      </c>
      <c r="BO51" s="229" t="str">
        <f t="shared" si="28"/>
        <v/>
      </c>
      <c r="BP51" s="262" t="str">
        <f t="shared" si="52"/>
        <v/>
      </c>
      <c r="BQ51" s="217" t="str">
        <f t="shared" si="29"/>
        <v/>
      </c>
      <c r="BR51" s="229" t="str">
        <f t="shared" si="30"/>
        <v/>
      </c>
      <c r="BS51" s="262" t="str">
        <f t="shared" si="53"/>
        <v/>
      </c>
      <c r="BT51" s="217" t="str">
        <f t="shared" si="31"/>
        <v/>
      </c>
      <c r="BU51" s="229" t="str">
        <f t="shared" si="32"/>
        <v/>
      </c>
      <c r="BV51" s="262" t="str">
        <f t="shared" si="54"/>
        <v/>
      </c>
      <c r="BW51" s="217" t="str">
        <f t="shared" si="33"/>
        <v/>
      </c>
      <c r="BX51" s="229" t="str">
        <f t="shared" si="34"/>
        <v/>
      </c>
      <c r="BY51" s="262" t="str">
        <f t="shared" si="55"/>
        <v/>
      </c>
      <c r="BZ51" s="217" t="str">
        <f t="shared" si="35"/>
        <v/>
      </c>
      <c r="CA51" s="229" t="str">
        <f t="shared" si="36"/>
        <v/>
      </c>
      <c r="CB51" s="262" t="str">
        <f t="shared" si="56"/>
        <v/>
      </c>
      <c r="CC51" s="217" t="str">
        <f t="shared" si="37"/>
        <v/>
      </c>
      <c r="CD51" s="229" t="str">
        <f t="shared" si="38"/>
        <v/>
      </c>
    </row>
    <row r="52" spans="1:82" x14ac:dyDescent="0.25">
      <c r="A52" s="260" t="str">
        <f t="shared" si="41"/>
        <v>#40:</v>
      </c>
      <c r="B52" s="145">
        <v>2.7432000000000003</v>
      </c>
      <c r="C52" s="145">
        <v>8.2295999999999996</v>
      </c>
      <c r="D52" s="260" t="str">
        <f t="shared" si="42"/>
        <v/>
      </c>
      <c r="E52" s="145"/>
      <c r="F52" s="145"/>
      <c r="G52" s="260" t="str">
        <f t="shared" si="43"/>
        <v/>
      </c>
      <c r="H52" s="145"/>
      <c r="I52" s="145"/>
      <c r="J52" s="261" t="str">
        <f t="shared" si="44"/>
        <v/>
      </c>
      <c r="K52" s="145"/>
      <c r="L52" s="145"/>
      <c r="M52" s="260" t="str">
        <f t="shared" si="45"/>
        <v/>
      </c>
      <c r="N52" s="145"/>
      <c r="O52" s="145"/>
      <c r="P52" s="260" t="str">
        <f t="shared" si="46"/>
        <v/>
      </c>
      <c r="Q52" s="145"/>
      <c r="R52" s="145"/>
      <c r="S52" s="260" t="str">
        <f t="shared" si="47"/>
        <v/>
      </c>
      <c r="T52" s="145"/>
      <c r="U52" s="145"/>
      <c r="V52" s="260" t="str">
        <f t="shared" si="48"/>
        <v/>
      </c>
      <c r="W52" s="145"/>
      <c r="X52" s="145"/>
      <c r="Y52" s="259"/>
      <c r="Z52" s="2"/>
      <c r="AA52" s="256">
        <v>48</v>
      </c>
      <c r="AB52" s="16" t="str">
        <f t="shared" si="0"/>
        <v/>
      </c>
      <c r="AC52" s="16" t="str">
        <f t="shared" si="1"/>
        <v/>
      </c>
      <c r="AD52" s="16" t="str">
        <f t="shared" si="2"/>
        <v/>
      </c>
      <c r="AE52" s="16" t="str">
        <f t="shared" si="3"/>
        <v/>
      </c>
      <c r="AF52" s="16" t="str">
        <f t="shared" si="4"/>
        <v/>
      </c>
      <c r="AG52" s="17" t="str">
        <f t="shared" si="5"/>
        <v/>
      </c>
      <c r="AH52" s="17" t="str">
        <f t="shared" si="6"/>
        <v/>
      </c>
      <c r="AI52" s="18" t="str">
        <f t="shared" si="7"/>
        <v/>
      </c>
      <c r="AJ52" s="18" t="str">
        <f t="shared" si="8"/>
        <v/>
      </c>
      <c r="AM52" s="2"/>
      <c r="AN52" s="2"/>
      <c r="AO52" s="2"/>
      <c r="AP52" s="2"/>
      <c r="AQ52" s="2"/>
      <c r="AR52" s="2"/>
      <c r="AS52" s="2"/>
      <c r="AT52" s="2"/>
      <c r="AU52" s="2"/>
      <c r="AV52" s="2"/>
      <c r="AW52" s="2"/>
      <c r="AX52" s="2"/>
      <c r="AY52" s="2"/>
      <c r="AZ52" s="2"/>
      <c r="BA52" s="2"/>
      <c r="BB52" s="2"/>
      <c r="BC52" s="2"/>
      <c r="BF52" s="2"/>
      <c r="BG52" s="262" t="str">
        <f t="shared" si="49"/>
        <v>#40:</v>
      </c>
      <c r="BH52" s="217">
        <f t="shared" si="39"/>
        <v>9.0000002880000007</v>
      </c>
      <c r="BI52" s="229">
        <f t="shared" si="40"/>
        <v>27.000000863999997</v>
      </c>
      <c r="BJ52" s="262" t="str">
        <f t="shared" si="50"/>
        <v/>
      </c>
      <c r="BK52" s="217" t="str">
        <f t="shared" si="25"/>
        <v/>
      </c>
      <c r="BL52" s="229" t="str">
        <f t="shared" si="26"/>
        <v/>
      </c>
      <c r="BM52" s="262" t="str">
        <f t="shared" si="51"/>
        <v/>
      </c>
      <c r="BN52" s="217" t="str">
        <f t="shared" si="27"/>
        <v/>
      </c>
      <c r="BO52" s="229" t="str">
        <f t="shared" si="28"/>
        <v/>
      </c>
      <c r="BP52" s="262" t="str">
        <f t="shared" si="52"/>
        <v/>
      </c>
      <c r="BQ52" s="217" t="str">
        <f t="shared" si="29"/>
        <v/>
      </c>
      <c r="BR52" s="229" t="str">
        <f t="shared" si="30"/>
        <v/>
      </c>
      <c r="BS52" s="262" t="str">
        <f t="shared" si="53"/>
        <v/>
      </c>
      <c r="BT52" s="217" t="str">
        <f t="shared" si="31"/>
        <v/>
      </c>
      <c r="BU52" s="229" t="str">
        <f t="shared" si="32"/>
        <v/>
      </c>
      <c r="BV52" s="262" t="str">
        <f t="shared" si="54"/>
        <v/>
      </c>
      <c r="BW52" s="217" t="str">
        <f t="shared" si="33"/>
        <v/>
      </c>
      <c r="BX52" s="229" t="str">
        <f t="shared" si="34"/>
        <v/>
      </c>
      <c r="BY52" s="262" t="str">
        <f t="shared" si="55"/>
        <v/>
      </c>
      <c r="BZ52" s="217" t="str">
        <f t="shared" si="35"/>
        <v/>
      </c>
      <c r="CA52" s="229" t="str">
        <f t="shared" si="36"/>
        <v/>
      </c>
      <c r="CB52" s="262" t="str">
        <f t="shared" si="56"/>
        <v/>
      </c>
      <c r="CC52" s="217" t="str">
        <f t="shared" si="37"/>
        <v/>
      </c>
      <c r="CD52" s="229" t="str">
        <f t="shared" si="38"/>
        <v/>
      </c>
    </row>
    <row r="53" spans="1:82" x14ac:dyDescent="0.25">
      <c r="A53" s="260" t="str">
        <f t="shared" si="41"/>
        <v/>
      </c>
      <c r="B53" s="145"/>
      <c r="C53" s="145"/>
      <c r="D53" s="260" t="str">
        <f t="shared" si="42"/>
        <v/>
      </c>
      <c r="E53" s="145"/>
      <c r="F53" s="145"/>
      <c r="G53" s="260" t="str">
        <f t="shared" si="43"/>
        <v/>
      </c>
      <c r="H53" s="145"/>
      <c r="I53" s="145"/>
      <c r="J53" s="261" t="str">
        <f t="shared" si="44"/>
        <v/>
      </c>
      <c r="K53" s="145"/>
      <c r="L53" s="145"/>
      <c r="M53" s="260" t="str">
        <f t="shared" si="45"/>
        <v/>
      </c>
      <c r="N53" s="145"/>
      <c r="O53" s="145"/>
      <c r="P53" s="260" t="str">
        <f t="shared" si="46"/>
        <v/>
      </c>
      <c r="Q53" s="145"/>
      <c r="R53" s="145"/>
      <c r="S53" s="260" t="str">
        <f t="shared" si="47"/>
        <v/>
      </c>
      <c r="T53" s="145"/>
      <c r="U53" s="145"/>
      <c r="V53" s="260" t="str">
        <f t="shared" si="48"/>
        <v/>
      </c>
      <c r="W53" s="145"/>
      <c r="X53" s="145"/>
      <c r="Y53" s="259"/>
      <c r="Z53" s="2"/>
      <c r="AA53" s="256">
        <v>49</v>
      </c>
      <c r="AB53" s="16" t="str">
        <f t="shared" si="0"/>
        <v/>
      </c>
      <c r="AC53" s="16" t="str">
        <f t="shared" si="1"/>
        <v/>
      </c>
      <c r="AD53" s="16" t="str">
        <f t="shared" si="2"/>
        <v/>
      </c>
      <c r="AE53" s="16" t="str">
        <f t="shared" si="3"/>
        <v/>
      </c>
      <c r="AF53" s="16" t="str">
        <f t="shared" si="4"/>
        <v/>
      </c>
      <c r="AG53" s="17" t="str">
        <f t="shared" si="5"/>
        <v/>
      </c>
      <c r="AH53" s="17" t="str">
        <f t="shared" si="6"/>
        <v/>
      </c>
      <c r="AI53" s="18" t="str">
        <f t="shared" si="7"/>
        <v/>
      </c>
      <c r="AJ53" s="18" t="str">
        <f t="shared" si="8"/>
        <v/>
      </c>
      <c r="AM53" s="2"/>
      <c r="AN53" s="2"/>
      <c r="AO53" s="2"/>
      <c r="AP53" s="2"/>
      <c r="AQ53" s="2"/>
      <c r="AR53" s="2"/>
      <c r="AS53" s="2"/>
      <c r="AT53" s="2"/>
      <c r="AU53" s="2"/>
      <c r="AV53" s="2"/>
      <c r="AW53" s="2"/>
      <c r="AX53" s="2"/>
      <c r="AY53" s="2"/>
      <c r="AZ53" s="2"/>
      <c r="BA53" s="2"/>
      <c r="BB53" s="2"/>
      <c r="BC53" s="2"/>
      <c r="BF53" s="2"/>
      <c r="BG53" s="262" t="str">
        <f t="shared" si="49"/>
        <v/>
      </c>
      <c r="BH53" s="217" t="str">
        <f t="shared" si="39"/>
        <v/>
      </c>
      <c r="BI53" s="229" t="str">
        <f t="shared" si="40"/>
        <v/>
      </c>
      <c r="BJ53" s="262" t="str">
        <f t="shared" si="50"/>
        <v/>
      </c>
      <c r="BK53" s="217" t="str">
        <f t="shared" si="25"/>
        <v/>
      </c>
      <c r="BL53" s="229" t="str">
        <f t="shared" si="26"/>
        <v/>
      </c>
      <c r="BM53" s="262" t="str">
        <f t="shared" si="51"/>
        <v/>
      </c>
      <c r="BN53" s="217" t="str">
        <f t="shared" si="27"/>
        <v/>
      </c>
      <c r="BO53" s="229" t="str">
        <f t="shared" si="28"/>
        <v/>
      </c>
      <c r="BP53" s="262" t="str">
        <f t="shared" si="52"/>
        <v/>
      </c>
      <c r="BQ53" s="217" t="str">
        <f t="shared" si="29"/>
        <v/>
      </c>
      <c r="BR53" s="229" t="str">
        <f t="shared" si="30"/>
        <v/>
      </c>
      <c r="BS53" s="262" t="str">
        <f t="shared" si="53"/>
        <v/>
      </c>
      <c r="BT53" s="217" t="str">
        <f t="shared" si="31"/>
        <v/>
      </c>
      <c r="BU53" s="229" t="str">
        <f t="shared" si="32"/>
        <v/>
      </c>
      <c r="BV53" s="262" t="str">
        <f t="shared" si="54"/>
        <v/>
      </c>
      <c r="BW53" s="217" t="str">
        <f t="shared" si="33"/>
        <v/>
      </c>
      <c r="BX53" s="229" t="str">
        <f t="shared" si="34"/>
        <v/>
      </c>
      <c r="BY53" s="262" t="str">
        <f t="shared" si="55"/>
        <v/>
      </c>
      <c r="BZ53" s="217" t="str">
        <f t="shared" si="35"/>
        <v/>
      </c>
      <c r="CA53" s="229" t="str">
        <f t="shared" si="36"/>
        <v/>
      </c>
      <c r="CB53" s="262" t="str">
        <f t="shared" si="56"/>
        <v/>
      </c>
      <c r="CC53" s="217" t="str">
        <f t="shared" si="37"/>
        <v/>
      </c>
      <c r="CD53" s="229" t="str">
        <f t="shared" si="38"/>
        <v/>
      </c>
    </row>
    <row r="54" spans="1:82" x14ac:dyDescent="0.25">
      <c r="A54" s="260" t="str">
        <f t="shared" si="41"/>
        <v/>
      </c>
      <c r="B54" s="145"/>
      <c r="C54" s="145"/>
      <c r="D54" s="260" t="str">
        <f t="shared" si="42"/>
        <v/>
      </c>
      <c r="E54" s="145"/>
      <c r="F54" s="145"/>
      <c r="G54" s="260" t="str">
        <f t="shared" si="43"/>
        <v/>
      </c>
      <c r="H54" s="145"/>
      <c r="I54" s="145"/>
      <c r="J54" s="261" t="str">
        <f t="shared" si="44"/>
        <v/>
      </c>
      <c r="K54" s="145"/>
      <c r="L54" s="145"/>
      <c r="M54" s="260" t="str">
        <f t="shared" si="45"/>
        <v/>
      </c>
      <c r="N54" s="145"/>
      <c r="O54" s="145"/>
      <c r="P54" s="260" t="str">
        <f t="shared" si="46"/>
        <v/>
      </c>
      <c r="Q54" s="145"/>
      <c r="R54" s="145"/>
      <c r="S54" s="260" t="str">
        <f t="shared" si="47"/>
        <v/>
      </c>
      <c r="T54" s="145"/>
      <c r="U54" s="145"/>
      <c r="V54" s="260" t="str">
        <f t="shared" si="48"/>
        <v/>
      </c>
      <c r="W54" s="145"/>
      <c r="X54" s="145"/>
      <c r="Y54" s="259"/>
      <c r="Z54" s="2"/>
      <c r="AA54" s="256">
        <v>50</v>
      </c>
      <c r="AB54" s="16" t="str">
        <f t="shared" si="0"/>
        <v/>
      </c>
      <c r="AC54" s="16" t="str">
        <f t="shared" si="1"/>
        <v/>
      </c>
      <c r="AD54" s="16" t="str">
        <f t="shared" si="2"/>
        <v/>
      </c>
      <c r="AE54" s="16" t="str">
        <f t="shared" si="3"/>
        <v/>
      </c>
      <c r="AF54" s="16" t="str">
        <f t="shared" si="4"/>
        <v/>
      </c>
      <c r="AG54" s="17" t="str">
        <f t="shared" si="5"/>
        <v/>
      </c>
      <c r="AH54" s="17" t="str">
        <f t="shared" si="6"/>
        <v/>
      </c>
      <c r="AI54" s="18" t="str">
        <f t="shared" si="7"/>
        <v/>
      </c>
      <c r="AJ54" s="18" t="str">
        <f t="shared" si="8"/>
        <v/>
      </c>
      <c r="AM54" s="2"/>
      <c r="AN54" s="2"/>
      <c r="AO54" s="2"/>
      <c r="AP54" s="2"/>
      <c r="AQ54" s="2"/>
      <c r="AR54" s="2"/>
      <c r="AS54" s="2"/>
      <c r="AT54" s="2"/>
      <c r="AU54" s="2"/>
      <c r="AV54" s="2"/>
      <c r="AW54" s="2"/>
      <c r="AX54" s="2"/>
      <c r="AY54" s="2"/>
      <c r="AZ54" s="2"/>
      <c r="BA54" s="2"/>
      <c r="BB54" s="2"/>
      <c r="BC54" s="2"/>
      <c r="BF54" s="2"/>
      <c r="BG54" s="262" t="str">
        <f t="shared" si="49"/>
        <v/>
      </c>
      <c r="BH54" s="217" t="str">
        <f t="shared" si="39"/>
        <v/>
      </c>
      <c r="BI54" s="229" t="str">
        <f t="shared" si="40"/>
        <v/>
      </c>
      <c r="BJ54" s="262" t="str">
        <f t="shared" si="50"/>
        <v/>
      </c>
      <c r="BK54" s="217" t="str">
        <f t="shared" si="25"/>
        <v/>
      </c>
      <c r="BL54" s="229" t="str">
        <f t="shared" si="26"/>
        <v/>
      </c>
      <c r="BM54" s="262" t="str">
        <f t="shared" si="51"/>
        <v/>
      </c>
      <c r="BN54" s="217" t="str">
        <f t="shared" si="27"/>
        <v/>
      </c>
      <c r="BO54" s="229" t="str">
        <f t="shared" si="28"/>
        <v/>
      </c>
      <c r="BP54" s="262" t="str">
        <f t="shared" si="52"/>
        <v/>
      </c>
      <c r="BQ54" s="217" t="str">
        <f t="shared" si="29"/>
        <v/>
      </c>
      <c r="BR54" s="229" t="str">
        <f t="shared" si="30"/>
        <v/>
      </c>
      <c r="BS54" s="262" t="str">
        <f t="shared" si="53"/>
        <v/>
      </c>
      <c r="BT54" s="217" t="str">
        <f t="shared" si="31"/>
        <v/>
      </c>
      <c r="BU54" s="229" t="str">
        <f t="shared" si="32"/>
        <v/>
      </c>
      <c r="BV54" s="262" t="str">
        <f t="shared" si="54"/>
        <v/>
      </c>
      <c r="BW54" s="217" t="str">
        <f t="shared" si="33"/>
        <v/>
      </c>
      <c r="BX54" s="229" t="str">
        <f t="shared" si="34"/>
        <v/>
      </c>
      <c r="BY54" s="262" t="str">
        <f t="shared" si="55"/>
        <v/>
      </c>
      <c r="BZ54" s="217" t="str">
        <f t="shared" si="35"/>
        <v/>
      </c>
      <c r="CA54" s="229" t="str">
        <f t="shared" si="36"/>
        <v/>
      </c>
      <c r="CB54" s="262" t="str">
        <f t="shared" si="56"/>
        <v/>
      </c>
      <c r="CC54" s="217" t="str">
        <f t="shared" si="37"/>
        <v/>
      </c>
      <c r="CD54" s="229" t="str">
        <f t="shared" si="38"/>
        <v/>
      </c>
    </row>
    <row r="55" spans="1:82" x14ac:dyDescent="0.25">
      <c r="A55" s="260" t="str">
        <f t="shared" si="41"/>
        <v/>
      </c>
      <c r="B55" s="145"/>
      <c r="C55" s="145"/>
      <c r="D55" s="260" t="str">
        <f t="shared" si="42"/>
        <v/>
      </c>
      <c r="E55" s="145"/>
      <c r="F55" s="145"/>
      <c r="G55" s="260" t="str">
        <f t="shared" si="43"/>
        <v/>
      </c>
      <c r="H55" s="145"/>
      <c r="I55" s="145"/>
      <c r="J55" s="261" t="str">
        <f t="shared" si="44"/>
        <v/>
      </c>
      <c r="K55" s="145"/>
      <c r="L55" s="145"/>
      <c r="M55" s="260" t="str">
        <f t="shared" si="45"/>
        <v/>
      </c>
      <c r="N55" s="145"/>
      <c r="O55" s="145"/>
      <c r="P55" s="260" t="str">
        <f t="shared" si="46"/>
        <v/>
      </c>
      <c r="Q55" s="145"/>
      <c r="R55" s="145"/>
      <c r="S55" s="260" t="str">
        <f t="shared" si="47"/>
        <v/>
      </c>
      <c r="T55" s="145"/>
      <c r="U55" s="145"/>
      <c r="V55" s="260" t="str">
        <f t="shared" si="48"/>
        <v/>
      </c>
      <c r="W55" s="145"/>
      <c r="X55" s="145"/>
      <c r="Y55" s="259"/>
      <c r="Z55" s="2"/>
      <c r="AA55" s="256">
        <v>51</v>
      </c>
      <c r="AB55" s="16" t="str">
        <f t="shared" ref="AB55:AB104" si="57">IF($C$9&gt;=$AA55,$F13+0.000001-$AB$410,"")</f>
        <v/>
      </c>
      <c r="AC55" s="16" t="str">
        <f t="shared" ref="AC55:AC104" si="58">IF($C$9&gt;=$AA55,$E13+0.000001-$AB$409,"")</f>
        <v/>
      </c>
      <c r="AD55" s="16" t="str">
        <f t="shared" si="2"/>
        <v/>
      </c>
      <c r="AE55" s="16" t="str">
        <f t="shared" si="3"/>
        <v/>
      </c>
      <c r="AF55" s="16" t="str">
        <f t="shared" si="4"/>
        <v/>
      </c>
      <c r="AG55" s="17" t="str">
        <f t="shared" ref="AG55:AG104" si="59">IF($C$9&gt;=$AA55,$E13-$AB$409,"")</f>
        <v/>
      </c>
      <c r="AH55" s="17" t="str">
        <f t="shared" ref="AH55:AH104" si="60">IF($C$9&gt;=$AA55,$F13-$AB$410,"")</f>
        <v/>
      </c>
      <c r="AI55" s="18" t="str">
        <f t="shared" si="7"/>
        <v/>
      </c>
      <c r="AJ55" s="18" t="str">
        <f t="shared" si="8"/>
        <v/>
      </c>
      <c r="AM55" s="2"/>
      <c r="AN55" s="2"/>
      <c r="AO55" s="2"/>
      <c r="AP55" s="2"/>
      <c r="AQ55" s="2"/>
      <c r="AR55" s="2"/>
      <c r="AS55" s="2"/>
      <c r="AT55" s="2"/>
      <c r="AU55" s="2"/>
      <c r="AV55" s="2"/>
      <c r="AW55" s="2"/>
      <c r="AX55" s="2"/>
      <c r="AY55" s="2"/>
      <c r="AZ55" s="2"/>
      <c r="BA55" s="2"/>
      <c r="BB55" s="2"/>
      <c r="BC55" s="2"/>
      <c r="BF55" s="2"/>
      <c r="BG55" s="262" t="str">
        <f t="shared" si="49"/>
        <v/>
      </c>
      <c r="BH55" s="217" t="str">
        <f t="shared" si="39"/>
        <v/>
      </c>
      <c r="BI55" s="229" t="str">
        <f t="shared" si="40"/>
        <v/>
      </c>
      <c r="BJ55" s="262" t="str">
        <f t="shared" si="50"/>
        <v/>
      </c>
      <c r="BK55" s="217" t="str">
        <f t="shared" si="25"/>
        <v/>
      </c>
      <c r="BL55" s="229" t="str">
        <f t="shared" si="26"/>
        <v/>
      </c>
      <c r="BM55" s="262" t="str">
        <f t="shared" si="51"/>
        <v/>
      </c>
      <c r="BN55" s="217" t="str">
        <f t="shared" si="27"/>
        <v/>
      </c>
      <c r="BO55" s="229" t="str">
        <f t="shared" si="28"/>
        <v/>
      </c>
      <c r="BP55" s="262" t="str">
        <f t="shared" si="52"/>
        <v/>
      </c>
      <c r="BQ55" s="217" t="str">
        <f t="shared" si="29"/>
        <v/>
      </c>
      <c r="BR55" s="229" t="str">
        <f t="shared" si="30"/>
        <v/>
      </c>
      <c r="BS55" s="262" t="str">
        <f t="shared" si="53"/>
        <v/>
      </c>
      <c r="BT55" s="217" t="str">
        <f t="shared" si="31"/>
        <v/>
      </c>
      <c r="BU55" s="229" t="str">
        <f t="shared" si="32"/>
        <v/>
      </c>
      <c r="BV55" s="262" t="str">
        <f t="shared" si="54"/>
        <v/>
      </c>
      <c r="BW55" s="217" t="str">
        <f t="shared" si="33"/>
        <v/>
      </c>
      <c r="BX55" s="229" t="str">
        <f t="shared" si="34"/>
        <v/>
      </c>
      <c r="BY55" s="262" t="str">
        <f t="shared" si="55"/>
        <v/>
      </c>
      <c r="BZ55" s="217" t="str">
        <f t="shared" si="35"/>
        <v/>
      </c>
      <c r="CA55" s="229" t="str">
        <f t="shared" si="36"/>
        <v/>
      </c>
      <c r="CB55" s="262" t="str">
        <f t="shared" si="56"/>
        <v/>
      </c>
      <c r="CC55" s="217" t="str">
        <f t="shared" si="37"/>
        <v/>
      </c>
      <c r="CD55" s="229" t="str">
        <f t="shared" si="38"/>
        <v/>
      </c>
    </row>
    <row r="56" spans="1:82" x14ac:dyDescent="0.25">
      <c r="A56" s="260" t="str">
        <f t="shared" si="41"/>
        <v/>
      </c>
      <c r="B56" s="145"/>
      <c r="C56" s="145"/>
      <c r="D56" s="260" t="str">
        <f t="shared" si="42"/>
        <v/>
      </c>
      <c r="E56" s="145"/>
      <c r="F56" s="145"/>
      <c r="G56" s="260" t="str">
        <f t="shared" si="43"/>
        <v/>
      </c>
      <c r="H56" s="145"/>
      <c r="I56" s="145"/>
      <c r="J56" s="261" t="str">
        <f t="shared" si="44"/>
        <v/>
      </c>
      <c r="K56" s="145"/>
      <c r="L56" s="145"/>
      <c r="M56" s="260" t="str">
        <f t="shared" si="45"/>
        <v/>
      </c>
      <c r="N56" s="145"/>
      <c r="O56" s="145"/>
      <c r="P56" s="260" t="str">
        <f t="shared" si="46"/>
        <v/>
      </c>
      <c r="Q56" s="145"/>
      <c r="R56" s="145"/>
      <c r="S56" s="260" t="str">
        <f t="shared" si="47"/>
        <v/>
      </c>
      <c r="T56" s="145"/>
      <c r="U56" s="145"/>
      <c r="V56" s="260" t="str">
        <f t="shared" si="48"/>
        <v/>
      </c>
      <c r="W56" s="145"/>
      <c r="X56" s="145"/>
      <c r="Y56" s="259"/>
      <c r="Z56" s="2"/>
      <c r="AA56" s="256">
        <v>52</v>
      </c>
      <c r="AB56" s="16" t="str">
        <f t="shared" si="57"/>
        <v/>
      </c>
      <c r="AC56" s="16" t="str">
        <f t="shared" si="58"/>
        <v/>
      </c>
      <c r="AD56" s="16" t="str">
        <f t="shared" si="2"/>
        <v/>
      </c>
      <c r="AE56" s="16" t="str">
        <f t="shared" si="3"/>
        <v/>
      </c>
      <c r="AF56" s="16" t="str">
        <f t="shared" si="4"/>
        <v/>
      </c>
      <c r="AG56" s="17" t="str">
        <f t="shared" si="59"/>
        <v/>
      </c>
      <c r="AH56" s="17" t="str">
        <f t="shared" si="60"/>
        <v/>
      </c>
      <c r="AI56" s="18" t="str">
        <f t="shared" si="7"/>
        <v/>
      </c>
      <c r="AJ56" s="18" t="str">
        <f t="shared" si="8"/>
        <v/>
      </c>
      <c r="AM56" s="2"/>
      <c r="AN56" s="2"/>
      <c r="AO56" s="2"/>
      <c r="AP56" s="2"/>
      <c r="AQ56" s="2"/>
      <c r="AR56" s="2"/>
      <c r="AS56" s="2"/>
      <c r="AT56" s="2"/>
      <c r="AU56" s="2"/>
      <c r="AV56" s="2"/>
      <c r="AW56" s="2"/>
      <c r="AX56" s="2"/>
      <c r="AY56" s="2"/>
      <c r="AZ56" s="2"/>
      <c r="BA56" s="2"/>
      <c r="BB56" s="2"/>
      <c r="BC56" s="2"/>
      <c r="BF56" s="2"/>
      <c r="BG56" s="262" t="str">
        <f t="shared" si="49"/>
        <v/>
      </c>
      <c r="BH56" s="217" t="str">
        <f t="shared" si="39"/>
        <v/>
      </c>
      <c r="BI56" s="229" t="str">
        <f t="shared" si="40"/>
        <v/>
      </c>
      <c r="BJ56" s="262" t="str">
        <f t="shared" si="50"/>
        <v/>
      </c>
      <c r="BK56" s="217" t="str">
        <f t="shared" si="25"/>
        <v/>
      </c>
      <c r="BL56" s="229" t="str">
        <f t="shared" si="26"/>
        <v/>
      </c>
      <c r="BM56" s="262" t="str">
        <f t="shared" si="51"/>
        <v/>
      </c>
      <c r="BN56" s="217" t="str">
        <f t="shared" si="27"/>
        <v/>
      </c>
      <c r="BO56" s="229" t="str">
        <f t="shared" si="28"/>
        <v/>
      </c>
      <c r="BP56" s="262" t="str">
        <f t="shared" si="52"/>
        <v/>
      </c>
      <c r="BQ56" s="217" t="str">
        <f t="shared" si="29"/>
        <v/>
      </c>
      <c r="BR56" s="229" t="str">
        <f t="shared" si="30"/>
        <v/>
      </c>
      <c r="BS56" s="262" t="str">
        <f t="shared" si="53"/>
        <v/>
      </c>
      <c r="BT56" s="217" t="str">
        <f t="shared" si="31"/>
        <v/>
      </c>
      <c r="BU56" s="229" t="str">
        <f t="shared" si="32"/>
        <v/>
      </c>
      <c r="BV56" s="262" t="str">
        <f t="shared" si="54"/>
        <v/>
      </c>
      <c r="BW56" s="217" t="str">
        <f t="shared" si="33"/>
        <v/>
      </c>
      <c r="BX56" s="229" t="str">
        <f t="shared" si="34"/>
        <v/>
      </c>
      <c r="BY56" s="262" t="str">
        <f t="shared" si="55"/>
        <v/>
      </c>
      <c r="BZ56" s="217" t="str">
        <f t="shared" si="35"/>
        <v/>
      </c>
      <c r="CA56" s="229" t="str">
        <f t="shared" si="36"/>
        <v/>
      </c>
      <c r="CB56" s="262" t="str">
        <f t="shared" si="56"/>
        <v/>
      </c>
      <c r="CC56" s="217" t="str">
        <f t="shared" si="37"/>
        <v/>
      </c>
      <c r="CD56" s="229" t="str">
        <f t="shared" si="38"/>
        <v/>
      </c>
    </row>
    <row r="57" spans="1:82" x14ac:dyDescent="0.25">
      <c r="A57" s="260" t="str">
        <f t="shared" si="41"/>
        <v/>
      </c>
      <c r="B57" s="145"/>
      <c r="C57" s="145"/>
      <c r="D57" s="260" t="str">
        <f t="shared" si="42"/>
        <v/>
      </c>
      <c r="E57" s="145"/>
      <c r="F57" s="145"/>
      <c r="G57" s="260" t="str">
        <f t="shared" si="43"/>
        <v/>
      </c>
      <c r="H57" s="145"/>
      <c r="I57" s="145"/>
      <c r="J57" s="261" t="str">
        <f t="shared" si="44"/>
        <v/>
      </c>
      <c r="K57" s="145"/>
      <c r="L57" s="145"/>
      <c r="M57" s="260" t="str">
        <f t="shared" si="45"/>
        <v/>
      </c>
      <c r="N57" s="145"/>
      <c r="O57" s="145"/>
      <c r="P57" s="260" t="str">
        <f t="shared" si="46"/>
        <v/>
      </c>
      <c r="Q57" s="145"/>
      <c r="R57" s="145"/>
      <c r="S57" s="260" t="str">
        <f t="shared" si="47"/>
        <v/>
      </c>
      <c r="T57" s="145"/>
      <c r="U57" s="145"/>
      <c r="V57" s="260" t="str">
        <f t="shared" si="48"/>
        <v/>
      </c>
      <c r="W57" s="145"/>
      <c r="X57" s="145"/>
      <c r="Y57" s="259"/>
      <c r="Z57" s="2"/>
      <c r="AA57" s="256">
        <v>53</v>
      </c>
      <c r="AB57" s="16" t="str">
        <f t="shared" si="57"/>
        <v/>
      </c>
      <c r="AC57" s="16" t="str">
        <f t="shared" si="58"/>
        <v/>
      </c>
      <c r="AD57" s="16" t="str">
        <f t="shared" si="2"/>
        <v/>
      </c>
      <c r="AE57" s="16" t="str">
        <f t="shared" si="3"/>
        <v/>
      </c>
      <c r="AF57" s="16" t="str">
        <f t="shared" si="4"/>
        <v/>
      </c>
      <c r="AG57" s="17" t="str">
        <f t="shared" si="59"/>
        <v/>
      </c>
      <c r="AH57" s="17" t="str">
        <f t="shared" si="60"/>
        <v/>
      </c>
      <c r="AI57" s="18" t="str">
        <f t="shared" si="7"/>
        <v/>
      </c>
      <c r="AJ57" s="18" t="str">
        <f t="shared" si="8"/>
        <v/>
      </c>
      <c r="AM57" s="2"/>
      <c r="AN57" s="2"/>
      <c r="AO57" s="2"/>
      <c r="AP57" s="2"/>
      <c r="AQ57" s="2"/>
      <c r="AR57" s="2"/>
      <c r="AS57" s="2"/>
      <c r="AT57" s="2"/>
      <c r="AU57" s="2"/>
      <c r="AV57" s="2"/>
      <c r="AW57" s="2"/>
      <c r="AX57" s="2"/>
      <c r="AY57" s="2"/>
      <c r="AZ57" s="2"/>
      <c r="BA57" s="2"/>
      <c r="BB57" s="2"/>
      <c r="BC57" s="2"/>
      <c r="BF57" s="2"/>
      <c r="BG57" s="262" t="str">
        <f t="shared" si="49"/>
        <v/>
      </c>
      <c r="BH57" s="217" t="str">
        <f t="shared" si="39"/>
        <v/>
      </c>
      <c r="BI57" s="229" t="str">
        <f t="shared" si="40"/>
        <v/>
      </c>
      <c r="BJ57" s="262" t="str">
        <f t="shared" si="50"/>
        <v/>
      </c>
      <c r="BK57" s="217" t="str">
        <f t="shared" si="25"/>
        <v/>
      </c>
      <c r="BL57" s="229" t="str">
        <f t="shared" si="26"/>
        <v/>
      </c>
      <c r="BM57" s="262" t="str">
        <f t="shared" si="51"/>
        <v/>
      </c>
      <c r="BN57" s="217" t="str">
        <f t="shared" si="27"/>
        <v/>
      </c>
      <c r="BO57" s="229" t="str">
        <f t="shared" si="28"/>
        <v/>
      </c>
      <c r="BP57" s="262" t="str">
        <f t="shared" si="52"/>
        <v/>
      </c>
      <c r="BQ57" s="217" t="str">
        <f t="shared" si="29"/>
        <v/>
      </c>
      <c r="BR57" s="229" t="str">
        <f t="shared" si="30"/>
        <v/>
      </c>
      <c r="BS57" s="262" t="str">
        <f t="shared" si="53"/>
        <v/>
      </c>
      <c r="BT57" s="217" t="str">
        <f t="shared" si="31"/>
        <v/>
      </c>
      <c r="BU57" s="229" t="str">
        <f t="shared" si="32"/>
        <v/>
      </c>
      <c r="BV57" s="262" t="str">
        <f t="shared" si="54"/>
        <v/>
      </c>
      <c r="BW57" s="217" t="str">
        <f t="shared" si="33"/>
        <v/>
      </c>
      <c r="BX57" s="229" t="str">
        <f t="shared" si="34"/>
        <v/>
      </c>
      <c r="BY57" s="262" t="str">
        <f t="shared" si="55"/>
        <v/>
      </c>
      <c r="BZ57" s="217" t="str">
        <f t="shared" si="35"/>
        <v/>
      </c>
      <c r="CA57" s="229" t="str">
        <f t="shared" si="36"/>
        <v/>
      </c>
      <c r="CB57" s="262" t="str">
        <f t="shared" si="56"/>
        <v/>
      </c>
      <c r="CC57" s="217" t="str">
        <f t="shared" si="37"/>
        <v/>
      </c>
      <c r="CD57" s="229" t="str">
        <f t="shared" si="38"/>
        <v/>
      </c>
    </row>
    <row r="58" spans="1:82" x14ac:dyDescent="0.25">
      <c r="A58" s="260" t="str">
        <f t="shared" si="41"/>
        <v/>
      </c>
      <c r="B58" s="145"/>
      <c r="C58" s="145"/>
      <c r="D58" s="260" t="str">
        <f t="shared" si="42"/>
        <v/>
      </c>
      <c r="E58" s="145"/>
      <c r="F58" s="145"/>
      <c r="G58" s="260" t="str">
        <f t="shared" si="43"/>
        <v/>
      </c>
      <c r="H58" s="145"/>
      <c r="I58" s="145"/>
      <c r="J58" s="261" t="str">
        <f t="shared" si="44"/>
        <v/>
      </c>
      <c r="K58" s="145"/>
      <c r="L58" s="145"/>
      <c r="M58" s="260" t="str">
        <f t="shared" si="45"/>
        <v/>
      </c>
      <c r="N58" s="145"/>
      <c r="O58" s="145"/>
      <c r="P58" s="260" t="str">
        <f t="shared" si="46"/>
        <v/>
      </c>
      <c r="Q58" s="145"/>
      <c r="R58" s="145"/>
      <c r="S58" s="260" t="str">
        <f t="shared" si="47"/>
        <v/>
      </c>
      <c r="T58" s="145"/>
      <c r="U58" s="145"/>
      <c r="V58" s="260" t="str">
        <f t="shared" si="48"/>
        <v/>
      </c>
      <c r="W58" s="145"/>
      <c r="X58" s="145"/>
      <c r="Y58" s="259"/>
      <c r="Z58" s="2"/>
      <c r="AA58" s="256">
        <v>54</v>
      </c>
      <c r="AB58" s="16" t="str">
        <f t="shared" si="57"/>
        <v/>
      </c>
      <c r="AC58" s="16" t="str">
        <f t="shared" si="58"/>
        <v/>
      </c>
      <c r="AD58" s="16" t="str">
        <f t="shared" si="2"/>
        <v/>
      </c>
      <c r="AE58" s="16" t="str">
        <f t="shared" si="3"/>
        <v/>
      </c>
      <c r="AF58" s="16" t="str">
        <f t="shared" si="4"/>
        <v/>
      </c>
      <c r="AG58" s="17" t="str">
        <f t="shared" si="59"/>
        <v/>
      </c>
      <c r="AH58" s="17" t="str">
        <f t="shared" si="60"/>
        <v/>
      </c>
      <c r="AI58" s="18" t="str">
        <f t="shared" si="7"/>
        <v/>
      </c>
      <c r="AJ58" s="18" t="str">
        <f t="shared" si="8"/>
        <v/>
      </c>
      <c r="AM58" s="2"/>
      <c r="AN58" s="2"/>
      <c r="AO58" s="2"/>
      <c r="AP58" s="2"/>
      <c r="AQ58" s="2"/>
      <c r="AR58" s="2"/>
      <c r="AS58" s="2"/>
      <c r="AT58" s="2"/>
      <c r="AU58" s="2"/>
      <c r="AV58" s="2"/>
      <c r="AW58" s="2"/>
      <c r="AX58" s="2"/>
      <c r="AY58" s="2"/>
      <c r="AZ58" s="2"/>
      <c r="BA58" s="2"/>
      <c r="BB58" s="2"/>
      <c r="BC58" s="2"/>
      <c r="BF58" s="2"/>
      <c r="BG58" s="262" t="str">
        <f t="shared" si="49"/>
        <v/>
      </c>
      <c r="BH58" s="217" t="str">
        <f t="shared" si="39"/>
        <v/>
      </c>
      <c r="BI58" s="229" t="str">
        <f t="shared" si="40"/>
        <v/>
      </c>
      <c r="BJ58" s="262" t="str">
        <f t="shared" si="50"/>
        <v/>
      </c>
      <c r="BK58" s="217" t="str">
        <f t="shared" si="25"/>
        <v/>
      </c>
      <c r="BL58" s="229" t="str">
        <f t="shared" si="26"/>
        <v/>
      </c>
      <c r="BM58" s="262" t="str">
        <f t="shared" si="51"/>
        <v/>
      </c>
      <c r="BN58" s="217" t="str">
        <f t="shared" si="27"/>
        <v/>
      </c>
      <c r="BO58" s="229" t="str">
        <f t="shared" si="28"/>
        <v/>
      </c>
      <c r="BP58" s="262" t="str">
        <f t="shared" si="52"/>
        <v/>
      </c>
      <c r="BQ58" s="217" t="str">
        <f t="shared" si="29"/>
        <v/>
      </c>
      <c r="BR58" s="229" t="str">
        <f t="shared" si="30"/>
        <v/>
      </c>
      <c r="BS58" s="262" t="str">
        <f t="shared" si="53"/>
        <v/>
      </c>
      <c r="BT58" s="217" t="str">
        <f t="shared" si="31"/>
        <v/>
      </c>
      <c r="BU58" s="229" t="str">
        <f t="shared" si="32"/>
        <v/>
      </c>
      <c r="BV58" s="262" t="str">
        <f t="shared" si="54"/>
        <v/>
      </c>
      <c r="BW58" s="217" t="str">
        <f t="shared" si="33"/>
        <v/>
      </c>
      <c r="BX58" s="229" t="str">
        <f t="shared" si="34"/>
        <v/>
      </c>
      <c r="BY58" s="262" t="str">
        <f t="shared" si="55"/>
        <v/>
      </c>
      <c r="BZ58" s="217" t="str">
        <f t="shared" si="35"/>
        <v/>
      </c>
      <c r="CA58" s="229" t="str">
        <f t="shared" si="36"/>
        <v/>
      </c>
      <c r="CB58" s="262" t="str">
        <f t="shared" si="56"/>
        <v/>
      </c>
      <c r="CC58" s="217" t="str">
        <f t="shared" si="37"/>
        <v/>
      </c>
      <c r="CD58" s="229" t="str">
        <f t="shared" si="38"/>
        <v/>
      </c>
    </row>
    <row r="59" spans="1:82" x14ac:dyDescent="0.25">
      <c r="A59" s="260" t="str">
        <f t="shared" si="41"/>
        <v/>
      </c>
      <c r="B59" s="145"/>
      <c r="C59" s="145"/>
      <c r="D59" s="260" t="str">
        <f t="shared" si="42"/>
        <v/>
      </c>
      <c r="E59" s="145"/>
      <c r="F59" s="145"/>
      <c r="G59" s="260" t="str">
        <f t="shared" si="43"/>
        <v/>
      </c>
      <c r="H59" s="145"/>
      <c r="I59" s="145"/>
      <c r="J59" s="261" t="str">
        <f t="shared" si="44"/>
        <v/>
      </c>
      <c r="K59" s="145"/>
      <c r="L59" s="145"/>
      <c r="M59" s="260" t="str">
        <f t="shared" si="45"/>
        <v/>
      </c>
      <c r="N59" s="145"/>
      <c r="O59" s="145"/>
      <c r="P59" s="260" t="str">
        <f t="shared" si="46"/>
        <v/>
      </c>
      <c r="Q59" s="145"/>
      <c r="R59" s="145"/>
      <c r="S59" s="260" t="str">
        <f t="shared" si="47"/>
        <v/>
      </c>
      <c r="T59" s="145"/>
      <c r="U59" s="145"/>
      <c r="V59" s="260" t="str">
        <f t="shared" si="48"/>
        <v/>
      </c>
      <c r="W59" s="145"/>
      <c r="X59" s="145"/>
      <c r="Y59" s="259"/>
      <c r="Z59" s="2"/>
      <c r="AA59" s="256">
        <v>55</v>
      </c>
      <c r="AB59" s="16" t="str">
        <f t="shared" si="57"/>
        <v/>
      </c>
      <c r="AC59" s="16" t="str">
        <f t="shared" si="58"/>
        <v/>
      </c>
      <c r="AD59" s="16" t="str">
        <f t="shared" si="2"/>
        <v/>
      </c>
      <c r="AE59" s="16" t="str">
        <f t="shared" si="3"/>
        <v/>
      </c>
      <c r="AF59" s="16" t="str">
        <f t="shared" si="4"/>
        <v/>
      </c>
      <c r="AG59" s="17" t="str">
        <f t="shared" si="59"/>
        <v/>
      </c>
      <c r="AH59" s="17" t="str">
        <f t="shared" si="60"/>
        <v/>
      </c>
      <c r="AI59" s="18" t="str">
        <f t="shared" si="7"/>
        <v/>
      </c>
      <c r="AJ59" s="18" t="str">
        <f t="shared" si="8"/>
        <v/>
      </c>
      <c r="AM59" s="2"/>
      <c r="AN59" s="2"/>
      <c r="AO59" s="2"/>
      <c r="AP59" s="2"/>
      <c r="AQ59" s="2"/>
      <c r="AR59" s="2"/>
      <c r="AS59" s="2"/>
      <c r="AT59" s="2"/>
      <c r="AU59" s="2"/>
      <c r="AV59" s="2"/>
      <c r="AW59" s="2"/>
      <c r="AX59" s="2"/>
      <c r="AY59" s="2"/>
      <c r="AZ59" s="2"/>
      <c r="BA59" s="2"/>
      <c r="BB59" s="2"/>
      <c r="BC59" s="2"/>
      <c r="BF59" s="2"/>
      <c r="BG59" s="262" t="str">
        <f t="shared" si="49"/>
        <v/>
      </c>
      <c r="BH59" s="217" t="str">
        <f t="shared" si="39"/>
        <v/>
      </c>
      <c r="BI59" s="229" t="str">
        <f t="shared" si="40"/>
        <v/>
      </c>
      <c r="BJ59" s="262" t="str">
        <f t="shared" si="50"/>
        <v/>
      </c>
      <c r="BK59" s="217" t="str">
        <f t="shared" si="25"/>
        <v/>
      </c>
      <c r="BL59" s="229" t="str">
        <f t="shared" si="26"/>
        <v/>
      </c>
      <c r="BM59" s="262" t="str">
        <f t="shared" si="51"/>
        <v/>
      </c>
      <c r="BN59" s="217" t="str">
        <f t="shared" si="27"/>
        <v/>
      </c>
      <c r="BO59" s="229" t="str">
        <f t="shared" si="28"/>
        <v/>
      </c>
      <c r="BP59" s="262" t="str">
        <f t="shared" si="52"/>
        <v/>
      </c>
      <c r="BQ59" s="217" t="str">
        <f t="shared" si="29"/>
        <v/>
      </c>
      <c r="BR59" s="229" t="str">
        <f t="shared" si="30"/>
        <v/>
      </c>
      <c r="BS59" s="262" t="str">
        <f t="shared" si="53"/>
        <v/>
      </c>
      <c r="BT59" s="217" t="str">
        <f t="shared" si="31"/>
        <v/>
      </c>
      <c r="BU59" s="229" t="str">
        <f t="shared" si="32"/>
        <v/>
      </c>
      <c r="BV59" s="262" t="str">
        <f t="shared" si="54"/>
        <v/>
      </c>
      <c r="BW59" s="217" t="str">
        <f t="shared" si="33"/>
        <v/>
      </c>
      <c r="BX59" s="229" t="str">
        <f t="shared" si="34"/>
        <v/>
      </c>
      <c r="BY59" s="262" t="str">
        <f t="shared" si="55"/>
        <v/>
      </c>
      <c r="BZ59" s="217" t="str">
        <f t="shared" si="35"/>
        <v/>
      </c>
      <c r="CA59" s="229" t="str">
        <f t="shared" si="36"/>
        <v/>
      </c>
      <c r="CB59" s="262" t="str">
        <f t="shared" si="56"/>
        <v/>
      </c>
      <c r="CC59" s="217" t="str">
        <f t="shared" si="37"/>
        <v/>
      </c>
      <c r="CD59" s="229" t="str">
        <f t="shared" si="38"/>
        <v/>
      </c>
    </row>
    <row r="60" spans="1:82" x14ac:dyDescent="0.25">
      <c r="A60" s="260" t="str">
        <f t="shared" si="41"/>
        <v/>
      </c>
      <c r="B60" s="145"/>
      <c r="C60" s="145"/>
      <c r="D60" s="260" t="str">
        <f t="shared" si="42"/>
        <v/>
      </c>
      <c r="E60" s="145"/>
      <c r="F60" s="145"/>
      <c r="G60" s="260" t="str">
        <f t="shared" si="43"/>
        <v/>
      </c>
      <c r="H60" s="145"/>
      <c r="I60" s="145"/>
      <c r="J60" s="261" t="str">
        <f t="shared" si="44"/>
        <v/>
      </c>
      <c r="K60" s="145"/>
      <c r="L60" s="145"/>
      <c r="M60" s="260" t="str">
        <f t="shared" si="45"/>
        <v/>
      </c>
      <c r="N60" s="145"/>
      <c r="O60" s="145"/>
      <c r="P60" s="260" t="str">
        <f t="shared" si="46"/>
        <v/>
      </c>
      <c r="Q60" s="145"/>
      <c r="R60" s="145"/>
      <c r="S60" s="260" t="str">
        <f t="shared" si="47"/>
        <v/>
      </c>
      <c r="T60" s="145"/>
      <c r="U60" s="145"/>
      <c r="V60" s="260" t="str">
        <f t="shared" si="48"/>
        <v/>
      </c>
      <c r="W60" s="145"/>
      <c r="X60" s="145"/>
      <c r="Y60" s="259"/>
      <c r="Z60" s="2"/>
      <c r="AA60" s="256">
        <v>56</v>
      </c>
      <c r="AB60" s="16" t="str">
        <f t="shared" si="57"/>
        <v/>
      </c>
      <c r="AC60" s="16" t="str">
        <f t="shared" si="58"/>
        <v/>
      </c>
      <c r="AD60" s="16" t="str">
        <f t="shared" si="2"/>
        <v/>
      </c>
      <c r="AE60" s="16" t="str">
        <f t="shared" si="3"/>
        <v/>
      </c>
      <c r="AF60" s="16" t="str">
        <f t="shared" si="4"/>
        <v/>
      </c>
      <c r="AG60" s="17" t="str">
        <f t="shared" si="59"/>
        <v/>
      </c>
      <c r="AH60" s="17" t="str">
        <f t="shared" si="60"/>
        <v/>
      </c>
      <c r="AI60" s="18" t="str">
        <f t="shared" si="7"/>
        <v/>
      </c>
      <c r="AJ60" s="18" t="str">
        <f t="shared" si="8"/>
        <v/>
      </c>
      <c r="AM60" s="2"/>
      <c r="AN60" s="2"/>
      <c r="AO60" s="2"/>
      <c r="AP60" s="2"/>
      <c r="AQ60" s="2"/>
      <c r="AR60" s="2"/>
      <c r="AS60" s="2"/>
      <c r="AT60" s="2"/>
      <c r="AU60" s="2"/>
      <c r="AV60" s="2"/>
      <c r="AW60" s="2"/>
      <c r="AX60" s="2"/>
      <c r="AY60" s="2"/>
      <c r="AZ60" s="2"/>
      <c r="BA60" s="2"/>
      <c r="BB60" s="2"/>
      <c r="BC60" s="2"/>
      <c r="BF60" s="2"/>
      <c r="BG60" s="262" t="str">
        <f t="shared" si="49"/>
        <v/>
      </c>
      <c r="BH60" s="217" t="str">
        <f t="shared" si="39"/>
        <v/>
      </c>
      <c r="BI60" s="229" t="str">
        <f t="shared" si="40"/>
        <v/>
      </c>
      <c r="BJ60" s="262" t="str">
        <f t="shared" si="50"/>
        <v/>
      </c>
      <c r="BK60" s="217" t="str">
        <f t="shared" si="25"/>
        <v/>
      </c>
      <c r="BL60" s="229" t="str">
        <f t="shared" si="26"/>
        <v/>
      </c>
      <c r="BM60" s="262" t="str">
        <f t="shared" si="51"/>
        <v/>
      </c>
      <c r="BN60" s="217" t="str">
        <f t="shared" si="27"/>
        <v/>
      </c>
      <c r="BO60" s="229" t="str">
        <f t="shared" si="28"/>
        <v/>
      </c>
      <c r="BP60" s="262" t="str">
        <f t="shared" si="52"/>
        <v/>
      </c>
      <c r="BQ60" s="217" t="str">
        <f t="shared" si="29"/>
        <v/>
      </c>
      <c r="BR60" s="229" t="str">
        <f t="shared" si="30"/>
        <v/>
      </c>
      <c r="BS60" s="262" t="str">
        <f t="shared" si="53"/>
        <v/>
      </c>
      <c r="BT60" s="217" t="str">
        <f t="shared" si="31"/>
        <v/>
      </c>
      <c r="BU60" s="229" t="str">
        <f t="shared" si="32"/>
        <v/>
      </c>
      <c r="BV60" s="262" t="str">
        <f t="shared" si="54"/>
        <v/>
      </c>
      <c r="BW60" s="217" t="str">
        <f t="shared" si="33"/>
        <v/>
      </c>
      <c r="BX60" s="229" t="str">
        <f t="shared" si="34"/>
        <v/>
      </c>
      <c r="BY60" s="262" t="str">
        <f t="shared" si="55"/>
        <v/>
      </c>
      <c r="BZ60" s="217" t="str">
        <f t="shared" si="35"/>
        <v/>
      </c>
      <c r="CA60" s="229" t="str">
        <f t="shared" si="36"/>
        <v/>
      </c>
      <c r="CB60" s="262" t="str">
        <f t="shared" si="56"/>
        <v/>
      </c>
      <c r="CC60" s="217" t="str">
        <f t="shared" si="37"/>
        <v/>
      </c>
      <c r="CD60" s="229" t="str">
        <f t="shared" si="38"/>
        <v/>
      </c>
    </row>
    <row r="61" spans="1:82" x14ac:dyDescent="0.25">
      <c r="A61" s="260" t="str">
        <f t="shared" si="41"/>
        <v/>
      </c>
      <c r="B61" s="145"/>
      <c r="C61" s="145"/>
      <c r="D61" s="260" t="str">
        <f t="shared" si="42"/>
        <v/>
      </c>
      <c r="E61" s="145"/>
      <c r="F61" s="145"/>
      <c r="G61" s="260" t="str">
        <f t="shared" si="43"/>
        <v/>
      </c>
      <c r="H61" s="145"/>
      <c r="I61" s="145"/>
      <c r="J61" s="261" t="str">
        <f t="shared" si="44"/>
        <v/>
      </c>
      <c r="K61" s="145"/>
      <c r="L61" s="145"/>
      <c r="M61" s="260" t="str">
        <f t="shared" si="45"/>
        <v/>
      </c>
      <c r="N61" s="145"/>
      <c r="O61" s="145"/>
      <c r="P61" s="260" t="str">
        <f t="shared" si="46"/>
        <v/>
      </c>
      <c r="Q61" s="145"/>
      <c r="R61" s="145"/>
      <c r="S61" s="260" t="str">
        <f t="shared" si="47"/>
        <v/>
      </c>
      <c r="T61" s="145"/>
      <c r="U61" s="145"/>
      <c r="V61" s="260" t="str">
        <f t="shared" si="48"/>
        <v/>
      </c>
      <c r="W61" s="145"/>
      <c r="X61" s="145"/>
      <c r="Y61" s="259"/>
      <c r="Z61" s="2"/>
      <c r="AA61" s="256">
        <v>57</v>
      </c>
      <c r="AB61" s="16" t="str">
        <f t="shared" si="57"/>
        <v/>
      </c>
      <c r="AC61" s="16" t="str">
        <f t="shared" si="58"/>
        <v/>
      </c>
      <c r="AD61" s="16" t="str">
        <f t="shared" si="2"/>
        <v/>
      </c>
      <c r="AE61" s="16" t="str">
        <f t="shared" si="3"/>
        <v/>
      </c>
      <c r="AF61" s="16" t="str">
        <f t="shared" si="4"/>
        <v/>
      </c>
      <c r="AG61" s="17" t="str">
        <f t="shared" si="59"/>
        <v/>
      </c>
      <c r="AH61" s="17" t="str">
        <f t="shared" si="60"/>
        <v/>
      </c>
      <c r="AI61" s="18" t="str">
        <f t="shared" si="7"/>
        <v/>
      </c>
      <c r="AJ61" s="18" t="str">
        <f t="shared" si="8"/>
        <v/>
      </c>
      <c r="AM61" s="2"/>
      <c r="AN61" s="2"/>
      <c r="AO61" s="2"/>
      <c r="AP61" s="2"/>
      <c r="AQ61" s="2"/>
      <c r="AR61" s="2"/>
      <c r="AS61" s="2"/>
      <c r="AT61" s="2"/>
      <c r="AU61" s="2"/>
      <c r="AV61" s="2"/>
      <c r="AW61" s="2"/>
      <c r="AX61" s="2"/>
      <c r="AY61" s="2"/>
      <c r="AZ61" s="2"/>
      <c r="BA61" s="2"/>
      <c r="BB61" s="2"/>
      <c r="BC61" s="2"/>
      <c r="BF61" s="2"/>
      <c r="BG61" s="262" t="str">
        <f t="shared" si="49"/>
        <v/>
      </c>
      <c r="BH61" s="217" t="str">
        <f t="shared" si="39"/>
        <v/>
      </c>
      <c r="BI61" s="229" t="str">
        <f t="shared" si="40"/>
        <v/>
      </c>
      <c r="BJ61" s="262" t="str">
        <f t="shared" si="50"/>
        <v/>
      </c>
      <c r="BK61" s="217" t="str">
        <f t="shared" si="25"/>
        <v/>
      </c>
      <c r="BL61" s="229" t="str">
        <f t="shared" si="26"/>
        <v/>
      </c>
      <c r="BM61" s="262" t="str">
        <f t="shared" si="51"/>
        <v/>
      </c>
      <c r="BN61" s="217" t="str">
        <f t="shared" si="27"/>
        <v/>
      </c>
      <c r="BO61" s="229" t="str">
        <f t="shared" si="28"/>
        <v/>
      </c>
      <c r="BP61" s="262" t="str">
        <f t="shared" si="52"/>
        <v/>
      </c>
      <c r="BQ61" s="217" t="str">
        <f t="shared" si="29"/>
        <v/>
      </c>
      <c r="BR61" s="229" t="str">
        <f t="shared" si="30"/>
        <v/>
      </c>
      <c r="BS61" s="262" t="str">
        <f t="shared" si="53"/>
        <v/>
      </c>
      <c r="BT61" s="217" t="str">
        <f t="shared" si="31"/>
        <v/>
      </c>
      <c r="BU61" s="229" t="str">
        <f t="shared" si="32"/>
        <v/>
      </c>
      <c r="BV61" s="262" t="str">
        <f t="shared" si="54"/>
        <v/>
      </c>
      <c r="BW61" s="217" t="str">
        <f t="shared" si="33"/>
        <v/>
      </c>
      <c r="BX61" s="229" t="str">
        <f t="shared" si="34"/>
        <v/>
      </c>
      <c r="BY61" s="262" t="str">
        <f t="shared" si="55"/>
        <v/>
      </c>
      <c r="BZ61" s="217" t="str">
        <f t="shared" si="35"/>
        <v/>
      </c>
      <c r="CA61" s="229" t="str">
        <f t="shared" si="36"/>
        <v/>
      </c>
      <c r="CB61" s="262" t="str">
        <f t="shared" si="56"/>
        <v/>
      </c>
      <c r="CC61" s="217" t="str">
        <f t="shared" si="37"/>
        <v/>
      </c>
      <c r="CD61" s="229" t="str">
        <f t="shared" si="38"/>
        <v/>
      </c>
    </row>
    <row r="62" spans="1:82" x14ac:dyDescent="0.25">
      <c r="A62" s="260" t="str">
        <f t="shared" si="41"/>
        <v/>
      </c>
      <c r="B62" s="152"/>
      <c r="C62" s="152"/>
      <c r="D62" s="260" t="str">
        <f t="shared" si="42"/>
        <v/>
      </c>
      <c r="E62" s="152"/>
      <c r="F62" s="152"/>
      <c r="G62" s="260" t="str">
        <f t="shared" si="43"/>
        <v/>
      </c>
      <c r="H62" s="152"/>
      <c r="I62" s="152"/>
      <c r="J62" s="261" t="str">
        <f t="shared" si="44"/>
        <v/>
      </c>
      <c r="K62" s="152"/>
      <c r="L62" s="152"/>
      <c r="M62" s="260" t="str">
        <f t="shared" si="45"/>
        <v/>
      </c>
      <c r="N62" s="152"/>
      <c r="O62" s="152"/>
      <c r="P62" s="260" t="str">
        <f t="shared" si="46"/>
        <v/>
      </c>
      <c r="Q62" s="152"/>
      <c r="R62" s="152"/>
      <c r="S62" s="260" t="str">
        <f t="shared" si="47"/>
        <v/>
      </c>
      <c r="T62" s="152"/>
      <c r="U62" s="152"/>
      <c r="V62" s="260" t="str">
        <f t="shared" si="48"/>
        <v/>
      </c>
      <c r="W62" s="152"/>
      <c r="X62" s="152"/>
      <c r="Y62" s="259"/>
      <c r="Z62" s="2"/>
      <c r="AA62" s="256">
        <v>58</v>
      </c>
      <c r="AB62" s="16" t="str">
        <f t="shared" si="57"/>
        <v/>
      </c>
      <c r="AC62" s="16" t="str">
        <f t="shared" si="58"/>
        <v/>
      </c>
      <c r="AD62" s="16" t="str">
        <f t="shared" si="2"/>
        <v/>
      </c>
      <c r="AE62" s="16" t="str">
        <f t="shared" si="3"/>
        <v/>
      </c>
      <c r="AF62" s="16" t="str">
        <f t="shared" si="4"/>
        <v/>
      </c>
      <c r="AG62" s="17" t="str">
        <f t="shared" si="59"/>
        <v/>
      </c>
      <c r="AH62" s="17" t="str">
        <f t="shared" si="60"/>
        <v/>
      </c>
      <c r="AI62" s="18" t="str">
        <f t="shared" si="7"/>
        <v/>
      </c>
      <c r="AJ62" s="18" t="str">
        <f t="shared" si="8"/>
        <v/>
      </c>
      <c r="AM62" s="2"/>
      <c r="AN62" s="2"/>
      <c r="AO62" s="2"/>
      <c r="AP62" s="2"/>
      <c r="AQ62" s="2"/>
      <c r="AR62" s="2"/>
      <c r="AS62" s="2"/>
      <c r="AT62" s="2"/>
      <c r="AU62" s="2"/>
      <c r="AV62" s="2"/>
      <c r="AW62" s="2"/>
      <c r="AX62" s="2"/>
      <c r="AY62" s="2"/>
      <c r="AZ62" s="2"/>
      <c r="BA62" s="2"/>
      <c r="BB62" s="2"/>
      <c r="BC62" s="2"/>
      <c r="BF62" s="2"/>
      <c r="BG62" s="262" t="str">
        <f t="shared" si="49"/>
        <v/>
      </c>
      <c r="BH62" s="222" t="str">
        <f t="shared" si="39"/>
        <v/>
      </c>
      <c r="BI62" s="230" t="str">
        <f t="shared" si="40"/>
        <v/>
      </c>
      <c r="BJ62" s="262" t="str">
        <f t="shared" si="50"/>
        <v/>
      </c>
      <c r="BK62" s="222" t="str">
        <f t="shared" si="25"/>
        <v/>
      </c>
      <c r="BL62" s="230" t="str">
        <f t="shared" si="26"/>
        <v/>
      </c>
      <c r="BM62" s="262" t="str">
        <f t="shared" si="51"/>
        <v/>
      </c>
      <c r="BN62" s="222" t="str">
        <f t="shared" si="27"/>
        <v/>
      </c>
      <c r="BO62" s="230" t="str">
        <f t="shared" si="28"/>
        <v/>
      </c>
      <c r="BP62" s="262" t="str">
        <f t="shared" si="52"/>
        <v/>
      </c>
      <c r="BQ62" s="222" t="str">
        <f t="shared" si="29"/>
        <v/>
      </c>
      <c r="BR62" s="230" t="str">
        <f t="shared" si="30"/>
        <v/>
      </c>
      <c r="BS62" s="262" t="str">
        <f t="shared" si="53"/>
        <v/>
      </c>
      <c r="BT62" s="222" t="str">
        <f t="shared" si="31"/>
        <v/>
      </c>
      <c r="BU62" s="230" t="str">
        <f t="shared" si="32"/>
        <v/>
      </c>
      <c r="BV62" s="262" t="str">
        <f t="shared" si="54"/>
        <v/>
      </c>
      <c r="BW62" s="222" t="str">
        <f t="shared" si="33"/>
        <v/>
      </c>
      <c r="BX62" s="230" t="str">
        <f t="shared" si="34"/>
        <v/>
      </c>
      <c r="BY62" s="262" t="str">
        <f t="shared" si="55"/>
        <v/>
      </c>
      <c r="BZ62" s="222" t="str">
        <f t="shared" si="35"/>
        <v/>
      </c>
      <c r="CA62" s="230" t="str">
        <f t="shared" si="36"/>
        <v/>
      </c>
      <c r="CB62" s="262" t="str">
        <f t="shared" si="56"/>
        <v/>
      </c>
      <c r="CC62" s="222" t="str">
        <f t="shared" si="37"/>
        <v/>
      </c>
      <c r="CD62" s="230" t="str">
        <f t="shared" si="38"/>
        <v/>
      </c>
    </row>
    <row r="63" spans="1:82" x14ac:dyDescent="0.25">
      <c r="A63" s="48"/>
      <c r="B63" s="54"/>
      <c r="C63" s="54"/>
      <c r="D63" s="54"/>
      <c r="E63" s="54"/>
      <c r="F63" s="54"/>
      <c r="G63" s="54"/>
      <c r="H63" s="54"/>
      <c r="I63" s="54"/>
      <c r="J63" s="2"/>
      <c r="K63" s="2"/>
      <c r="L63" s="2"/>
      <c r="M63" s="2"/>
      <c r="N63" s="2"/>
      <c r="O63" s="2"/>
      <c r="P63" s="2"/>
      <c r="Q63" s="2"/>
      <c r="R63" s="2"/>
      <c r="S63" s="2"/>
      <c r="T63" s="2"/>
      <c r="U63" s="2"/>
      <c r="V63" s="2"/>
      <c r="W63" s="2"/>
      <c r="X63" s="2"/>
      <c r="Y63" s="259"/>
      <c r="Z63" s="2"/>
      <c r="AA63" s="264">
        <v>59</v>
      </c>
      <c r="AB63" s="16" t="str">
        <f t="shared" si="57"/>
        <v/>
      </c>
      <c r="AC63" s="16" t="str">
        <f t="shared" si="58"/>
        <v/>
      </c>
      <c r="AD63" s="16" t="str">
        <f t="shared" si="2"/>
        <v/>
      </c>
      <c r="AE63" s="16" t="str">
        <f t="shared" si="3"/>
        <v/>
      </c>
      <c r="AF63" s="16" t="str">
        <f t="shared" si="4"/>
        <v/>
      </c>
      <c r="AG63" s="16" t="str">
        <f t="shared" si="59"/>
        <v/>
      </c>
      <c r="AH63" s="16" t="str">
        <f t="shared" si="60"/>
        <v/>
      </c>
      <c r="AI63" s="29" t="str">
        <f t="shared" si="7"/>
        <v/>
      </c>
      <c r="AJ63" s="29" t="str">
        <f t="shared" si="8"/>
        <v/>
      </c>
      <c r="AK63" s="2"/>
      <c r="AL63" s="2"/>
      <c r="AM63" s="2"/>
      <c r="AN63" s="2"/>
      <c r="AO63" s="2"/>
      <c r="AP63" s="2"/>
      <c r="AQ63" s="2"/>
      <c r="AR63" s="2"/>
      <c r="AS63" s="2"/>
      <c r="AT63" s="2"/>
      <c r="AU63" s="2"/>
      <c r="AV63" s="2"/>
      <c r="AW63" s="2"/>
      <c r="AX63" s="2"/>
      <c r="AY63" s="2"/>
      <c r="AZ63" s="2"/>
      <c r="BA63" s="2"/>
      <c r="BB63" s="2"/>
      <c r="BC63" s="2"/>
      <c r="BF63" s="2"/>
    </row>
    <row r="64" spans="1:82" x14ac:dyDescent="0.25">
      <c r="A64" s="99" t="s">
        <v>49</v>
      </c>
      <c r="B64" s="27">
        <v>2</v>
      </c>
      <c r="C64" s="76"/>
      <c r="D64" s="54"/>
      <c r="E64" s="54"/>
      <c r="F64" s="54"/>
      <c r="G64" s="54"/>
      <c r="H64" s="54"/>
      <c r="I64" s="54"/>
      <c r="J64" s="2"/>
      <c r="K64" s="2"/>
      <c r="L64" s="2"/>
      <c r="M64" s="2"/>
      <c r="N64" s="2"/>
      <c r="O64" s="2"/>
      <c r="P64" s="2"/>
      <c r="Q64" s="2"/>
      <c r="R64" s="2"/>
      <c r="S64" s="2"/>
      <c r="T64" s="2"/>
      <c r="U64" s="2"/>
      <c r="V64" s="2"/>
      <c r="W64" s="2"/>
      <c r="X64" s="2"/>
      <c r="Y64" s="259"/>
      <c r="Z64" s="2"/>
      <c r="AA64" s="264">
        <v>60</v>
      </c>
      <c r="AB64" s="16" t="str">
        <f t="shared" si="57"/>
        <v/>
      </c>
      <c r="AC64" s="16" t="str">
        <f t="shared" si="58"/>
        <v/>
      </c>
      <c r="AD64" s="16" t="str">
        <f t="shared" si="2"/>
        <v/>
      </c>
      <c r="AE64" s="16" t="str">
        <f t="shared" si="3"/>
        <v/>
      </c>
      <c r="AF64" s="16" t="str">
        <f t="shared" si="4"/>
        <v/>
      </c>
      <c r="AG64" s="16" t="str">
        <f t="shared" si="59"/>
        <v/>
      </c>
      <c r="AH64" s="16" t="str">
        <f t="shared" si="60"/>
        <v/>
      </c>
      <c r="AI64" s="29" t="str">
        <f t="shared" si="7"/>
        <v/>
      </c>
      <c r="AJ64" s="29" t="str">
        <f t="shared" si="8"/>
        <v/>
      </c>
      <c r="AK64" s="2"/>
      <c r="AL64" s="2"/>
      <c r="AM64" s="2"/>
      <c r="AN64" s="2"/>
      <c r="AO64" s="2"/>
      <c r="AP64" s="2"/>
      <c r="AQ64" s="2"/>
      <c r="AR64" s="2"/>
      <c r="AS64" s="2"/>
      <c r="AT64" s="2"/>
      <c r="AU64" s="2"/>
      <c r="AV64" s="2"/>
      <c r="AW64" s="2"/>
      <c r="AX64" s="2"/>
      <c r="AY64" s="2"/>
      <c r="AZ64" s="2"/>
      <c r="BA64" s="2"/>
      <c r="BB64" s="2"/>
      <c r="BC64" s="2"/>
      <c r="BF64" s="2"/>
    </row>
    <row r="65" spans="1:89" x14ac:dyDescent="0.25">
      <c r="A65" s="48"/>
      <c r="B65" s="56" t="s">
        <v>52</v>
      </c>
      <c r="C65" s="53"/>
      <c r="D65" s="53"/>
      <c r="E65" s="53"/>
      <c r="F65" s="53"/>
      <c r="G65" s="53"/>
      <c r="H65" s="53"/>
      <c r="I65" s="53"/>
      <c r="J65" s="53"/>
      <c r="K65" s="6"/>
      <c r="L65" s="265"/>
      <c r="M65" s="53"/>
      <c r="N65" s="6"/>
      <c r="O65" s="6"/>
      <c r="P65" s="6"/>
      <c r="Q65" s="6"/>
      <c r="R65" s="6"/>
      <c r="S65" s="6"/>
      <c r="T65" s="6"/>
      <c r="U65" s="6"/>
      <c r="V65" s="6"/>
      <c r="W65" s="6"/>
      <c r="X65" s="6"/>
      <c r="Y65" s="259"/>
      <c r="Z65" s="2"/>
      <c r="AA65" s="264">
        <v>61</v>
      </c>
      <c r="AB65" s="16" t="str">
        <f t="shared" si="57"/>
        <v/>
      </c>
      <c r="AC65" s="16" t="str">
        <f t="shared" si="58"/>
        <v/>
      </c>
      <c r="AD65" s="16" t="str">
        <f t="shared" si="2"/>
        <v/>
      </c>
      <c r="AE65" s="16" t="str">
        <f t="shared" si="3"/>
        <v/>
      </c>
      <c r="AF65" s="16" t="str">
        <f t="shared" si="4"/>
        <v/>
      </c>
      <c r="AG65" s="16" t="str">
        <f t="shared" si="59"/>
        <v/>
      </c>
      <c r="AH65" s="16" t="str">
        <f t="shared" si="60"/>
        <v/>
      </c>
      <c r="AI65" s="29" t="str">
        <f t="shared" si="7"/>
        <v/>
      </c>
      <c r="AJ65" s="29" t="str">
        <f t="shared" si="8"/>
        <v/>
      </c>
      <c r="AK65" s="2"/>
      <c r="AL65" s="2"/>
      <c r="AM65" s="2"/>
      <c r="AN65" s="2"/>
      <c r="AO65" s="2"/>
      <c r="AP65" s="2"/>
      <c r="AQ65" s="2"/>
      <c r="AR65" s="2"/>
      <c r="AS65" s="2"/>
      <c r="AT65" s="2"/>
      <c r="AU65" s="2"/>
      <c r="AV65" s="2"/>
      <c r="AW65" s="2"/>
      <c r="AX65" s="2"/>
      <c r="AY65" s="2"/>
      <c r="AZ65" s="2"/>
      <c r="BA65" s="2"/>
      <c r="BB65" s="2"/>
      <c r="BC65" s="2"/>
      <c r="BF65" s="2"/>
      <c r="BG65" s="266" t="s">
        <v>256</v>
      </c>
    </row>
    <row r="66" spans="1:89" x14ac:dyDescent="0.25">
      <c r="A66" s="45"/>
      <c r="B66" s="77" t="str">
        <f>IF($B$64&gt;=1,"Pier #1","")</f>
        <v>Pier #1</v>
      </c>
      <c r="C66" s="77" t="str">
        <f>IF($B$64&gt;=2,"Pier #2","")</f>
        <v>Pier #2</v>
      </c>
      <c r="D66" s="77" t="str">
        <f>IF($B$64&gt;=3,"Pier #3","")</f>
        <v/>
      </c>
      <c r="E66" s="77" t="str">
        <f>IF($B$64&gt;=4,"Pier #4","")</f>
        <v/>
      </c>
      <c r="F66" s="77" t="str">
        <f>IF($B$64&gt;=5,"Pier #5","")</f>
        <v/>
      </c>
      <c r="G66" s="77" t="str">
        <f>IF($B$64&gt;=6,"Pier #6","")</f>
        <v/>
      </c>
      <c r="H66" s="77" t="str">
        <f>IF($B$64&gt;=7,"Pier #7","")</f>
        <v/>
      </c>
      <c r="I66" s="77" t="str">
        <f>IF($B$64&gt;=8,"Pier #8","")</f>
        <v/>
      </c>
      <c r="J66" s="77" t="str">
        <f>IF($B$64&gt;=9,"Pier #9","")</f>
        <v/>
      </c>
      <c r="K66" s="77" t="str">
        <f>IF($B$64&gt;=10,"Pier #10","")</f>
        <v/>
      </c>
      <c r="L66" s="77" t="str">
        <f>IF($B$64&gt;=11,"Pier #11","")</f>
        <v/>
      </c>
      <c r="M66" s="77" t="str">
        <f>IF($B$64&gt;=12,"Pier #12","")</f>
        <v/>
      </c>
      <c r="N66" s="77" t="str">
        <f>IF($B$64&gt;=13,"Pier #13","")</f>
        <v/>
      </c>
      <c r="O66" s="77" t="str">
        <f>IF($B$64&gt;=14,"Pier #14","")</f>
        <v/>
      </c>
      <c r="P66" s="77" t="str">
        <f>IF($B$64&gt;=15,"Pier #15","")</f>
        <v/>
      </c>
      <c r="Q66" s="77" t="str">
        <f>IF($B$64&gt;=16,"Pier #16","")</f>
        <v/>
      </c>
      <c r="R66" s="77" t="str">
        <f>IF($B$64&gt;=17,"Pier #17","")</f>
        <v/>
      </c>
      <c r="S66" s="77" t="str">
        <f>IF($B$64&gt;=18,"Pier #18","")</f>
        <v/>
      </c>
      <c r="T66" s="77" t="str">
        <f>IF($B$64&gt;=19,"Pier #19","")</f>
        <v/>
      </c>
      <c r="U66" s="77" t="str">
        <f>IF($B$64&gt;=20,"Pier #20","")</f>
        <v/>
      </c>
      <c r="V66" s="77" t="str">
        <f>IF($B$64&gt;=21,"Pier #21","")</f>
        <v/>
      </c>
      <c r="W66" s="77" t="str">
        <f>IF($B$64&gt;=22,"Pier #22","")</f>
        <v/>
      </c>
      <c r="X66" s="77" t="str">
        <f>IF($B$64=23,"Pier #23","")</f>
        <v/>
      </c>
      <c r="Y66" s="259"/>
      <c r="Z66" s="2"/>
      <c r="AA66" s="264">
        <v>62</v>
      </c>
      <c r="AB66" s="16" t="str">
        <f t="shared" si="57"/>
        <v/>
      </c>
      <c r="AC66" s="16" t="str">
        <f t="shared" si="58"/>
        <v/>
      </c>
      <c r="AD66" s="16" t="str">
        <f t="shared" si="2"/>
        <v/>
      </c>
      <c r="AE66" s="16" t="str">
        <f t="shared" si="3"/>
        <v/>
      </c>
      <c r="AF66" s="16" t="str">
        <f t="shared" si="4"/>
        <v/>
      </c>
      <c r="AG66" s="16" t="str">
        <f t="shared" si="59"/>
        <v/>
      </c>
      <c r="AH66" s="16" t="str">
        <f t="shared" si="60"/>
        <v/>
      </c>
      <c r="AI66" s="29" t="str">
        <f t="shared" si="7"/>
        <v/>
      </c>
      <c r="AJ66" s="29" t="str">
        <f t="shared" si="8"/>
        <v/>
      </c>
      <c r="AK66" s="2"/>
      <c r="AL66" s="2"/>
      <c r="AM66" s="2"/>
      <c r="AN66" s="2"/>
      <c r="AO66" s="2"/>
      <c r="AP66" s="2"/>
      <c r="AQ66" s="2"/>
      <c r="AR66" s="2"/>
      <c r="AS66" s="2"/>
      <c r="AT66" s="2"/>
      <c r="AU66" s="2"/>
      <c r="AV66" s="2"/>
      <c r="AW66" s="2"/>
      <c r="AX66" s="2"/>
      <c r="AY66" s="2"/>
      <c r="AZ66" s="2"/>
      <c r="BA66" s="2"/>
      <c r="BB66" s="2"/>
      <c r="BC66" s="2"/>
      <c r="BF66" s="2"/>
      <c r="BG66" s="203" t="s">
        <v>52</v>
      </c>
      <c r="BH66" s="196" t="str">
        <f>IF($B$64&gt;=1,"Pier #1","")</f>
        <v>Pier #1</v>
      </c>
      <c r="BI66" s="196" t="str">
        <f>IF($B$64&gt;=2,"Pier #2","")</f>
        <v>Pier #2</v>
      </c>
      <c r="BJ66" s="196" t="str">
        <f>IF($B$64&gt;=3,"Pier #3","")</f>
        <v/>
      </c>
      <c r="BK66" s="196" t="str">
        <f>IF($B$64&gt;=4,"Pier #4","")</f>
        <v/>
      </c>
      <c r="BL66" s="196" t="str">
        <f>IF($B$64&gt;=5,"Pier #5","")</f>
        <v/>
      </c>
      <c r="BM66" s="196" t="str">
        <f>IF($B$64&gt;=6,"Pier #6","")</f>
        <v/>
      </c>
      <c r="BN66" s="196" t="str">
        <f>IF($B$64&gt;=7,"Pier #7","")</f>
        <v/>
      </c>
      <c r="BO66" s="196" t="str">
        <f>IF($B$64&gt;=8,"Pier #8","")</f>
        <v/>
      </c>
      <c r="BP66" s="196" t="str">
        <f>IF($B$64&gt;=9,"Pier #9","")</f>
        <v/>
      </c>
      <c r="BQ66" s="196" t="str">
        <f>IF($B$64&gt;=10,"Pier #10","")</f>
        <v/>
      </c>
      <c r="BR66" s="196" t="str">
        <f>IF($B$64&gt;=11,"Pier #11","")</f>
        <v/>
      </c>
      <c r="BS66" s="196" t="str">
        <f>IF($B$64&gt;=12,"Pier #12","")</f>
        <v/>
      </c>
      <c r="BT66" s="196" t="str">
        <f>IF($B$64&gt;=13,"Pier #13","")</f>
        <v/>
      </c>
      <c r="BU66" s="196" t="str">
        <f>IF($B$64&gt;=14,"Pier #14","")</f>
        <v/>
      </c>
      <c r="BV66" s="196" t="str">
        <f>IF($B$64&gt;=15,"Pier #15","")</f>
        <v/>
      </c>
      <c r="BW66" s="196" t="str">
        <f>IF($B$64&gt;=16,"Pier #16","")</f>
        <v/>
      </c>
      <c r="BX66" s="196" t="str">
        <f>IF($B$64&gt;=17,"Pier #17","")</f>
        <v/>
      </c>
      <c r="BY66" s="196" t="str">
        <f>IF($B$64&gt;=18,"Pier #18","")</f>
        <v/>
      </c>
      <c r="BZ66" s="196" t="str">
        <f>IF($B$64&gt;=19,"Pier #19","")</f>
        <v/>
      </c>
      <c r="CA66" s="196" t="str">
        <f>IF($B$64&gt;=20,"Pier #20","")</f>
        <v/>
      </c>
      <c r="CB66" s="196" t="str">
        <f>IF($B$64&gt;=21,"Pier #21","")</f>
        <v/>
      </c>
      <c r="CC66" s="196" t="str">
        <f>IF($B$64&gt;=22,"Pier #22","")</f>
        <v/>
      </c>
      <c r="CD66" s="196" t="str">
        <f>IF($B$64=23,"Pier #23","")</f>
        <v/>
      </c>
      <c r="CE66" s="196"/>
      <c r="CF66" s="196"/>
      <c r="CG66" s="196"/>
      <c r="CH66" s="196"/>
      <c r="CI66" s="196"/>
      <c r="CJ66" s="196"/>
      <c r="CK66" s="196"/>
    </row>
    <row r="67" spans="1:89" x14ac:dyDescent="0.25">
      <c r="A67" s="45" t="s">
        <v>341</v>
      </c>
      <c r="B67" s="141">
        <v>1.3716000000000002</v>
      </c>
      <c r="C67" s="141">
        <v>1.3716000000000002</v>
      </c>
      <c r="D67" s="157"/>
      <c r="E67" s="141"/>
      <c r="F67" s="157"/>
      <c r="G67" s="141"/>
      <c r="H67" s="157"/>
      <c r="I67" s="141"/>
      <c r="J67" s="141"/>
      <c r="K67" s="141"/>
      <c r="L67" s="157"/>
      <c r="M67" s="141"/>
      <c r="N67" s="157"/>
      <c r="O67" s="141"/>
      <c r="P67" s="157"/>
      <c r="Q67" s="141"/>
      <c r="R67" s="141"/>
      <c r="S67" s="141"/>
      <c r="T67" s="141"/>
      <c r="U67" s="141"/>
      <c r="V67" s="141"/>
      <c r="W67" s="141"/>
      <c r="X67" s="141"/>
      <c r="Y67" s="259"/>
      <c r="Z67" s="2"/>
      <c r="AA67" s="264">
        <v>63</v>
      </c>
      <c r="AB67" s="16" t="str">
        <f t="shared" si="57"/>
        <v/>
      </c>
      <c r="AC67" s="16" t="str">
        <f t="shared" si="58"/>
        <v/>
      </c>
      <c r="AD67" s="16" t="str">
        <f t="shared" si="2"/>
        <v/>
      </c>
      <c r="AE67" s="16" t="str">
        <f t="shared" si="3"/>
        <v/>
      </c>
      <c r="AF67" s="16" t="str">
        <f t="shared" si="4"/>
        <v/>
      </c>
      <c r="AG67" s="16" t="str">
        <f t="shared" si="59"/>
        <v/>
      </c>
      <c r="AH67" s="16" t="str">
        <f t="shared" si="60"/>
        <v/>
      </c>
      <c r="AI67" s="29" t="str">
        <f t="shared" si="7"/>
        <v/>
      </c>
      <c r="AJ67" s="29" t="str">
        <f t="shared" si="8"/>
        <v/>
      </c>
      <c r="AK67" s="2"/>
      <c r="AL67" s="2"/>
      <c r="AM67" s="2"/>
      <c r="AN67" s="2"/>
      <c r="AO67" s="2"/>
      <c r="AP67" s="2"/>
      <c r="AQ67" s="2"/>
      <c r="AR67" s="2"/>
      <c r="AS67" s="2"/>
      <c r="AT67" s="2"/>
      <c r="AU67" s="2"/>
      <c r="AV67" s="2"/>
      <c r="AW67" s="2"/>
      <c r="AX67" s="2"/>
      <c r="AY67" s="2"/>
      <c r="AZ67" s="2"/>
      <c r="BA67" s="2"/>
      <c r="BB67" s="2"/>
      <c r="BC67" s="2"/>
      <c r="BF67" s="2"/>
      <c r="BG67" s="199" t="s">
        <v>198</v>
      </c>
      <c r="BH67" s="216">
        <f>IF($B$64&gt;=1,$B67*3.28084,"")</f>
        <v>4.5000001440000004</v>
      </c>
      <c r="BI67" s="231">
        <f>IF($B$64&gt;=2,$C67*3.28084,"")</f>
        <v>4.5000001440000004</v>
      </c>
      <c r="BJ67" s="216" t="str">
        <f>IF($B$64&gt;=3,$D67*3.28084,"")</f>
        <v/>
      </c>
      <c r="BK67" s="231" t="str">
        <f>IF($B$64&gt;=4,$E67*3.28084,"")</f>
        <v/>
      </c>
      <c r="BL67" s="216" t="str">
        <f>IF($B$64&gt;=5,$F67*3.28084,"")</f>
        <v/>
      </c>
      <c r="BM67" s="231" t="str">
        <f>IF($B$64&gt;=6,$G67*3.28084,"")</f>
        <v/>
      </c>
      <c r="BN67" s="216" t="str">
        <f>IF($B$64&gt;=7,$H67*3.28084,"")</f>
        <v/>
      </c>
      <c r="BO67" s="228" t="str">
        <f>IF($B$64&gt;=8,$I67*3.28084,"")</f>
        <v/>
      </c>
      <c r="BP67" s="216" t="str">
        <f>IF($B$64&gt;=9,$J67*3.28084,"")</f>
        <v/>
      </c>
      <c r="BQ67" s="231" t="str">
        <f>IF($B$64&gt;=10,$K67*3.28084,"")</f>
        <v/>
      </c>
      <c r="BR67" s="216" t="str">
        <f>IF($B$64&gt;=11,$L67*3.28084,"")</f>
        <v/>
      </c>
      <c r="BS67" s="231" t="str">
        <f>IF($B$64&gt;=12,$M67*3.28084,"")</f>
        <v/>
      </c>
      <c r="BT67" s="216" t="str">
        <f>IF($B$64&gt;=13,$N67*3.28084,"")</f>
        <v/>
      </c>
      <c r="BU67" s="231" t="str">
        <f>IF($B$64&gt;=14,$O67*3.28084,"")</f>
        <v/>
      </c>
      <c r="BV67" s="216" t="str">
        <f>IF($B$64&gt;=15,$P67*3.28084,"")</f>
        <v/>
      </c>
      <c r="BW67" s="228" t="str">
        <f>IF($B$64&gt;=16,$Q67*3.28084,"")</f>
        <v/>
      </c>
      <c r="BX67" s="228" t="str">
        <f>IF($B$64&gt;=17,$R67*3.28084,"")</f>
        <v/>
      </c>
      <c r="BY67" s="228" t="str">
        <f>IF($B$64&gt;=18,$S67*3.28084,"")</f>
        <v/>
      </c>
      <c r="BZ67" s="228" t="str">
        <f>IF($B$64&gt;=19,$T67*3.28084,"")</f>
        <v/>
      </c>
      <c r="CA67" s="228" t="str">
        <f>IF($B$64&gt;=20,$U67*3.28084,"")</f>
        <v/>
      </c>
      <c r="CB67" s="228" t="str">
        <f>IF($B$64&gt;=21,$V67*3.28084,"")</f>
        <v/>
      </c>
      <c r="CC67" s="228" t="str">
        <f>IF($B$64&gt;=22,$W67*3.28084,"")</f>
        <v/>
      </c>
      <c r="CD67" s="216" t="str">
        <f>IF($B$64=23,$X67*3.28084,"")</f>
        <v/>
      </c>
      <c r="CE67" s="372"/>
      <c r="CF67" s="372"/>
      <c r="CG67" s="372"/>
      <c r="CH67" s="372"/>
      <c r="CI67" s="372"/>
      <c r="CJ67" s="372"/>
      <c r="CK67" s="372"/>
    </row>
    <row r="68" spans="1:89" x14ac:dyDescent="0.25">
      <c r="A68" s="45" t="s">
        <v>342</v>
      </c>
      <c r="B68" s="145">
        <v>2.7432000000000003</v>
      </c>
      <c r="C68" s="145">
        <v>5.4864000000000006</v>
      </c>
      <c r="D68" s="158"/>
      <c r="E68" s="145"/>
      <c r="F68" s="158"/>
      <c r="G68" s="145"/>
      <c r="H68" s="158"/>
      <c r="I68" s="145"/>
      <c r="J68" s="145"/>
      <c r="K68" s="145"/>
      <c r="L68" s="158"/>
      <c r="M68" s="145"/>
      <c r="N68" s="158"/>
      <c r="O68" s="145"/>
      <c r="P68" s="158"/>
      <c r="Q68" s="145"/>
      <c r="R68" s="145"/>
      <c r="S68" s="145"/>
      <c r="T68" s="145"/>
      <c r="U68" s="145"/>
      <c r="V68" s="145"/>
      <c r="W68" s="145"/>
      <c r="X68" s="145"/>
      <c r="Y68" s="259"/>
      <c r="Z68" s="2"/>
      <c r="AA68" s="264">
        <v>64</v>
      </c>
      <c r="AB68" s="16" t="str">
        <f t="shared" si="57"/>
        <v/>
      </c>
      <c r="AC68" s="16" t="str">
        <f t="shared" si="58"/>
        <v/>
      </c>
      <c r="AD68" s="16" t="str">
        <f t="shared" si="2"/>
        <v/>
      </c>
      <c r="AE68" s="16" t="str">
        <f t="shared" si="3"/>
        <v/>
      </c>
      <c r="AF68" s="16" t="str">
        <f t="shared" si="4"/>
        <v/>
      </c>
      <c r="AG68" s="16" t="str">
        <f t="shared" si="59"/>
        <v/>
      </c>
      <c r="AH68" s="16" t="str">
        <f t="shared" si="60"/>
        <v/>
      </c>
      <c r="AI68" s="29" t="str">
        <f t="shared" si="7"/>
        <v/>
      </c>
      <c r="AJ68" s="29" t="str">
        <f t="shared" si="8"/>
        <v/>
      </c>
      <c r="AK68" s="2"/>
      <c r="AL68" s="2"/>
      <c r="AM68" s="2"/>
      <c r="AN68" s="2"/>
      <c r="AO68" s="2"/>
      <c r="AP68" s="2"/>
      <c r="AQ68" s="2"/>
      <c r="AR68" s="2"/>
      <c r="AS68" s="2"/>
      <c r="AT68" s="2"/>
      <c r="AU68" s="2"/>
      <c r="AV68" s="2"/>
      <c r="AW68" s="2"/>
      <c r="AX68" s="2"/>
      <c r="AY68" s="2"/>
      <c r="AZ68" s="2"/>
      <c r="BA68" s="2"/>
      <c r="BB68" s="2"/>
      <c r="BC68" s="2"/>
      <c r="BF68" s="2"/>
      <c r="BG68" s="199" t="s">
        <v>199</v>
      </c>
      <c r="BH68" s="217">
        <f>IF($B$64&gt;=1,$B68*3.28084,"")</f>
        <v>9.0000002880000007</v>
      </c>
      <c r="BI68" s="232">
        <f>IF($B$64&gt;=2,$C68*3.28084,"")</f>
        <v>18.000000576000001</v>
      </c>
      <c r="BJ68" s="217" t="str">
        <f>IF($B$64&gt;=3,$D68*3.28084,"")</f>
        <v/>
      </c>
      <c r="BK68" s="232" t="str">
        <f>IF($B$64&gt;=4,$E68*3.28084,"")</f>
        <v/>
      </c>
      <c r="BL68" s="217" t="str">
        <f>IF($B$64&gt;=5,$F68*3.28084,"")</f>
        <v/>
      </c>
      <c r="BM68" s="232" t="str">
        <f>IF($B$64&gt;=6,$G68*3.28084,"")</f>
        <v/>
      </c>
      <c r="BN68" s="217" t="str">
        <f>IF($B$64&gt;=7,$H68*3.28084,"")</f>
        <v/>
      </c>
      <c r="BO68" s="229" t="str">
        <f>IF($B$64&gt;=8,$I68*3.28084,"")</f>
        <v/>
      </c>
      <c r="BP68" s="217" t="str">
        <f>IF($B$64&gt;=9,$J68*3.28084,"")</f>
        <v/>
      </c>
      <c r="BQ68" s="232" t="str">
        <f>IF($B$64&gt;=10,$K68*3.28084,"")</f>
        <v/>
      </c>
      <c r="BR68" s="217" t="str">
        <f>IF($B$64&gt;=11,$L68*3.28084,"")</f>
        <v/>
      </c>
      <c r="BS68" s="232" t="str">
        <f>IF($B$64&gt;=12,$M68*3.28084,"")</f>
        <v/>
      </c>
      <c r="BT68" s="217" t="str">
        <f>IF($B$64&gt;=13,$N68*3.28084,"")</f>
        <v/>
      </c>
      <c r="BU68" s="232" t="str">
        <f>IF($B$64&gt;=14,$O68*3.28084,"")</f>
        <v/>
      </c>
      <c r="BV68" s="217" t="str">
        <f>IF($B$64&gt;=15,$P68*3.28084,"")</f>
        <v/>
      </c>
      <c r="BW68" s="229" t="str">
        <f>IF($B$64&gt;=16,$Q68*3.28084,"")</f>
        <v/>
      </c>
      <c r="BX68" s="229" t="str">
        <f>IF($B$64&gt;=17,$R68*3.28084,"")</f>
        <v/>
      </c>
      <c r="BY68" s="229" t="str">
        <f>IF($B$64&gt;=18,$S68*3.28084,"")</f>
        <v/>
      </c>
      <c r="BZ68" s="229" t="str">
        <f>IF($B$64&gt;=19,$T68*3.28084,"")</f>
        <v/>
      </c>
      <c r="CA68" s="229" t="str">
        <f>IF($B$64&gt;=20,$U68*3.28084,"")</f>
        <v/>
      </c>
      <c r="CB68" s="229" t="str">
        <f>IF($B$64&gt;=21,$V68*3.28084,"")</f>
        <v/>
      </c>
      <c r="CC68" s="229" t="str">
        <f>IF($B$64&gt;=22,$W68*3.28084,"")</f>
        <v/>
      </c>
      <c r="CD68" s="217" t="str">
        <f>IF($B$64=23,$X68*3.28084,"")</f>
        <v/>
      </c>
      <c r="CE68" s="372"/>
      <c r="CF68" s="372"/>
      <c r="CG68" s="372"/>
      <c r="CH68" s="372"/>
      <c r="CI68" s="372"/>
      <c r="CJ68" s="372"/>
      <c r="CK68" s="372"/>
    </row>
    <row r="69" spans="1:89" x14ac:dyDescent="0.25">
      <c r="A69" s="45" t="s">
        <v>343</v>
      </c>
      <c r="B69" s="145">
        <v>1.524</v>
      </c>
      <c r="C69" s="145">
        <v>1.524</v>
      </c>
      <c r="D69" s="158"/>
      <c r="E69" s="145"/>
      <c r="F69" s="158"/>
      <c r="G69" s="145"/>
      <c r="H69" s="158"/>
      <c r="I69" s="145"/>
      <c r="J69" s="145"/>
      <c r="K69" s="145"/>
      <c r="L69" s="158"/>
      <c r="M69" s="145"/>
      <c r="N69" s="158"/>
      <c r="O69" s="145"/>
      <c r="P69" s="158"/>
      <c r="Q69" s="145"/>
      <c r="R69" s="145"/>
      <c r="S69" s="145"/>
      <c r="T69" s="145"/>
      <c r="U69" s="145"/>
      <c r="V69" s="145"/>
      <c r="W69" s="145"/>
      <c r="X69" s="145"/>
      <c r="Y69" s="259"/>
      <c r="Z69" s="2"/>
      <c r="AA69" s="264">
        <v>65</v>
      </c>
      <c r="AB69" s="16" t="str">
        <f t="shared" si="57"/>
        <v/>
      </c>
      <c r="AC69" s="16" t="str">
        <f t="shared" si="58"/>
        <v/>
      </c>
      <c r="AD69" s="16" t="str">
        <f t="shared" ref="AD69:AD132" si="61">IF($C$9&gt;=$AA69,$AB69^2,"")</f>
        <v/>
      </c>
      <c r="AE69" s="16" t="str">
        <f t="shared" ref="AE69:AE132" si="62">IF($C$9&gt;=$AA69,$AC69^2,"")</f>
        <v/>
      </c>
      <c r="AF69" s="16" t="str">
        <f t="shared" ref="AF69:AF132" si="63">IF($C$9&gt;=$AA69,$AB69*$AC69,"")</f>
        <v/>
      </c>
      <c r="AG69" s="16" t="str">
        <f t="shared" si="59"/>
        <v/>
      </c>
      <c r="AH69" s="16" t="str">
        <f t="shared" si="60"/>
        <v/>
      </c>
      <c r="AI69" s="29" t="str">
        <f t="shared" ref="AI69:AI132" si="64">IF($C$9&gt;=$AA69,(-$AF$418/$C$9+($AF$422*$AB$411--$AF$421*$AB$414)/($AB$411*$AB$412-$AB$414^2)*$AG69+(-$AF$421*$AB$412-$AF$422*$AB$414)/($AB$411*$AB$412-$AB$414^2)*$AH69),"")</f>
        <v/>
      </c>
      <c r="AJ69" s="29" t="str">
        <f t="shared" ref="AJ69:AJ132" si="65">IF($C$9&gt;=$AA69,((($AF$419/$C$9+$AF$423*-$AH69/$AB$413)^2+($AF$420/$C$9+$AF$423*$AG69/$AB$413)^2)^(1/2)),"")</f>
        <v/>
      </c>
      <c r="AK69" s="2"/>
      <c r="AL69" s="2"/>
      <c r="AM69" s="2"/>
      <c r="AN69" s="2"/>
      <c r="AO69" s="2"/>
      <c r="AP69" s="2"/>
      <c r="AQ69" s="2"/>
      <c r="AR69" s="2"/>
      <c r="AS69" s="2"/>
      <c r="AT69" s="2"/>
      <c r="AU69" s="2"/>
      <c r="AV69" s="2"/>
      <c r="AW69" s="2"/>
      <c r="AX69" s="2"/>
      <c r="AY69" s="2"/>
      <c r="AZ69" s="2"/>
      <c r="BA69" s="2"/>
      <c r="BB69" s="2"/>
      <c r="BC69" s="2"/>
      <c r="BF69" s="2"/>
      <c r="BG69" s="199" t="s">
        <v>200</v>
      </c>
      <c r="BH69" s="217">
        <f>IF($B$64&gt;=1,$B69*3.28084,"")</f>
        <v>5.0000001599999999</v>
      </c>
      <c r="BI69" s="232">
        <f>IF($B$64&gt;=2,$C69*3.28084,"")</f>
        <v>5.0000001599999999</v>
      </c>
      <c r="BJ69" s="217" t="str">
        <f>IF($B$64&gt;=3,$D69*3.28084,"")</f>
        <v/>
      </c>
      <c r="BK69" s="232" t="str">
        <f>IF($B$64&gt;=4,$E69*3.28084,"")</f>
        <v/>
      </c>
      <c r="BL69" s="217" t="str">
        <f>IF($B$64&gt;=5,$F69*3.28084,"")</f>
        <v/>
      </c>
      <c r="BM69" s="232" t="str">
        <f>IF($B$64&gt;=6,$G69*3.28084,"")</f>
        <v/>
      </c>
      <c r="BN69" s="217" t="str">
        <f>IF($B$64&gt;=7,$H69*3.28084,"")</f>
        <v/>
      </c>
      <c r="BO69" s="229" t="str">
        <f>IF($B$64&gt;=8,$I69*3.28084,"")</f>
        <v/>
      </c>
      <c r="BP69" s="217" t="str">
        <f>IF($B$64&gt;=9,$J69*3.28084,"")</f>
        <v/>
      </c>
      <c r="BQ69" s="232" t="str">
        <f>IF($B$64&gt;=10,$K69*3.28084,"")</f>
        <v/>
      </c>
      <c r="BR69" s="217" t="str">
        <f>IF($B$64&gt;=11,$L69*3.28084,"")</f>
        <v/>
      </c>
      <c r="BS69" s="232" t="str">
        <f>IF($B$64&gt;=12,$M69*3.28084,"")</f>
        <v/>
      </c>
      <c r="BT69" s="217" t="str">
        <f>IF($B$64&gt;=13,$N69*3.28084,"")</f>
        <v/>
      </c>
      <c r="BU69" s="232" t="str">
        <f>IF($B$64&gt;=14,$O69*3.28084,"")</f>
        <v/>
      </c>
      <c r="BV69" s="217" t="str">
        <f>IF($B$64&gt;=15,$P69*3.28084,"")</f>
        <v/>
      </c>
      <c r="BW69" s="229" t="str">
        <f>IF($B$64&gt;=16,$Q69*3.28084,"")</f>
        <v/>
      </c>
      <c r="BX69" s="229" t="str">
        <f>IF($B$64&gt;=17,$R69*3.28084,"")</f>
        <v/>
      </c>
      <c r="BY69" s="229" t="str">
        <f>IF($B$64&gt;=18,$S69*3.28084,"")</f>
        <v/>
      </c>
      <c r="BZ69" s="229" t="str">
        <f>IF($B$64&gt;=19,$T69*3.28084,"")</f>
        <v/>
      </c>
      <c r="CA69" s="229" t="str">
        <f>IF($B$64&gt;=20,$U69*3.28084,"")</f>
        <v/>
      </c>
      <c r="CB69" s="229" t="str">
        <f>IF($B$64&gt;=21,$V69*3.28084,"")</f>
        <v/>
      </c>
      <c r="CC69" s="229" t="str">
        <f>IF($B$64&gt;=22,$W69*3.28084,"")</f>
        <v/>
      </c>
      <c r="CD69" s="217" t="str">
        <f>IF($B$64=23,$X69*3.28084,"")</f>
        <v/>
      </c>
      <c r="CE69" s="372"/>
      <c r="CF69" s="372"/>
      <c r="CG69" s="372"/>
      <c r="CH69" s="372"/>
      <c r="CI69" s="372"/>
      <c r="CJ69" s="372"/>
      <c r="CK69" s="372"/>
    </row>
    <row r="70" spans="1:89" x14ac:dyDescent="0.25">
      <c r="A70" s="45" t="s">
        <v>344</v>
      </c>
      <c r="B70" s="159">
        <v>-6672.3330000000005</v>
      </c>
      <c r="C70" s="159">
        <v>-6672.3330000000005</v>
      </c>
      <c r="D70" s="160"/>
      <c r="E70" s="159"/>
      <c r="F70" s="160"/>
      <c r="G70" s="159"/>
      <c r="H70" s="160"/>
      <c r="I70" s="159"/>
      <c r="J70" s="159"/>
      <c r="K70" s="159"/>
      <c r="L70" s="160"/>
      <c r="M70" s="159"/>
      <c r="N70" s="160"/>
      <c r="O70" s="159"/>
      <c r="P70" s="160"/>
      <c r="Q70" s="159"/>
      <c r="R70" s="159"/>
      <c r="S70" s="159"/>
      <c r="T70" s="159"/>
      <c r="U70" s="159"/>
      <c r="V70" s="159"/>
      <c r="W70" s="159"/>
      <c r="X70" s="159"/>
      <c r="Y70" s="259"/>
      <c r="Z70" s="2"/>
      <c r="AA70" s="264">
        <v>66</v>
      </c>
      <c r="AB70" s="16" t="str">
        <f t="shared" si="57"/>
        <v/>
      </c>
      <c r="AC70" s="16" t="str">
        <f t="shared" si="58"/>
        <v/>
      </c>
      <c r="AD70" s="16" t="str">
        <f t="shared" si="61"/>
        <v/>
      </c>
      <c r="AE70" s="16" t="str">
        <f t="shared" si="62"/>
        <v/>
      </c>
      <c r="AF70" s="16" t="str">
        <f t="shared" si="63"/>
        <v/>
      </c>
      <c r="AG70" s="16" t="str">
        <f t="shared" si="59"/>
        <v/>
      </c>
      <c r="AH70" s="16" t="str">
        <f t="shared" si="60"/>
        <v/>
      </c>
      <c r="AI70" s="29" t="str">
        <f t="shared" si="64"/>
        <v/>
      </c>
      <c r="AJ70" s="29" t="str">
        <f t="shared" si="65"/>
        <v/>
      </c>
      <c r="AK70" s="2"/>
      <c r="AL70" s="2"/>
      <c r="AM70" s="2"/>
      <c r="AN70" s="2"/>
      <c r="AO70" s="2"/>
      <c r="AP70" s="2"/>
      <c r="AQ70" s="2"/>
      <c r="AR70" s="2"/>
      <c r="AS70" s="2"/>
      <c r="AT70" s="2"/>
      <c r="AU70" s="2"/>
      <c r="AV70" s="2"/>
      <c r="AW70" s="2"/>
      <c r="AX70" s="2"/>
      <c r="AY70" s="2"/>
      <c r="AZ70" s="2"/>
      <c r="BA70" s="2"/>
      <c r="BB70" s="2"/>
      <c r="BC70" s="2"/>
      <c r="BF70" s="2"/>
      <c r="BG70" s="199" t="s">
        <v>201</v>
      </c>
      <c r="BH70" s="233">
        <f>IF($B$64&gt;=1,$B70*0.224809,"")</f>
        <v>-1500.0005093970001</v>
      </c>
      <c r="BI70" s="234">
        <f>IF($B$64&gt;=2,$C70*0.224809,"")</f>
        <v>-1500.0005093970001</v>
      </c>
      <c r="BJ70" s="233" t="str">
        <f>IF($B$64&gt;=3,$D70*0.224809,"")</f>
        <v/>
      </c>
      <c r="BK70" s="234" t="str">
        <f>IF($B$64&gt;=4,$E70*0.224809,"")</f>
        <v/>
      </c>
      <c r="BL70" s="233" t="str">
        <f>IF($B$64&gt;=5,$F70*0.224809,"")</f>
        <v/>
      </c>
      <c r="BM70" s="234" t="str">
        <f>IF($B$64&gt;=6,$G70*0.224809,"")</f>
        <v/>
      </c>
      <c r="BN70" s="233" t="str">
        <f>IF($B$64&gt;=7,$H70*0.224809,"")</f>
        <v/>
      </c>
      <c r="BO70" s="235" t="str">
        <f>IF($B$64&gt;=8,$I70*0.224809,"")</f>
        <v/>
      </c>
      <c r="BP70" s="233" t="str">
        <f>IF($B$64&gt;=9,$J70*0.224809,"")</f>
        <v/>
      </c>
      <c r="BQ70" s="234" t="str">
        <f>IF($B$64&gt;=10,$K70*0.224809,"")</f>
        <v/>
      </c>
      <c r="BR70" s="233" t="str">
        <f>IF($B$64&gt;=11,$L70*0.224809,"")</f>
        <v/>
      </c>
      <c r="BS70" s="234" t="str">
        <f>IF($B$64&gt;=12,$M70*0.224809,"")</f>
        <v/>
      </c>
      <c r="BT70" s="233" t="str">
        <f>IF($B$64&gt;=13,$N70*0.224809,"")</f>
        <v/>
      </c>
      <c r="BU70" s="234" t="str">
        <f>IF($B$64&gt;=14,$O70*0.224809,"")</f>
        <v/>
      </c>
      <c r="BV70" s="233" t="str">
        <f>IF($B$64&gt;=15,$P70*0.224809,"")</f>
        <v/>
      </c>
      <c r="BW70" s="235" t="str">
        <f>IF($B$64&gt;=16,$Q70*0.224809,"")</f>
        <v/>
      </c>
      <c r="BX70" s="235" t="str">
        <f>IF($B$64&gt;=17,$R70*0.224809,"")</f>
        <v/>
      </c>
      <c r="BY70" s="235" t="str">
        <f>IF($B$64&gt;=18,$S70*0.224809,"")</f>
        <v/>
      </c>
      <c r="BZ70" s="235" t="str">
        <f>IF($B$64&gt;=19,$T70*0.224809,"")</f>
        <v/>
      </c>
      <c r="CA70" s="235" t="str">
        <f>IF($B$64&gt;=20,$U70*0.224809,"")</f>
        <v/>
      </c>
      <c r="CB70" s="235" t="str">
        <f>IF($B$64&gt;=21,$V70*0.224809,"")</f>
        <v/>
      </c>
      <c r="CC70" s="235" t="str">
        <f>IF($B$64&gt;=22,$W70*0.224809,"")</f>
        <v/>
      </c>
      <c r="CD70" s="233" t="str">
        <f>IF($B$64=23,$X70*0.224809,"")</f>
        <v/>
      </c>
      <c r="CE70" s="373"/>
      <c r="CF70" s="373"/>
      <c r="CG70" s="373"/>
      <c r="CH70" s="373"/>
      <c r="CI70" s="373"/>
      <c r="CJ70" s="373"/>
      <c r="CK70" s="373"/>
    </row>
    <row r="71" spans="1:89" x14ac:dyDescent="0.25">
      <c r="A71" s="45" t="s">
        <v>345</v>
      </c>
      <c r="B71" s="159">
        <v>-88.96444000000001</v>
      </c>
      <c r="C71" s="159">
        <v>-88.96444000000001</v>
      </c>
      <c r="D71" s="160"/>
      <c r="E71" s="159"/>
      <c r="F71" s="160"/>
      <c r="G71" s="159"/>
      <c r="H71" s="160"/>
      <c r="I71" s="159"/>
      <c r="J71" s="159"/>
      <c r="K71" s="159"/>
      <c r="L71" s="160"/>
      <c r="M71" s="159"/>
      <c r="N71" s="160"/>
      <c r="O71" s="159"/>
      <c r="P71" s="160"/>
      <c r="Q71" s="159"/>
      <c r="R71" s="159"/>
      <c r="S71" s="159"/>
      <c r="T71" s="159"/>
      <c r="U71" s="159"/>
      <c r="V71" s="159"/>
      <c r="W71" s="159"/>
      <c r="X71" s="159"/>
      <c r="Y71" s="259"/>
      <c r="Z71" s="2"/>
      <c r="AA71" s="264">
        <v>67</v>
      </c>
      <c r="AB71" s="16" t="str">
        <f t="shared" si="57"/>
        <v/>
      </c>
      <c r="AC71" s="16" t="str">
        <f t="shared" si="58"/>
        <v/>
      </c>
      <c r="AD71" s="16" t="str">
        <f t="shared" si="61"/>
        <v/>
      </c>
      <c r="AE71" s="16" t="str">
        <f t="shared" si="62"/>
        <v/>
      </c>
      <c r="AF71" s="16" t="str">
        <f t="shared" si="63"/>
        <v/>
      </c>
      <c r="AG71" s="16" t="str">
        <f t="shared" si="59"/>
        <v/>
      </c>
      <c r="AH71" s="16" t="str">
        <f t="shared" si="60"/>
        <v/>
      </c>
      <c r="AI71" s="29" t="str">
        <f t="shared" si="64"/>
        <v/>
      </c>
      <c r="AJ71" s="29" t="str">
        <f t="shared" si="65"/>
        <v/>
      </c>
      <c r="AK71" s="2"/>
      <c r="AL71" s="2"/>
      <c r="AM71" s="2"/>
      <c r="AN71" s="2"/>
      <c r="AO71" s="2"/>
      <c r="AP71" s="2"/>
      <c r="AQ71" s="2"/>
      <c r="AR71" s="2"/>
      <c r="AS71" s="2"/>
      <c r="AT71" s="2"/>
      <c r="AU71" s="2"/>
      <c r="AV71" s="2"/>
      <c r="AW71" s="2"/>
      <c r="AX71" s="2"/>
      <c r="AY71" s="2"/>
      <c r="AZ71" s="2"/>
      <c r="BA71" s="2"/>
      <c r="BB71" s="2"/>
      <c r="BC71" s="2"/>
      <c r="BF71" s="2"/>
      <c r="BG71" s="199" t="s">
        <v>202</v>
      </c>
      <c r="BH71" s="233">
        <f>IF($B$64&gt;=1,$B71*0.224809,"")</f>
        <v>-20.000006791960004</v>
      </c>
      <c r="BI71" s="234">
        <f>IF($B$64&gt;=2,$C71*0.224809,"")</f>
        <v>-20.000006791960004</v>
      </c>
      <c r="BJ71" s="233" t="str">
        <f>IF($B$64&gt;=3,$D71*0.224809,"")</f>
        <v/>
      </c>
      <c r="BK71" s="234" t="str">
        <f>IF($B$64&gt;=4,$E71*0.224809,"")</f>
        <v/>
      </c>
      <c r="BL71" s="233" t="str">
        <f>IF($B$64&gt;=5,$F71*0.224809,"")</f>
        <v/>
      </c>
      <c r="BM71" s="234" t="str">
        <f>IF($B$64&gt;=6,$G71*0.224809,"")</f>
        <v/>
      </c>
      <c r="BN71" s="233" t="str">
        <f>IF($B$64&gt;=7,$H71*0.224809,"")</f>
        <v/>
      </c>
      <c r="BO71" s="235" t="str">
        <f>IF($B$64&gt;=8,$I71*0.224809,"")</f>
        <v/>
      </c>
      <c r="BP71" s="233" t="str">
        <f>IF($B$64&gt;=9,$J71*0.224809,"")</f>
        <v/>
      </c>
      <c r="BQ71" s="234" t="str">
        <f>IF($B$64&gt;=10,$K71*0.224809,"")</f>
        <v/>
      </c>
      <c r="BR71" s="233" t="str">
        <f>IF($B$64&gt;=11,$L71*0.224809,"")</f>
        <v/>
      </c>
      <c r="BS71" s="234" t="str">
        <f>IF($B$64&gt;=12,$M71*0.224809,"")</f>
        <v/>
      </c>
      <c r="BT71" s="233" t="str">
        <f>IF($B$64&gt;=13,$N71*0.224809,"")</f>
        <v/>
      </c>
      <c r="BU71" s="234" t="str">
        <f>IF($B$64&gt;=14,$O71*0.224809,"")</f>
        <v/>
      </c>
      <c r="BV71" s="233" t="str">
        <f>IF($B$64&gt;=15,$P71*0.224809,"")</f>
        <v/>
      </c>
      <c r="BW71" s="235" t="str">
        <f>IF($B$64&gt;=16,$Q71*0.224809,"")</f>
        <v/>
      </c>
      <c r="BX71" s="235" t="str">
        <f>IF($B$64&gt;=17,$R71*0.224809,"")</f>
        <v/>
      </c>
      <c r="BY71" s="235" t="str">
        <f>IF($B$64&gt;=18,$S71*0.224809,"")</f>
        <v/>
      </c>
      <c r="BZ71" s="235" t="str">
        <f>IF($B$64&gt;=19,$T71*0.224809,"")</f>
        <v/>
      </c>
      <c r="CA71" s="235" t="str">
        <f>IF($B$64&gt;=20,$U71*0.224809,"")</f>
        <v/>
      </c>
      <c r="CB71" s="235" t="str">
        <f>IF($B$64&gt;=21,$V71*0.224809,"")</f>
        <v/>
      </c>
      <c r="CC71" s="235" t="str">
        <f>IF($B$64&gt;=22,$W71*0.224809,"")</f>
        <v/>
      </c>
      <c r="CD71" s="233" t="str">
        <f>IF($B$64=23,$X71*0.224809,"")</f>
        <v/>
      </c>
      <c r="CE71" s="373"/>
      <c r="CF71" s="373"/>
      <c r="CG71" s="373"/>
      <c r="CH71" s="373"/>
      <c r="CI71" s="373"/>
      <c r="CJ71" s="373"/>
      <c r="CK71" s="373"/>
    </row>
    <row r="72" spans="1:89" x14ac:dyDescent="0.25">
      <c r="A72" s="45" t="s">
        <v>346</v>
      </c>
      <c r="B72" s="159">
        <v>-133.44666000000001</v>
      </c>
      <c r="C72" s="159">
        <v>-133.44666000000001</v>
      </c>
      <c r="D72" s="160"/>
      <c r="E72" s="159"/>
      <c r="F72" s="160"/>
      <c r="G72" s="159"/>
      <c r="H72" s="160"/>
      <c r="I72" s="159"/>
      <c r="J72" s="159"/>
      <c r="K72" s="159"/>
      <c r="L72" s="160"/>
      <c r="M72" s="159"/>
      <c r="N72" s="160"/>
      <c r="O72" s="159"/>
      <c r="P72" s="160"/>
      <c r="Q72" s="159"/>
      <c r="R72" s="159"/>
      <c r="S72" s="159"/>
      <c r="T72" s="159"/>
      <c r="U72" s="159"/>
      <c r="V72" s="159"/>
      <c r="W72" s="159"/>
      <c r="X72" s="159"/>
      <c r="Y72" s="259"/>
      <c r="Z72" s="2"/>
      <c r="AA72" s="264">
        <v>68</v>
      </c>
      <c r="AB72" s="16" t="str">
        <f t="shared" si="57"/>
        <v/>
      </c>
      <c r="AC72" s="16" t="str">
        <f t="shared" si="58"/>
        <v/>
      </c>
      <c r="AD72" s="16" t="str">
        <f t="shared" si="61"/>
        <v/>
      </c>
      <c r="AE72" s="16" t="str">
        <f t="shared" si="62"/>
        <v/>
      </c>
      <c r="AF72" s="16" t="str">
        <f t="shared" si="63"/>
        <v/>
      </c>
      <c r="AG72" s="16" t="str">
        <f t="shared" si="59"/>
        <v/>
      </c>
      <c r="AH72" s="16" t="str">
        <f t="shared" si="60"/>
        <v/>
      </c>
      <c r="AI72" s="29" t="str">
        <f t="shared" si="64"/>
        <v/>
      </c>
      <c r="AJ72" s="29" t="str">
        <f t="shared" si="65"/>
        <v/>
      </c>
      <c r="AK72" s="2"/>
      <c r="AL72" s="2"/>
      <c r="AM72" s="2"/>
      <c r="AN72" s="2"/>
      <c r="AO72" s="2"/>
      <c r="AP72" s="2"/>
      <c r="AQ72" s="2"/>
      <c r="AR72" s="2"/>
      <c r="AS72" s="2"/>
      <c r="AT72" s="2"/>
      <c r="AU72" s="2"/>
      <c r="AV72" s="2"/>
      <c r="AW72" s="2"/>
      <c r="AX72" s="2"/>
      <c r="AY72" s="2"/>
      <c r="AZ72" s="2"/>
      <c r="BA72" s="2"/>
      <c r="BB72" s="2"/>
      <c r="BC72" s="2"/>
      <c r="BF72" s="2"/>
      <c r="BG72" s="199" t="s">
        <v>203</v>
      </c>
      <c r="BH72" s="233">
        <f>IF($B$64&gt;=1,$B72*0.224809,"")</f>
        <v>-30.000010187940003</v>
      </c>
      <c r="BI72" s="234">
        <f>IF($B$64&gt;=2,$C72*0.224809,"")</f>
        <v>-30.000010187940003</v>
      </c>
      <c r="BJ72" s="233" t="str">
        <f>IF($B$64&gt;=3,$D72*0.224809,"")</f>
        <v/>
      </c>
      <c r="BK72" s="234" t="str">
        <f>IF($B$64&gt;=4,$E72*0.224809,"")</f>
        <v/>
      </c>
      <c r="BL72" s="233" t="str">
        <f>IF($B$64&gt;=5,$F72*0.224809,"")</f>
        <v/>
      </c>
      <c r="BM72" s="234" t="str">
        <f>IF($B$64&gt;=6,$G72*0.224809,"")</f>
        <v/>
      </c>
      <c r="BN72" s="233" t="str">
        <f>IF($B$64&gt;=7,$H72*0.224809,"")</f>
        <v/>
      </c>
      <c r="BO72" s="235" t="str">
        <f>IF($B$64&gt;=8,$I72*0.224809,"")</f>
        <v/>
      </c>
      <c r="BP72" s="233" t="str">
        <f>IF($B$64&gt;=9,$J72*0.224809,"")</f>
        <v/>
      </c>
      <c r="BQ72" s="234" t="str">
        <f>IF($B$64&gt;=10,$K72*0.224809,"")</f>
        <v/>
      </c>
      <c r="BR72" s="233" t="str">
        <f>IF($B$64&gt;=11,$L72*0.224809,"")</f>
        <v/>
      </c>
      <c r="BS72" s="234" t="str">
        <f>IF($B$64&gt;=12,$M72*0.224809,"")</f>
        <v/>
      </c>
      <c r="BT72" s="233" t="str">
        <f>IF($B$64&gt;=13,$N72*0.224809,"")</f>
        <v/>
      </c>
      <c r="BU72" s="234" t="str">
        <f>IF($B$64&gt;=14,$O72*0.224809,"")</f>
        <v/>
      </c>
      <c r="BV72" s="233" t="str">
        <f>IF($B$64&gt;=15,$P72*0.224809,"")</f>
        <v/>
      </c>
      <c r="BW72" s="235" t="str">
        <f>IF($B$64&gt;=16,$Q72*0.224809,"")</f>
        <v/>
      </c>
      <c r="BX72" s="235" t="str">
        <f>IF($B$64&gt;=17,$R72*0.224809,"")</f>
        <v/>
      </c>
      <c r="BY72" s="235" t="str">
        <f>IF($B$64&gt;=18,$S72*0.224809,"")</f>
        <v/>
      </c>
      <c r="BZ72" s="235" t="str">
        <f>IF($B$64&gt;=19,$T72*0.224809,"")</f>
        <v/>
      </c>
      <c r="CA72" s="235" t="str">
        <f>IF($B$64&gt;=20,$U72*0.224809,"")</f>
        <v/>
      </c>
      <c r="CB72" s="235" t="str">
        <f>IF($B$64&gt;=21,$V72*0.224809,"")</f>
        <v/>
      </c>
      <c r="CC72" s="235" t="str">
        <f>IF($B$64&gt;=22,$W72*0.224809,"")</f>
        <v/>
      </c>
      <c r="CD72" s="233" t="str">
        <f>IF($B$64=23,$X72*0.224809,"")</f>
        <v/>
      </c>
      <c r="CE72" s="373"/>
      <c r="CF72" s="373"/>
      <c r="CG72" s="373"/>
      <c r="CH72" s="373"/>
      <c r="CI72" s="373"/>
      <c r="CJ72" s="373"/>
      <c r="CK72" s="373"/>
    </row>
    <row r="73" spans="1:89" x14ac:dyDescent="0.25">
      <c r="A73" s="45" t="s">
        <v>347</v>
      </c>
      <c r="B73" s="159">
        <v>135.58179999999999</v>
      </c>
      <c r="C73" s="159">
        <v>135.58179999999999</v>
      </c>
      <c r="D73" s="160"/>
      <c r="E73" s="159"/>
      <c r="F73" s="160"/>
      <c r="G73" s="159"/>
      <c r="H73" s="160"/>
      <c r="I73" s="159"/>
      <c r="J73" s="159"/>
      <c r="K73" s="159"/>
      <c r="L73" s="160"/>
      <c r="M73" s="159"/>
      <c r="N73" s="160"/>
      <c r="O73" s="159"/>
      <c r="P73" s="160"/>
      <c r="Q73" s="159"/>
      <c r="R73" s="159"/>
      <c r="S73" s="159"/>
      <c r="T73" s="159"/>
      <c r="U73" s="159"/>
      <c r="V73" s="159"/>
      <c r="W73" s="159"/>
      <c r="X73" s="159"/>
      <c r="Y73" s="259"/>
      <c r="Z73" s="2"/>
      <c r="AA73" s="264">
        <v>69</v>
      </c>
      <c r="AB73" s="16" t="str">
        <f t="shared" si="57"/>
        <v/>
      </c>
      <c r="AC73" s="16" t="str">
        <f t="shared" si="58"/>
        <v/>
      </c>
      <c r="AD73" s="16" t="str">
        <f t="shared" si="61"/>
        <v/>
      </c>
      <c r="AE73" s="16" t="str">
        <f t="shared" si="62"/>
        <v/>
      </c>
      <c r="AF73" s="16" t="str">
        <f t="shared" si="63"/>
        <v/>
      </c>
      <c r="AG73" s="16" t="str">
        <f t="shared" si="59"/>
        <v/>
      </c>
      <c r="AH73" s="16" t="str">
        <f t="shared" si="60"/>
        <v/>
      </c>
      <c r="AI73" s="29" t="str">
        <f t="shared" si="64"/>
        <v/>
      </c>
      <c r="AJ73" s="29" t="str">
        <f t="shared" si="65"/>
        <v/>
      </c>
      <c r="AK73" s="2"/>
      <c r="AL73" s="2"/>
      <c r="AM73" s="2"/>
      <c r="AN73" s="2"/>
      <c r="AO73" s="2"/>
      <c r="AP73" s="2"/>
      <c r="AQ73" s="2"/>
      <c r="AR73" s="2"/>
      <c r="AS73" s="2"/>
      <c r="AT73" s="2"/>
      <c r="AU73" s="2"/>
      <c r="AV73" s="2"/>
      <c r="AW73" s="2"/>
      <c r="AX73" s="2"/>
      <c r="AY73" s="2"/>
      <c r="AZ73" s="2"/>
      <c r="BA73" s="2"/>
      <c r="BB73" s="2"/>
      <c r="BC73" s="2"/>
      <c r="BF73" s="2"/>
      <c r="BG73" s="199" t="s">
        <v>204</v>
      </c>
      <c r="BH73" s="233">
        <f>IF($B$64&gt;=1,$B73*0.737562,"")</f>
        <v>99.999983571599998</v>
      </c>
      <c r="BI73" s="234">
        <f>IF($B$64&gt;=2,$C73*0.737562,"")</f>
        <v>99.999983571599998</v>
      </c>
      <c r="BJ73" s="233" t="str">
        <f>IF($B$64&gt;=3,$D73*0.737562,"")</f>
        <v/>
      </c>
      <c r="BK73" s="234" t="str">
        <f>IF($B$64&gt;=4,$E73*0.737562,"")</f>
        <v/>
      </c>
      <c r="BL73" s="233" t="str">
        <f>IF($B$64&gt;=5,$F73*0.737562,"")</f>
        <v/>
      </c>
      <c r="BM73" s="234" t="str">
        <f>IF($B$64&gt;=6,$G73*0.737562,"")</f>
        <v/>
      </c>
      <c r="BN73" s="233" t="str">
        <f>IF($B$64&gt;=7,$H73*0.737562,"")</f>
        <v/>
      </c>
      <c r="BO73" s="235" t="str">
        <f>IF($B$64&gt;=8,$I73*0.737562,"")</f>
        <v/>
      </c>
      <c r="BP73" s="233" t="str">
        <f>IF($B$64&gt;=9,$J73*0.737562,"")</f>
        <v/>
      </c>
      <c r="BQ73" s="234" t="str">
        <f>IF($B$64&gt;=10,$K73*0.737562,"")</f>
        <v/>
      </c>
      <c r="BR73" s="233" t="str">
        <f>IF($B$64&gt;=11,$L73*0.737562,"")</f>
        <v/>
      </c>
      <c r="BS73" s="234" t="str">
        <f>IF($B$64&gt;=12,$M73*0.737562,"")</f>
        <v/>
      </c>
      <c r="BT73" s="233" t="str">
        <f>IF($B$64&gt;=13,$N73*0.737562,"")</f>
        <v/>
      </c>
      <c r="BU73" s="234" t="str">
        <f>IF($B$64&gt;=14,$O73*0.737562,"")</f>
        <v/>
      </c>
      <c r="BV73" s="233" t="str">
        <f>IF($B$64&gt;=15,$P73*0.737562,"")</f>
        <v/>
      </c>
      <c r="BW73" s="235" t="str">
        <f>IF($B$64&gt;=16,$Q73*0.737562,"")</f>
        <v/>
      </c>
      <c r="BX73" s="235" t="str">
        <f>IF($B$64&gt;=17,$R73*0.737562,"")</f>
        <v/>
      </c>
      <c r="BY73" s="235" t="str">
        <f>IF($B$64&gt;=18,$S73*0.737562,"")</f>
        <v/>
      </c>
      <c r="BZ73" s="235" t="str">
        <f>IF($B$64&gt;=19,$T73*0.737562,"")</f>
        <v/>
      </c>
      <c r="CA73" s="235" t="str">
        <f>IF($B$64&gt;=20,$U73*0.737562,"")</f>
        <v/>
      </c>
      <c r="CB73" s="235" t="str">
        <f>IF($B$64&gt;=21,$V73*0.737562,"")</f>
        <v/>
      </c>
      <c r="CC73" s="235" t="str">
        <f>IF($B$64&gt;=22,$W73*0.737562,"")</f>
        <v/>
      </c>
      <c r="CD73" s="233" t="str">
        <f>IF($B$64=23,$X73*0.737562,"")</f>
        <v/>
      </c>
      <c r="CE73" s="373"/>
      <c r="CF73" s="373"/>
      <c r="CG73" s="373"/>
      <c r="CH73" s="373"/>
      <c r="CI73" s="373"/>
      <c r="CJ73" s="373"/>
      <c r="CK73" s="373"/>
    </row>
    <row r="74" spans="1:89" x14ac:dyDescent="0.25">
      <c r="A74" s="45" t="s">
        <v>348</v>
      </c>
      <c r="B74" s="159">
        <v>-203.37270000000001</v>
      </c>
      <c r="C74" s="159">
        <v>-203.37270000000001</v>
      </c>
      <c r="D74" s="160"/>
      <c r="E74" s="159"/>
      <c r="F74" s="160"/>
      <c r="G74" s="159"/>
      <c r="H74" s="160"/>
      <c r="I74" s="159"/>
      <c r="J74" s="159"/>
      <c r="K74" s="159"/>
      <c r="L74" s="160"/>
      <c r="M74" s="159"/>
      <c r="N74" s="160"/>
      <c r="O74" s="159"/>
      <c r="P74" s="160"/>
      <c r="Q74" s="159"/>
      <c r="R74" s="159"/>
      <c r="S74" s="159"/>
      <c r="T74" s="159"/>
      <c r="U74" s="159"/>
      <c r="V74" s="159"/>
      <c r="W74" s="159"/>
      <c r="X74" s="159"/>
      <c r="Y74" s="259"/>
      <c r="Z74" s="2"/>
      <c r="AA74" s="264">
        <v>70</v>
      </c>
      <c r="AB74" s="16" t="str">
        <f t="shared" si="57"/>
        <v/>
      </c>
      <c r="AC74" s="16" t="str">
        <f t="shared" si="58"/>
        <v/>
      </c>
      <c r="AD74" s="16" t="str">
        <f t="shared" si="61"/>
        <v/>
      </c>
      <c r="AE74" s="16" t="str">
        <f t="shared" si="62"/>
        <v/>
      </c>
      <c r="AF74" s="16" t="str">
        <f t="shared" si="63"/>
        <v/>
      </c>
      <c r="AG74" s="16" t="str">
        <f t="shared" si="59"/>
        <v/>
      </c>
      <c r="AH74" s="16" t="str">
        <f t="shared" si="60"/>
        <v/>
      </c>
      <c r="AI74" s="29" t="str">
        <f t="shared" si="64"/>
        <v/>
      </c>
      <c r="AJ74" s="29" t="str">
        <f t="shared" si="65"/>
        <v/>
      </c>
      <c r="AK74" s="2"/>
      <c r="AL74" s="2"/>
      <c r="AM74" s="2"/>
      <c r="AN74" s="2"/>
      <c r="AO74" s="2"/>
      <c r="AP74" s="2"/>
      <c r="AQ74" s="2"/>
      <c r="AR74" s="2"/>
      <c r="AS74" s="2"/>
      <c r="AT74" s="2"/>
      <c r="AU74" s="2"/>
      <c r="AV74" s="2"/>
      <c r="AW74" s="2"/>
      <c r="AX74" s="2"/>
      <c r="AY74" s="2"/>
      <c r="AZ74" s="2"/>
      <c r="BA74" s="2"/>
      <c r="BB74" s="2"/>
      <c r="BC74" s="2"/>
      <c r="BF74" s="2"/>
      <c r="BG74" s="199" t="s">
        <v>205</v>
      </c>
      <c r="BH74" s="233">
        <f>IF($B$64&gt;=1,$B74*0.737562,"")</f>
        <v>-149.99997535740002</v>
      </c>
      <c r="BI74" s="234">
        <f>IF($B$64&gt;=2,$C74*0.737562,"")</f>
        <v>-149.99997535740002</v>
      </c>
      <c r="BJ74" s="233" t="str">
        <f>IF($B$64&gt;=3,$D74*0.737562,"")</f>
        <v/>
      </c>
      <c r="BK74" s="234" t="str">
        <f>IF($B$64&gt;=4,$E74*0.737562,"")</f>
        <v/>
      </c>
      <c r="BL74" s="233" t="str">
        <f>IF($B$64&gt;=5,$F74*0.737562,"")</f>
        <v/>
      </c>
      <c r="BM74" s="234" t="str">
        <f>IF($B$64&gt;=6,$G74*0.737562,"")</f>
        <v/>
      </c>
      <c r="BN74" s="233" t="str">
        <f>IF($B$64&gt;=7,$H74*0.737562,"")</f>
        <v/>
      </c>
      <c r="BO74" s="235" t="str">
        <f>IF($B$64&gt;=8,$I74*0.737562,"")</f>
        <v/>
      </c>
      <c r="BP74" s="233" t="str">
        <f>IF($B$64&gt;=9,$J74*0.737562,"")</f>
        <v/>
      </c>
      <c r="BQ74" s="234" t="str">
        <f>IF($B$64&gt;=10,$K74*0.737562,"")</f>
        <v/>
      </c>
      <c r="BR74" s="233" t="str">
        <f>IF($B$64&gt;=11,$L74*0.737562,"")</f>
        <v/>
      </c>
      <c r="BS74" s="234" t="str">
        <f>IF($B$64&gt;=12,$M74*0.737562,"")</f>
        <v/>
      </c>
      <c r="BT74" s="233" t="str">
        <f>IF($B$64&gt;=13,$N74*0.737562,"")</f>
        <v/>
      </c>
      <c r="BU74" s="234" t="str">
        <f>IF($B$64&gt;=14,$O74*0.737562,"")</f>
        <v/>
      </c>
      <c r="BV74" s="233" t="str">
        <f>IF($B$64&gt;=15,$P74*0.737562,"")</f>
        <v/>
      </c>
      <c r="BW74" s="235" t="str">
        <f>IF($B$64&gt;=16,$Q74*0.737562,"")</f>
        <v/>
      </c>
      <c r="BX74" s="235" t="str">
        <f>IF($B$64&gt;=17,$R74*0.737562,"")</f>
        <v/>
      </c>
      <c r="BY74" s="235" t="str">
        <f>IF($B$64&gt;=18,$S74*0.737562,"")</f>
        <v/>
      </c>
      <c r="BZ74" s="235" t="str">
        <f>IF($B$64&gt;=19,$T74*0.737562,"")</f>
        <v/>
      </c>
      <c r="CA74" s="235" t="str">
        <f>IF($B$64&gt;=20,$U74*0.737562,"")</f>
        <v/>
      </c>
      <c r="CB74" s="235" t="str">
        <f>IF($B$64&gt;=21,$V74*0.737562,"")</f>
        <v/>
      </c>
      <c r="CC74" s="235" t="str">
        <f>IF($B$64&gt;=22,$W74*0.737562,"")</f>
        <v/>
      </c>
      <c r="CD74" s="233" t="str">
        <f>IF($B$64=23,$X74*0.737562,"")</f>
        <v/>
      </c>
      <c r="CE74" s="373"/>
      <c r="CF74" s="373"/>
      <c r="CG74" s="373"/>
      <c r="CH74" s="373"/>
      <c r="CI74" s="373"/>
      <c r="CJ74" s="373"/>
      <c r="CK74" s="373"/>
    </row>
    <row r="75" spans="1:89" x14ac:dyDescent="0.25">
      <c r="A75" s="45" t="s">
        <v>349</v>
      </c>
      <c r="B75" s="162">
        <v>0</v>
      </c>
      <c r="C75" s="162">
        <v>0</v>
      </c>
      <c r="D75" s="163"/>
      <c r="E75" s="162"/>
      <c r="F75" s="163"/>
      <c r="G75" s="162"/>
      <c r="H75" s="163"/>
      <c r="I75" s="162"/>
      <c r="J75" s="162"/>
      <c r="K75" s="162"/>
      <c r="L75" s="163"/>
      <c r="M75" s="162"/>
      <c r="N75" s="163"/>
      <c r="O75" s="162"/>
      <c r="P75" s="163"/>
      <c r="Q75" s="162"/>
      <c r="R75" s="162"/>
      <c r="S75" s="162"/>
      <c r="T75" s="162"/>
      <c r="U75" s="162"/>
      <c r="V75" s="162"/>
      <c r="W75" s="162"/>
      <c r="X75" s="162"/>
      <c r="Y75" s="259"/>
      <c r="Z75" s="2"/>
      <c r="AA75" s="264">
        <v>71</v>
      </c>
      <c r="AB75" s="16" t="str">
        <f t="shared" si="57"/>
        <v/>
      </c>
      <c r="AC75" s="16" t="str">
        <f t="shared" si="58"/>
        <v/>
      </c>
      <c r="AD75" s="16" t="str">
        <f t="shared" si="61"/>
        <v/>
      </c>
      <c r="AE75" s="16" t="str">
        <f t="shared" si="62"/>
        <v/>
      </c>
      <c r="AF75" s="16" t="str">
        <f t="shared" si="63"/>
        <v/>
      </c>
      <c r="AG75" s="16" t="str">
        <f t="shared" si="59"/>
        <v/>
      </c>
      <c r="AH75" s="16" t="str">
        <f t="shared" si="60"/>
        <v/>
      </c>
      <c r="AI75" s="29" t="str">
        <f t="shared" si="64"/>
        <v/>
      </c>
      <c r="AJ75" s="29" t="str">
        <f t="shared" si="65"/>
        <v/>
      </c>
      <c r="AK75" s="2"/>
      <c r="AL75" s="2"/>
      <c r="AM75" s="2"/>
      <c r="AN75" s="2"/>
      <c r="AO75" s="2"/>
      <c r="AP75" s="2"/>
      <c r="AQ75" s="2"/>
      <c r="AR75" s="2"/>
      <c r="AS75" s="2"/>
      <c r="AT75" s="2"/>
      <c r="AU75" s="2"/>
      <c r="AV75" s="2"/>
      <c r="AW75" s="2"/>
      <c r="AX75" s="2"/>
      <c r="AY75" s="2"/>
      <c r="AZ75" s="2"/>
      <c r="BA75" s="2"/>
      <c r="BB75" s="2"/>
      <c r="BC75" s="2"/>
      <c r="BF75" s="2"/>
      <c r="BG75" s="199" t="s">
        <v>206</v>
      </c>
      <c r="BH75" s="236">
        <f>IF($B$64&gt;=1,$B75*0.737562,"")</f>
        <v>0</v>
      </c>
      <c r="BI75" s="237">
        <f>IF($B$64&gt;=2,$C75*0.737562,"")</f>
        <v>0</v>
      </c>
      <c r="BJ75" s="236" t="str">
        <f>IF($B$64&gt;=3,$D75*0.737562,"")</f>
        <v/>
      </c>
      <c r="BK75" s="237" t="str">
        <f>IF($B$64&gt;=4,$E75*0.737562,"")</f>
        <v/>
      </c>
      <c r="BL75" s="236" t="str">
        <f>IF($B$64&gt;=5,$F75*0.737562,"")</f>
        <v/>
      </c>
      <c r="BM75" s="237" t="str">
        <f>IF($B$64&gt;=6,$G75*0.737562,"")</f>
        <v/>
      </c>
      <c r="BN75" s="236" t="str">
        <f>IF($B$64&gt;=7,$H75*0.737562,"")</f>
        <v/>
      </c>
      <c r="BO75" s="238" t="str">
        <f>IF($B$64&gt;=8,$I75*0.737562,"")</f>
        <v/>
      </c>
      <c r="BP75" s="236" t="str">
        <f>IF($B$64&gt;=9,$J75*0.737562,"")</f>
        <v/>
      </c>
      <c r="BQ75" s="237" t="str">
        <f>IF($B$64&gt;=10,$K75*0.737562,"")</f>
        <v/>
      </c>
      <c r="BR75" s="236" t="str">
        <f>IF($B$64&gt;=11,$L75*0.737562,"")</f>
        <v/>
      </c>
      <c r="BS75" s="237" t="str">
        <f>IF($B$64&gt;=12,$M75*0.737562,"")</f>
        <v/>
      </c>
      <c r="BT75" s="236" t="str">
        <f>IF($B$64&gt;=13,$N75*0.737562,"")</f>
        <v/>
      </c>
      <c r="BU75" s="237" t="str">
        <f>IF($B$64&gt;=14,$O75*0.737562,"")</f>
        <v/>
      </c>
      <c r="BV75" s="236" t="str">
        <f>IF($B$64&gt;=15,$P75*0.737562,"")</f>
        <v/>
      </c>
      <c r="BW75" s="238" t="str">
        <f>IF($B$64&gt;=16,$Q75*0.737562,"")</f>
        <v/>
      </c>
      <c r="BX75" s="238" t="str">
        <f>IF($B$64&gt;=17,$R75*0.737562,"")</f>
        <v/>
      </c>
      <c r="BY75" s="238" t="str">
        <f>IF($B$64&gt;=18,$S75*0.737562,"")</f>
        <v/>
      </c>
      <c r="BZ75" s="238" t="str">
        <f>IF($B$64&gt;=19,$T75*0.737562,"")</f>
        <v/>
      </c>
      <c r="CA75" s="238" t="str">
        <f>IF($B$64&gt;=20,$U75*0.737562,"")</f>
        <v/>
      </c>
      <c r="CB75" s="238" t="str">
        <f>IF($B$64&gt;=21,$V75*0.737562,"")</f>
        <v/>
      </c>
      <c r="CC75" s="238" t="str">
        <f>IF($B$64&gt;=22,$W75*0.737562,"")</f>
        <v/>
      </c>
      <c r="CD75" s="236" t="str">
        <f>IF($B$64=23,$X75*0.737562,"")</f>
        <v/>
      </c>
      <c r="CE75" s="373"/>
      <c r="CF75" s="373"/>
      <c r="CG75" s="373"/>
      <c r="CH75" s="373"/>
      <c r="CI75" s="373"/>
      <c r="CJ75" s="373"/>
      <c r="CK75" s="373"/>
    </row>
    <row r="76" spans="1:89" x14ac:dyDescent="0.25">
      <c r="A76" s="48"/>
      <c r="B76" s="54"/>
      <c r="C76" s="54"/>
      <c r="D76" s="54"/>
      <c r="E76" s="54"/>
      <c r="F76" s="54"/>
      <c r="G76" s="54"/>
      <c r="H76" s="54"/>
      <c r="I76" s="267"/>
      <c r="J76" s="2"/>
      <c r="K76" s="2"/>
      <c r="L76" s="2"/>
      <c r="M76" s="2"/>
      <c r="N76" s="2"/>
      <c r="O76" s="2"/>
      <c r="P76" s="2"/>
      <c r="Q76" s="2"/>
      <c r="R76" s="2"/>
      <c r="S76" s="2"/>
      <c r="T76" s="2"/>
      <c r="U76" s="2"/>
      <c r="V76" s="2"/>
      <c r="W76" s="2"/>
      <c r="X76" s="2"/>
      <c r="Y76" s="259"/>
      <c r="Z76" s="2"/>
      <c r="AA76" s="264">
        <v>72</v>
      </c>
      <c r="AB76" s="16" t="str">
        <f t="shared" si="57"/>
        <v/>
      </c>
      <c r="AC76" s="16" t="str">
        <f t="shared" si="58"/>
        <v/>
      </c>
      <c r="AD76" s="16" t="str">
        <f t="shared" si="61"/>
        <v/>
      </c>
      <c r="AE76" s="16" t="str">
        <f t="shared" si="62"/>
        <v/>
      </c>
      <c r="AF76" s="16" t="str">
        <f t="shared" si="63"/>
        <v/>
      </c>
      <c r="AG76" s="16" t="str">
        <f t="shared" si="59"/>
        <v/>
      </c>
      <c r="AH76" s="16" t="str">
        <f t="shared" si="60"/>
        <v/>
      </c>
      <c r="AI76" s="29" t="str">
        <f t="shared" si="64"/>
        <v/>
      </c>
      <c r="AJ76" s="29" t="str">
        <f t="shared" si="65"/>
        <v/>
      </c>
      <c r="AK76" s="2"/>
      <c r="AL76" s="2"/>
      <c r="AM76" s="2"/>
      <c r="AN76" s="2"/>
      <c r="AO76" s="2"/>
      <c r="AP76" s="2"/>
      <c r="AQ76" s="2"/>
      <c r="AR76" s="2"/>
      <c r="AS76" s="2"/>
      <c r="AT76" s="2"/>
      <c r="AU76" s="2"/>
      <c r="AV76" s="2"/>
      <c r="AW76" s="2"/>
      <c r="AX76" s="2"/>
      <c r="AY76" s="2"/>
      <c r="AZ76" s="2"/>
      <c r="BA76" s="2"/>
      <c r="BB76" s="2"/>
      <c r="BC76" s="2"/>
      <c r="BF76" s="2"/>
      <c r="BM76" s="5"/>
      <c r="BN76" s="8"/>
      <c r="BO76" s="8"/>
      <c r="BP76" s="8"/>
      <c r="BQ76" s="8"/>
      <c r="BR76" s="8"/>
      <c r="BS76" s="8"/>
      <c r="BT76" s="8"/>
      <c r="BU76" s="8"/>
      <c r="BV76" s="8"/>
      <c r="CE76" s="2"/>
      <c r="CF76" s="2"/>
      <c r="CG76" s="2"/>
      <c r="CH76" s="2"/>
      <c r="CI76" s="2"/>
      <c r="CJ76" s="2"/>
      <c r="CK76" s="2"/>
    </row>
    <row r="77" spans="1:89" x14ac:dyDescent="0.25">
      <c r="A77" s="79"/>
      <c r="B77" s="106"/>
      <c r="C77" s="106"/>
      <c r="D77" s="106"/>
      <c r="E77" s="106"/>
      <c r="F77" s="106"/>
      <c r="G77" s="106"/>
      <c r="H77" s="106"/>
      <c r="I77" s="106"/>
      <c r="J77" s="273"/>
      <c r="K77" s="273"/>
      <c r="L77" s="273"/>
      <c r="M77" s="273"/>
      <c r="N77" s="273"/>
      <c r="O77" s="273"/>
      <c r="P77" s="273"/>
      <c r="Q77" s="273"/>
      <c r="R77" s="273"/>
      <c r="S77" s="273"/>
      <c r="T77" s="273"/>
      <c r="U77" s="273"/>
      <c r="V77" s="273"/>
      <c r="W77" s="273"/>
      <c r="X77" s="273"/>
      <c r="Y77" s="119" t="s">
        <v>105</v>
      </c>
      <c r="Z77" s="2"/>
      <c r="AA77" s="264">
        <v>73</v>
      </c>
      <c r="AB77" s="16" t="str">
        <f t="shared" si="57"/>
        <v/>
      </c>
      <c r="AC77" s="16" t="str">
        <f t="shared" si="58"/>
        <v/>
      </c>
      <c r="AD77" s="16" t="str">
        <f t="shared" si="61"/>
        <v/>
      </c>
      <c r="AE77" s="16" t="str">
        <f t="shared" si="62"/>
        <v/>
      </c>
      <c r="AF77" s="16" t="str">
        <f t="shared" si="63"/>
        <v/>
      </c>
      <c r="AG77" s="16" t="str">
        <f t="shared" si="59"/>
        <v/>
      </c>
      <c r="AH77" s="16" t="str">
        <f t="shared" si="60"/>
        <v/>
      </c>
      <c r="AI77" s="29" t="str">
        <f t="shared" si="64"/>
        <v/>
      </c>
      <c r="AJ77" s="29" t="str">
        <f t="shared" si="65"/>
        <v/>
      </c>
      <c r="AK77" s="2"/>
      <c r="AL77" s="2"/>
      <c r="AM77" s="2"/>
      <c r="AN77" s="2"/>
      <c r="AO77" s="2"/>
      <c r="AP77" s="2"/>
      <c r="AQ77" s="2"/>
      <c r="AR77" s="2"/>
      <c r="AS77" s="2"/>
      <c r="AT77" s="2"/>
      <c r="AU77" s="2"/>
      <c r="AV77" s="2"/>
      <c r="AW77" s="2"/>
      <c r="AX77" s="2"/>
      <c r="AY77" s="2"/>
      <c r="AZ77" s="2"/>
      <c r="BA77" s="2"/>
      <c r="BB77" s="2"/>
      <c r="BC77" s="2"/>
      <c r="BF77" s="2"/>
      <c r="BM77" s="8"/>
      <c r="BN77" s="8"/>
      <c r="BO77" s="8"/>
      <c r="BP77" s="8"/>
      <c r="BQ77" s="8"/>
      <c r="BR77" s="8"/>
      <c r="BS77" s="8"/>
      <c r="BT77" s="8"/>
      <c r="BU77" s="8"/>
      <c r="BV77" s="8"/>
    </row>
    <row r="78" spans="1:89" x14ac:dyDescent="0.25">
      <c r="A78" s="100"/>
      <c r="B78" s="101"/>
      <c r="C78" s="101"/>
      <c r="D78" s="101"/>
      <c r="E78" s="101"/>
      <c r="F78" s="101"/>
      <c r="G78" s="101"/>
      <c r="H78" s="101"/>
      <c r="I78" s="101"/>
      <c r="J78" s="275"/>
      <c r="K78" s="275"/>
      <c r="L78" s="275"/>
      <c r="M78" s="275"/>
      <c r="N78" s="275"/>
      <c r="O78" s="275"/>
      <c r="P78" s="275"/>
      <c r="Q78" s="275"/>
      <c r="R78" s="275"/>
      <c r="S78" s="275"/>
      <c r="T78" s="275"/>
      <c r="U78" s="275"/>
      <c r="V78" s="275"/>
      <c r="W78" s="275"/>
      <c r="X78" s="275"/>
      <c r="Y78" s="276"/>
      <c r="Z78" s="2"/>
      <c r="AA78" s="264">
        <v>74</v>
      </c>
      <c r="AB78" s="16" t="str">
        <f t="shared" si="57"/>
        <v/>
      </c>
      <c r="AC78" s="16" t="str">
        <f t="shared" si="58"/>
        <v/>
      </c>
      <c r="AD78" s="16" t="str">
        <f t="shared" si="61"/>
        <v/>
      </c>
      <c r="AE78" s="16" t="str">
        <f t="shared" si="62"/>
        <v/>
      </c>
      <c r="AF78" s="16" t="str">
        <f t="shared" si="63"/>
        <v/>
      </c>
      <c r="AG78" s="16" t="str">
        <f t="shared" si="59"/>
        <v/>
      </c>
      <c r="AH78" s="16" t="str">
        <f t="shared" si="60"/>
        <v/>
      </c>
      <c r="AI78" s="29" t="str">
        <f t="shared" si="64"/>
        <v/>
      </c>
      <c r="AJ78" s="29" t="str">
        <f t="shared" si="65"/>
        <v/>
      </c>
      <c r="AK78" s="2"/>
      <c r="AL78" s="2"/>
      <c r="AM78" s="2"/>
      <c r="AN78" s="2"/>
      <c r="AO78" s="2"/>
      <c r="AP78" s="2"/>
      <c r="AQ78" s="2"/>
      <c r="AR78" s="2"/>
      <c r="AS78" s="2"/>
      <c r="AT78" s="2"/>
      <c r="AU78" s="2"/>
      <c r="AV78" s="2"/>
      <c r="AW78" s="2"/>
      <c r="AX78" s="2"/>
      <c r="AY78" s="2"/>
      <c r="AZ78" s="2"/>
      <c r="BA78" s="2"/>
      <c r="BB78" s="2"/>
      <c r="BC78" s="2"/>
      <c r="BF78" s="197" t="s">
        <v>181</v>
      </c>
      <c r="BG78" s="198"/>
      <c r="BH78" s="198"/>
      <c r="BI78" s="198"/>
      <c r="BJ78" s="198"/>
      <c r="BK78" s="198"/>
      <c r="BL78" s="92"/>
      <c r="BM78" s="92"/>
      <c r="BN78" s="92"/>
      <c r="BO78" s="92"/>
      <c r="BP78" s="92"/>
      <c r="BQ78" s="92"/>
    </row>
    <row r="79" spans="1:89" x14ac:dyDescent="0.25">
      <c r="A79" s="48"/>
      <c r="B79" s="54"/>
      <c r="C79" s="54"/>
      <c r="D79" s="54"/>
      <c r="E79" s="54"/>
      <c r="F79" s="54"/>
      <c r="G79" s="54"/>
      <c r="H79" s="54"/>
      <c r="I79" s="54"/>
      <c r="J79" s="2"/>
      <c r="K79" s="2"/>
      <c r="L79" s="2"/>
      <c r="M79" s="2"/>
      <c r="N79" s="2"/>
      <c r="O79" s="2"/>
      <c r="P79" s="2"/>
      <c r="Q79" s="2"/>
      <c r="R79" s="2"/>
      <c r="S79" s="2"/>
      <c r="T79" s="2"/>
      <c r="U79" s="2"/>
      <c r="V79" s="2"/>
      <c r="W79" s="2"/>
      <c r="X79" s="2"/>
      <c r="Y79" s="259"/>
      <c r="Z79" s="2"/>
      <c r="AA79" s="264">
        <v>75</v>
      </c>
      <c r="AB79" s="16" t="str">
        <f t="shared" si="57"/>
        <v/>
      </c>
      <c r="AC79" s="16" t="str">
        <f t="shared" si="58"/>
        <v/>
      </c>
      <c r="AD79" s="16" t="str">
        <f t="shared" si="61"/>
        <v/>
      </c>
      <c r="AE79" s="16" t="str">
        <f t="shared" si="62"/>
        <v/>
      </c>
      <c r="AF79" s="16" t="str">
        <f t="shared" si="63"/>
        <v/>
      </c>
      <c r="AG79" s="16" t="str">
        <f t="shared" si="59"/>
        <v/>
      </c>
      <c r="AH79" s="16" t="str">
        <f t="shared" si="60"/>
        <v/>
      </c>
      <c r="AI79" s="29" t="str">
        <f t="shared" si="64"/>
        <v/>
      </c>
      <c r="AJ79" s="29" t="str">
        <f t="shared" si="65"/>
        <v/>
      </c>
      <c r="AK79" s="2"/>
      <c r="AL79" s="2"/>
      <c r="AM79" s="2"/>
      <c r="AN79" s="2"/>
      <c r="AO79" s="2"/>
      <c r="AP79" s="2"/>
      <c r="AQ79" s="2"/>
      <c r="AR79" s="2"/>
      <c r="AS79" s="2"/>
      <c r="AT79" s="2"/>
      <c r="AU79" s="2"/>
      <c r="AV79" s="2"/>
      <c r="AW79" s="2"/>
      <c r="AX79" s="2"/>
      <c r="AY79" s="2"/>
      <c r="AZ79" s="2"/>
      <c r="BA79" s="2"/>
      <c r="BB79" s="2"/>
      <c r="BC79" s="2"/>
      <c r="BF79" s="201"/>
      <c r="BG79" s="201"/>
      <c r="BH79" s="201"/>
      <c r="BI79" s="201"/>
      <c r="BJ79" s="201"/>
      <c r="BK79" s="201"/>
      <c r="BL79" s="92"/>
      <c r="BM79" s="92"/>
      <c r="BN79" s="92"/>
      <c r="BO79" s="92"/>
      <c r="BP79" s="92"/>
      <c r="BQ79" s="92"/>
    </row>
    <row r="80" spans="1:89" x14ac:dyDescent="0.25">
      <c r="A80" s="48"/>
      <c r="B80" s="54"/>
      <c r="C80" s="54"/>
      <c r="D80" s="54"/>
      <c r="E80" s="54"/>
      <c r="F80" s="54"/>
      <c r="G80" s="54"/>
      <c r="H80" s="54"/>
      <c r="I80" s="54"/>
      <c r="J80" s="2"/>
      <c r="K80" s="2"/>
      <c r="L80" s="2"/>
      <c r="M80" s="2"/>
      <c r="N80" s="2"/>
      <c r="O80" s="2"/>
      <c r="P80" s="2"/>
      <c r="Q80" s="2"/>
      <c r="R80" s="2"/>
      <c r="S80" s="2"/>
      <c r="T80" s="2"/>
      <c r="U80" s="2"/>
      <c r="V80" s="2"/>
      <c r="W80" s="2"/>
      <c r="X80" s="2"/>
      <c r="Y80" s="259"/>
      <c r="Z80" s="2"/>
      <c r="AA80" s="264">
        <v>76</v>
      </c>
      <c r="AB80" s="16" t="str">
        <f t="shared" si="57"/>
        <v/>
      </c>
      <c r="AC80" s="16" t="str">
        <f t="shared" si="58"/>
        <v/>
      </c>
      <c r="AD80" s="16" t="str">
        <f t="shared" si="61"/>
        <v/>
      </c>
      <c r="AE80" s="16" t="str">
        <f t="shared" si="62"/>
        <v/>
      </c>
      <c r="AF80" s="16" t="str">
        <f t="shared" si="63"/>
        <v/>
      </c>
      <c r="AG80" s="16" t="str">
        <f t="shared" si="59"/>
        <v/>
      </c>
      <c r="AH80" s="16" t="str">
        <f t="shared" si="60"/>
        <v/>
      </c>
      <c r="AI80" s="29" t="str">
        <f t="shared" si="64"/>
        <v/>
      </c>
      <c r="AJ80" s="29" t="str">
        <f t="shared" si="65"/>
        <v/>
      </c>
      <c r="AK80" s="2"/>
      <c r="AL80" s="2"/>
      <c r="AM80" s="2"/>
      <c r="AN80" s="2"/>
      <c r="AO80" s="2"/>
      <c r="AP80" s="2"/>
      <c r="AQ80" s="2"/>
      <c r="AR80" s="2"/>
      <c r="AS80" s="2"/>
      <c r="AT80" s="2"/>
      <c r="AU80" s="2"/>
      <c r="AV80" s="2"/>
      <c r="AW80" s="2"/>
      <c r="AX80" s="2"/>
      <c r="AY80" s="2"/>
      <c r="AZ80" s="2"/>
      <c r="BA80" s="2"/>
      <c r="BB80" s="2"/>
      <c r="BC80" s="2"/>
      <c r="BF80" s="223" t="s">
        <v>236</v>
      </c>
      <c r="BG80" s="204"/>
      <c r="BH80" s="205"/>
      <c r="BI80" s="205"/>
      <c r="BJ80" s="205"/>
      <c r="BK80" s="205"/>
      <c r="BL80" s="92"/>
      <c r="BM80" s="92"/>
      <c r="BN80" s="92"/>
      <c r="BO80" s="92"/>
      <c r="BP80" s="92"/>
      <c r="BQ80" s="92"/>
    </row>
    <row r="81" spans="1:82" x14ac:dyDescent="0.25">
      <c r="A81" s="48"/>
      <c r="B81" s="54"/>
      <c r="C81" s="54"/>
      <c r="D81" s="54"/>
      <c r="E81" s="54"/>
      <c r="F81" s="54"/>
      <c r="G81" s="54"/>
      <c r="H81" s="54"/>
      <c r="I81" s="54"/>
      <c r="J81" s="2"/>
      <c r="K81" s="2"/>
      <c r="L81" s="2"/>
      <c r="M81" s="2"/>
      <c r="N81" s="54"/>
      <c r="O81" s="54"/>
      <c r="P81" s="54"/>
      <c r="Q81" s="54"/>
      <c r="R81" s="54"/>
      <c r="S81" s="2"/>
      <c r="T81" s="54"/>
      <c r="U81" s="2"/>
      <c r="V81" s="2"/>
      <c r="W81" s="2"/>
      <c r="X81" s="2"/>
      <c r="Y81" s="259"/>
      <c r="Z81" s="2"/>
      <c r="AA81" s="264">
        <v>77</v>
      </c>
      <c r="AB81" s="16" t="str">
        <f t="shared" si="57"/>
        <v/>
      </c>
      <c r="AC81" s="16" t="str">
        <f t="shared" si="58"/>
        <v/>
      </c>
      <c r="AD81" s="16" t="str">
        <f t="shared" si="61"/>
        <v/>
      </c>
      <c r="AE81" s="16" t="str">
        <f t="shared" si="62"/>
        <v/>
      </c>
      <c r="AF81" s="16" t="str">
        <f t="shared" si="63"/>
        <v/>
      </c>
      <c r="AG81" s="16" t="str">
        <f t="shared" si="59"/>
        <v/>
      </c>
      <c r="AH81" s="16" t="str">
        <f t="shared" si="60"/>
        <v/>
      </c>
      <c r="AI81" s="29" t="str">
        <f t="shared" si="64"/>
        <v/>
      </c>
      <c r="AJ81" s="29" t="str">
        <f t="shared" si="65"/>
        <v/>
      </c>
      <c r="AK81" s="2"/>
      <c r="AL81" s="2"/>
      <c r="AM81" s="2"/>
      <c r="AN81" s="2"/>
      <c r="AO81" s="2"/>
      <c r="AP81" s="2"/>
      <c r="AQ81" s="2"/>
      <c r="AR81" s="2"/>
      <c r="AS81" s="2"/>
      <c r="AT81" s="2"/>
      <c r="AU81" s="2"/>
      <c r="AV81" s="2"/>
      <c r="AW81" s="2"/>
      <c r="AX81" s="2"/>
      <c r="AY81" s="2"/>
      <c r="AZ81" s="2"/>
      <c r="BA81" s="2"/>
      <c r="BB81" s="2"/>
      <c r="BC81" s="2"/>
      <c r="BF81" s="241" t="s">
        <v>237</v>
      </c>
      <c r="BG81" s="204"/>
      <c r="BH81" s="202"/>
      <c r="BI81" s="202"/>
      <c r="BJ81" s="202"/>
      <c r="BK81" s="202"/>
      <c r="BL81" s="92"/>
      <c r="BM81" s="92"/>
      <c r="BN81" s="92"/>
      <c r="BO81" s="92"/>
      <c r="BP81" s="92"/>
      <c r="BQ81" s="92"/>
    </row>
    <row r="82" spans="1:82" x14ac:dyDescent="0.25">
      <c r="A82" s="48"/>
      <c r="B82" s="54"/>
      <c r="C82" s="54"/>
      <c r="D82" s="54"/>
      <c r="E82" s="54"/>
      <c r="F82" s="54"/>
      <c r="G82" s="54"/>
      <c r="H82" s="54"/>
      <c r="I82" s="54"/>
      <c r="J82" s="2"/>
      <c r="K82" s="2"/>
      <c r="L82" s="2"/>
      <c r="M82" s="2"/>
      <c r="N82" s="54"/>
      <c r="O82" s="54"/>
      <c r="P82" s="54"/>
      <c r="Q82" s="83"/>
      <c r="R82" s="54"/>
      <c r="S82" s="2"/>
      <c r="T82" s="54"/>
      <c r="U82" s="2"/>
      <c r="V82" s="2"/>
      <c r="W82" s="2"/>
      <c r="X82" s="2"/>
      <c r="Y82" s="259"/>
      <c r="Z82" s="2"/>
      <c r="AA82" s="264">
        <v>78</v>
      </c>
      <c r="AB82" s="16" t="str">
        <f t="shared" si="57"/>
        <v/>
      </c>
      <c r="AC82" s="16" t="str">
        <f t="shared" si="58"/>
        <v/>
      </c>
      <c r="AD82" s="16" t="str">
        <f t="shared" si="61"/>
        <v/>
      </c>
      <c r="AE82" s="16" t="str">
        <f t="shared" si="62"/>
        <v/>
      </c>
      <c r="AF82" s="16" t="str">
        <f t="shared" si="63"/>
        <v/>
      </c>
      <c r="AG82" s="16" t="str">
        <f t="shared" si="59"/>
        <v/>
      </c>
      <c r="AH82" s="16" t="str">
        <f t="shared" si="60"/>
        <v/>
      </c>
      <c r="AI82" s="29" t="str">
        <f t="shared" si="64"/>
        <v/>
      </c>
      <c r="AJ82" s="29" t="str">
        <f t="shared" si="65"/>
        <v/>
      </c>
      <c r="AK82" s="2"/>
      <c r="AL82" s="2"/>
      <c r="AM82" s="2"/>
      <c r="AN82" s="2"/>
      <c r="AO82" s="2"/>
      <c r="AP82" s="2"/>
      <c r="AQ82" s="2"/>
      <c r="AR82" s="2"/>
      <c r="AS82" s="2"/>
      <c r="AT82" s="2"/>
      <c r="AU82" s="2"/>
      <c r="AV82" s="2"/>
      <c r="AW82" s="2"/>
      <c r="AX82" s="2"/>
      <c r="AY82" s="2"/>
      <c r="AZ82" s="2"/>
      <c r="BA82" s="2"/>
      <c r="BB82" s="2"/>
      <c r="BC82" s="2"/>
      <c r="BF82" s="200"/>
      <c r="BG82" s="200"/>
      <c r="BH82" s="200"/>
      <c r="BI82" s="200"/>
      <c r="BJ82" s="200"/>
      <c r="BK82" s="200"/>
      <c r="BL82" s="92"/>
      <c r="BM82" s="92"/>
      <c r="BN82" s="92"/>
      <c r="BO82" s="92"/>
      <c r="BP82" s="92"/>
      <c r="BQ82" s="92"/>
    </row>
    <row r="83" spans="1:82" x14ac:dyDescent="0.25">
      <c r="A83" s="48"/>
      <c r="B83" s="54"/>
      <c r="C83" s="54"/>
      <c r="D83" s="54"/>
      <c r="E83" s="54"/>
      <c r="F83" s="54"/>
      <c r="G83" s="54"/>
      <c r="H83" s="54"/>
      <c r="I83" s="54"/>
      <c r="J83" s="2"/>
      <c r="K83" s="2"/>
      <c r="L83" s="2"/>
      <c r="M83" s="2"/>
      <c r="N83" s="54"/>
      <c r="O83" s="54"/>
      <c r="P83" s="54"/>
      <c r="Q83" s="54"/>
      <c r="R83" s="54"/>
      <c r="S83" s="2"/>
      <c r="T83" s="54"/>
      <c r="U83" s="2"/>
      <c r="V83" s="2"/>
      <c r="W83" s="2"/>
      <c r="X83" s="2"/>
      <c r="Y83" s="259"/>
      <c r="Z83" s="2"/>
      <c r="AA83" s="264">
        <v>79</v>
      </c>
      <c r="AB83" s="16" t="str">
        <f t="shared" si="57"/>
        <v/>
      </c>
      <c r="AC83" s="16" t="str">
        <f t="shared" si="58"/>
        <v/>
      </c>
      <c r="AD83" s="16" t="str">
        <f t="shared" si="61"/>
        <v/>
      </c>
      <c r="AE83" s="16" t="str">
        <f t="shared" si="62"/>
        <v/>
      </c>
      <c r="AF83" s="16" t="str">
        <f t="shared" si="63"/>
        <v/>
      </c>
      <c r="AG83" s="16" t="str">
        <f t="shared" si="59"/>
        <v/>
      </c>
      <c r="AH83" s="16" t="str">
        <f t="shared" si="60"/>
        <v/>
      </c>
      <c r="AI83" s="29" t="str">
        <f t="shared" si="64"/>
        <v/>
      </c>
      <c r="AJ83" s="29" t="str">
        <f t="shared" si="65"/>
        <v/>
      </c>
      <c r="AK83" s="2"/>
      <c r="AL83" s="2"/>
      <c r="AM83" s="2"/>
      <c r="AN83" s="2"/>
      <c r="AO83" s="2"/>
      <c r="AP83" s="2"/>
      <c r="AQ83" s="2"/>
      <c r="AR83" s="2"/>
      <c r="AS83" s="2"/>
      <c r="AT83" s="2"/>
      <c r="AU83" s="2"/>
      <c r="AV83" s="2"/>
      <c r="AW83" s="2"/>
      <c r="AX83" s="2"/>
      <c r="AY83" s="2"/>
      <c r="AZ83" s="2"/>
      <c r="BA83" s="2"/>
      <c r="BB83" s="2"/>
      <c r="BC83" s="2"/>
      <c r="BF83" s="223" t="s">
        <v>191</v>
      </c>
      <c r="BG83" s="200"/>
      <c r="BH83" s="200"/>
      <c r="BI83" s="200"/>
      <c r="BJ83" s="200"/>
      <c r="BK83" s="200"/>
      <c r="BL83" s="92"/>
      <c r="BM83" s="92"/>
      <c r="BN83" s="92"/>
      <c r="BO83" s="92"/>
      <c r="BP83" s="92"/>
      <c r="BQ83" s="92"/>
    </row>
    <row r="84" spans="1:82" x14ac:dyDescent="0.25">
      <c r="A84" s="48"/>
      <c r="B84" s="54"/>
      <c r="C84" s="54"/>
      <c r="D84" s="54"/>
      <c r="E84" s="54"/>
      <c r="F84" s="54"/>
      <c r="G84" s="54"/>
      <c r="H84" s="54"/>
      <c r="I84" s="54"/>
      <c r="J84" s="2"/>
      <c r="K84" s="2"/>
      <c r="L84" s="2"/>
      <c r="M84" s="2"/>
      <c r="N84" s="54"/>
      <c r="O84" s="54"/>
      <c r="P84" s="54"/>
      <c r="Q84" s="72"/>
      <c r="R84" s="54"/>
      <c r="S84" s="2"/>
      <c r="T84" s="54"/>
      <c r="U84" s="2"/>
      <c r="V84" s="2"/>
      <c r="W84" s="2"/>
      <c r="X84" s="2"/>
      <c r="Y84" s="259"/>
      <c r="Z84" s="2"/>
      <c r="AA84" s="264">
        <v>80</v>
      </c>
      <c r="AB84" s="16" t="str">
        <f t="shared" si="57"/>
        <v/>
      </c>
      <c r="AC84" s="16" t="str">
        <f t="shared" si="58"/>
        <v/>
      </c>
      <c r="AD84" s="16" t="str">
        <f t="shared" si="61"/>
        <v/>
      </c>
      <c r="AE84" s="16" t="str">
        <f t="shared" si="62"/>
        <v/>
      </c>
      <c r="AF84" s="16" t="str">
        <f t="shared" si="63"/>
        <v/>
      </c>
      <c r="AG84" s="16" t="str">
        <f t="shared" si="59"/>
        <v/>
      </c>
      <c r="AH84" s="16" t="str">
        <f t="shared" si="60"/>
        <v/>
      </c>
      <c r="AI84" s="29" t="str">
        <f t="shared" si="64"/>
        <v/>
      </c>
      <c r="AJ84" s="29" t="str">
        <f t="shared" si="65"/>
        <v/>
      </c>
      <c r="AK84" s="2"/>
      <c r="AL84" s="2"/>
      <c r="AM84" s="2"/>
      <c r="AN84" s="2"/>
      <c r="AO84" s="2"/>
      <c r="AP84" s="2"/>
      <c r="AQ84" s="2"/>
      <c r="AR84" s="2"/>
      <c r="AS84" s="2"/>
      <c r="AT84" s="2"/>
      <c r="AU84" s="2"/>
      <c r="AV84" s="2"/>
      <c r="AW84" s="2"/>
      <c r="AX84" s="2"/>
      <c r="AY84" s="2"/>
      <c r="AZ84" s="2"/>
      <c r="BA84" s="2"/>
      <c r="BB84" s="2"/>
      <c r="BC84" s="2"/>
      <c r="BF84" s="202"/>
      <c r="BG84" s="206"/>
      <c r="BH84" s="199" t="s">
        <v>182</v>
      </c>
      <c r="BI84" s="207">
        <v>8</v>
      </c>
      <c r="BJ84" s="200"/>
      <c r="BK84" s="268" t="s">
        <v>252</v>
      </c>
      <c r="BL84" s="224" t="s">
        <v>329</v>
      </c>
      <c r="BM84" s="202"/>
      <c r="BN84" s="202"/>
      <c r="BO84" s="92"/>
      <c r="BP84" s="92"/>
      <c r="BQ84" s="92"/>
    </row>
    <row r="85" spans="1:82" x14ac:dyDescent="0.25">
      <c r="A85" s="48"/>
      <c r="B85" s="54"/>
      <c r="C85" s="54"/>
      <c r="D85" s="54"/>
      <c r="E85" s="54"/>
      <c r="F85" s="54"/>
      <c r="G85" s="54"/>
      <c r="H85" s="54"/>
      <c r="I85" s="54"/>
      <c r="J85" s="2"/>
      <c r="K85" s="2"/>
      <c r="L85" s="2"/>
      <c r="M85" s="2"/>
      <c r="N85" s="54"/>
      <c r="O85" s="54"/>
      <c r="P85" s="54"/>
      <c r="Q85" s="54"/>
      <c r="R85" s="74"/>
      <c r="S85" s="2"/>
      <c r="T85" s="54"/>
      <c r="U85" s="2"/>
      <c r="V85" s="2"/>
      <c r="W85" s="2"/>
      <c r="X85" s="2"/>
      <c r="Y85" s="259"/>
      <c r="Z85" s="2"/>
      <c r="AA85" s="264">
        <v>81</v>
      </c>
      <c r="AB85" s="16" t="str">
        <f t="shared" si="57"/>
        <v/>
      </c>
      <c r="AC85" s="16" t="str">
        <f t="shared" si="58"/>
        <v/>
      </c>
      <c r="AD85" s="16" t="str">
        <f t="shared" si="61"/>
        <v/>
      </c>
      <c r="AE85" s="16" t="str">
        <f t="shared" si="62"/>
        <v/>
      </c>
      <c r="AF85" s="16" t="str">
        <f t="shared" si="63"/>
        <v/>
      </c>
      <c r="AG85" s="16" t="str">
        <f t="shared" si="59"/>
        <v/>
      </c>
      <c r="AH85" s="16" t="str">
        <f t="shared" si="60"/>
        <v/>
      </c>
      <c r="AI85" s="29" t="str">
        <f t="shared" si="64"/>
        <v/>
      </c>
      <c r="AJ85" s="29" t="str">
        <f t="shared" si="65"/>
        <v/>
      </c>
      <c r="AK85" s="2"/>
      <c r="AL85" s="2"/>
      <c r="AM85" s="2"/>
      <c r="AN85" s="2"/>
      <c r="AO85" s="2"/>
      <c r="AP85" s="2"/>
      <c r="AQ85" s="2"/>
      <c r="AR85" s="2"/>
      <c r="AS85" s="2"/>
      <c r="AT85" s="2"/>
      <c r="AU85" s="2"/>
      <c r="AV85" s="2"/>
      <c r="AW85" s="2"/>
      <c r="AX85" s="2"/>
      <c r="AY85" s="2"/>
      <c r="AZ85" s="2"/>
      <c r="BA85" s="2"/>
      <c r="BB85" s="2"/>
      <c r="BC85" s="2"/>
      <c r="BF85" s="202"/>
      <c r="BG85" s="200"/>
      <c r="BH85" s="208" t="s">
        <v>183</v>
      </c>
      <c r="BI85" s="209">
        <v>7.3151999999999999</v>
      </c>
      <c r="BJ85" s="210" t="s">
        <v>115</v>
      </c>
      <c r="BK85" s="269"/>
      <c r="BL85" s="224" t="s">
        <v>327</v>
      </c>
      <c r="BM85" s="202"/>
      <c r="BN85" s="202"/>
      <c r="BO85" s="92"/>
      <c r="BP85" s="92"/>
      <c r="BQ85" s="92"/>
    </row>
    <row r="86" spans="1:82" x14ac:dyDescent="0.25">
      <c r="A86" s="48"/>
      <c r="B86" s="54"/>
      <c r="C86" s="54"/>
      <c r="D86" s="54"/>
      <c r="E86" s="54"/>
      <c r="F86" s="54"/>
      <c r="G86" s="54"/>
      <c r="H86" s="54"/>
      <c r="I86" s="54"/>
      <c r="J86" s="2"/>
      <c r="K86" s="2"/>
      <c r="L86" s="2"/>
      <c r="M86" s="2"/>
      <c r="N86" s="54"/>
      <c r="O86" s="54"/>
      <c r="P86" s="74"/>
      <c r="Q86" s="74"/>
      <c r="R86" s="74"/>
      <c r="S86" s="2"/>
      <c r="T86" s="54"/>
      <c r="U86" s="2"/>
      <c r="V86" s="2"/>
      <c r="W86" s="2"/>
      <c r="X86" s="2"/>
      <c r="Y86" s="259"/>
      <c r="Z86" s="2"/>
      <c r="AA86" s="264">
        <v>82</v>
      </c>
      <c r="AB86" s="16" t="str">
        <f t="shared" si="57"/>
        <v/>
      </c>
      <c r="AC86" s="16" t="str">
        <f t="shared" si="58"/>
        <v/>
      </c>
      <c r="AD86" s="16" t="str">
        <f t="shared" si="61"/>
        <v/>
      </c>
      <c r="AE86" s="16" t="str">
        <f t="shared" si="62"/>
        <v/>
      </c>
      <c r="AF86" s="16" t="str">
        <f t="shared" si="63"/>
        <v/>
      </c>
      <c r="AG86" s="16" t="str">
        <f t="shared" si="59"/>
        <v/>
      </c>
      <c r="AH86" s="16" t="str">
        <f t="shared" si="60"/>
        <v/>
      </c>
      <c r="AI86" s="29" t="str">
        <f t="shared" si="64"/>
        <v/>
      </c>
      <c r="AJ86" s="29" t="str">
        <f t="shared" si="65"/>
        <v/>
      </c>
      <c r="AK86" s="2"/>
      <c r="AL86" s="2"/>
      <c r="AM86" s="2"/>
      <c r="AN86" s="2"/>
      <c r="AO86" s="2"/>
      <c r="AP86" s="2"/>
      <c r="AQ86" s="2"/>
      <c r="AR86" s="2"/>
      <c r="AS86" s="2"/>
      <c r="AT86" s="2"/>
      <c r="AU86" s="2"/>
      <c r="AV86" s="2"/>
      <c r="AW86" s="2"/>
      <c r="AX86" s="2"/>
      <c r="AY86" s="2"/>
      <c r="AZ86" s="2"/>
      <c r="BA86" s="2"/>
      <c r="BB86" s="2"/>
      <c r="BC86" s="2"/>
      <c r="BF86" s="200"/>
      <c r="BG86" s="200"/>
      <c r="BH86" s="208" t="s">
        <v>175</v>
      </c>
      <c r="BI86" s="209">
        <v>3.6576</v>
      </c>
      <c r="BJ86" s="210" t="s">
        <v>115</v>
      </c>
      <c r="BK86" s="270" t="s">
        <v>240</v>
      </c>
      <c r="BL86" s="224" t="s">
        <v>251</v>
      </c>
      <c r="BM86" s="202"/>
      <c r="BN86" s="202"/>
      <c r="BO86" s="92"/>
      <c r="BP86" s="92"/>
      <c r="BQ86" s="92"/>
    </row>
    <row r="87" spans="1:82" x14ac:dyDescent="0.25">
      <c r="A87" s="48"/>
      <c r="B87" s="54"/>
      <c r="C87" s="54"/>
      <c r="D87" s="54"/>
      <c r="E87" s="54"/>
      <c r="F87" s="54"/>
      <c r="G87" s="54"/>
      <c r="H87" s="54"/>
      <c r="I87" s="54"/>
      <c r="J87" s="2"/>
      <c r="K87" s="2"/>
      <c r="L87" s="2"/>
      <c r="M87" s="2"/>
      <c r="N87" s="54"/>
      <c r="O87" s="54"/>
      <c r="P87" s="74"/>
      <c r="Q87" s="74"/>
      <c r="R87" s="54"/>
      <c r="S87" s="2"/>
      <c r="T87" s="54"/>
      <c r="U87" s="2"/>
      <c r="V87" s="2"/>
      <c r="W87" s="2"/>
      <c r="X87" s="2"/>
      <c r="Y87" s="259"/>
      <c r="Z87" s="2"/>
      <c r="AA87" s="264">
        <v>83</v>
      </c>
      <c r="AB87" s="16" t="str">
        <f t="shared" si="57"/>
        <v/>
      </c>
      <c r="AC87" s="16" t="str">
        <f t="shared" si="58"/>
        <v/>
      </c>
      <c r="AD87" s="16" t="str">
        <f t="shared" si="61"/>
        <v/>
      </c>
      <c r="AE87" s="16" t="str">
        <f t="shared" si="62"/>
        <v/>
      </c>
      <c r="AF87" s="16" t="str">
        <f t="shared" si="63"/>
        <v/>
      </c>
      <c r="AG87" s="16" t="str">
        <f t="shared" si="59"/>
        <v/>
      </c>
      <c r="AH87" s="16" t="str">
        <f t="shared" si="60"/>
        <v/>
      </c>
      <c r="AI87" s="29" t="str">
        <f t="shared" si="64"/>
        <v/>
      </c>
      <c r="AJ87" s="29" t="str">
        <f t="shared" si="65"/>
        <v/>
      </c>
      <c r="AK87" s="2"/>
      <c r="AL87" s="2"/>
      <c r="AM87" s="2"/>
      <c r="AN87" s="2"/>
      <c r="AO87" s="2"/>
      <c r="AP87" s="2"/>
      <c r="AQ87" s="2"/>
      <c r="AR87" s="2"/>
      <c r="AS87" s="2"/>
      <c r="AT87" s="2"/>
      <c r="AU87" s="2"/>
      <c r="AV87" s="2"/>
      <c r="AW87" s="2"/>
      <c r="AX87" s="2"/>
      <c r="AY87" s="2"/>
      <c r="AZ87" s="2"/>
      <c r="BA87" s="2"/>
      <c r="BB87" s="2"/>
      <c r="BC87" s="2"/>
      <c r="BF87" s="200"/>
      <c r="BG87" s="200"/>
      <c r="BH87" s="208" t="s">
        <v>176</v>
      </c>
      <c r="BI87" s="209">
        <v>3.6576</v>
      </c>
      <c r="BJ87" s="210" t="s">
        <v>115</v>
      </c>
      <c r="BK87" s="270" t="s">
        <v>241</v>
      </c>
      <c r="BL87" s="224" t="s">
        <v>242</v>
      </c>
      <c r="BM87" s="200"/>
      <c r="BN87" s="200"/>
      <c r="BO87" s="92"/>
      <c r="BP87" s="92"/>
      <c r="BQ87" s="92"/>
    </row>
    <row r="88" spans="1:82" x14ac:dyDescent="0.25">
      <c r="A88" s="48"/>
      <c r="B88" s="54"/>
      <c r="C88" s="54"/>
      <c r="D88" s="54"/>
      <c r="E88" s="54"/>
      <c r="F88" s="54"/>
      <c r="G88" s="54"/>
      <c r="H88" s="54"/>
      <c r="I88" s="54"/>
      <c r="J88" s="2"/>
      <c r="K88" s="2"/>
      <c r="L88" s="2"/>
      <c r="M88" s="2"/>
      <c r="N88" s="54"/>
      <c r="O88" s="54"/>
      <c r="P88" s="74"/>
      <c r="Q88" s="54"/>
      <c r="R88" s="54"/>
      <c r="S88" s="2"/>
      <c r="T88" s="54"/>
      <c r="U88" s="2"/>
      <c r="V88" s="2"/>
      <c r="W88" s="2"/>
      <c r="X88" s="2"/>
      <c r="Y88" s="259"/>
      <c r="Z88" s="2"/>
      <c r="AA88" s="264">
        <v>84</v>
      </c>
      <c r="AB88" s="16" t="str">
        <f t="shared" si="57"/>
        <v/>
      </c>
      <c r="AC88" s="16" t="str">
        <f t="shared" si="58"/>
        <v/>
      </c>
      <c r="AD88" s="16" t="str">
        <f t="shared" si="61"/>
        <v/>
      </c>
      <c r="AE88" s="16" t="str">
        <f t="shared" si="62"/>
        <v/>
      </c>
      <c r="AF88" s="16" t="str">
        <f t="shared" si="63"/>
        <v/>
      </c>
      <c r="AG88" s="16" t="str">
        <f t="shared" si="59"/>
        <v/>
      </c>
      <c r="AH88" s="16" t="str">
        <f t="shared" si="60"/>
        <v/>
      </c>
      <c r="AI88" s="29" t="str">
        <f t="shared" si="64"/>
        <v/>
      </c>
      <c r="AJ88" s="29" t="str">
        <f t="shared" si="65"/>
        <v/>
      </c>
      <c r="AK88" s="2"/>
      <c r="AL88" s="2"/>
      <c r="AM88" s="2"/>
      <c r="AN88" s="2"/>
      <c r="AO88" s="2"/>
      <c r="AP88" s="2"/>
      <c r="AQ88" s="2"/>
      <c r="AR88" s="2"/>
      <c r="AS88" s="2"/>
      <c r="AT88" s="2"/>
      <c r="AU88" s="2"/>
      <c r="AV88" s="2"/>
      <c r="AW88" s="2"/>
      <c r="AX88" s="2"/>
      <c r="AY88" s="2"/>
      <c r="AZ88" s="2"/>
      <c r="BA88" s="2"/>
      <c r="BB88" s="2"/>
      <c r="BC88" s="2"/>
      <c r="BF88" s="200"/>
      <c r="BG88" s="200"/>
      <c r="BH88" s="211" t="s">
        <v>184</v>
      </c>
      <c r="BI88" s="212">
        <v>0</v>
      </c>
      <c r="BJ88" s="210" t="s">
        <v>44</v>
      </c>
      <c r="BK88" s="269"/>
      <c r="BL88" s="200"/>
      <c r="BM88" s="200"/>
      <c r="BN88" s="200"/>
      <c r="BO88" s="92"/>
      <c r="BP88" s="92"/>
      <c r="BQ88" s="92"/>
    </row>
    <row r="89" spans="1:82" x14ac:dyDescent="0.25">
      <c r="A89" s="48"/>
      <c r="B89" s="54"/>
      <c r="C89" s="54"/>
      <c r="D89" s="54"/>
      <c r="E89" s="54"/>
      <c r="F89" s="54"/>
      <c r="G89" s="54"/>
      <c r="H89" s="54"/>
      <c r="I89" s="54"/>
      <c r="J89" s="2"/>
      <c r="K89" s="2"/>
      <c r="L89" s="2"/>
      <c r="M89" s="2"/>
      <c r="N89" s="54"/>
      <c r="O89" s="54"/>
      <c r="P89" s="54"/>
      <c r="Q89" s="54"/>
      <c r="R89" s="54"/>
      <c r="S89" s="2"/>
      <c r="T89" s="54"/>
      <c r="U89" s="2"/>
      <c r="V89" s="2"/>
      <c r="W89" s="2"/>
      <c r="X89" s="2"/>
      <c r="Y89" s="259"/>
      <c r="Z89" s="2"/>
      <c r="AA89" s="264">
        <v>85</v>
      </c>
      <c r="AB89" s="16" t="str">
        <f t="shared" si="57"/>
        <v/>
      </c>
      <c r="AC89" s="16" t="str">
        <f t="shared" si="58"/>
        <v/>
      </c>
      <c r="AD89" s="16" t="str">
        <f t="shared" si="61"/>
        <v/>
      </c>
      <c r="AE89" s="16" t="str">
        <f t="shared" si="62"/>
        <v/>
      </c>
      <c r="AF89" s="16" t="str">
        <f t="shared" si="63"/>
        <v/>
      </c>
      <c r="AG89" s="16" t="str">
        <f t="shared" si="59"/>
        <v/>
      </c>
      <c r="AH89" s="16" t="str">
        <f t="shared" si="60"/>
        <v/>
      </c>
      <c r="AI89" s="29" t="str">
        <f t="shared" si="64"/>
        <v/>
      </c>
      <c r="AJ89" s="29" t="str">
        <f t="shared" si="65"/>
        <v/>
      </c>
      <c r="AK89" s="2"/>
      <c r="AL89" s="2"/>
      <c r="AM89" s="2"/>
      <c r="AN89" s="2"/>
      <c r="AO89" s="2"/>
      <c r="AP89" s="2"/>
      <c r="AQ89" s="2"/>
      <c r="AR89" s="2"/>
      <c r="AS89" s="2"/>
      <c r="AT89" s="2"/>
      <c r="AU89" s="2"/>
      <c r="AV89" s="2"/>
      <c r="AW89" s="2"/>
      <c r="AX89" s="2"/>
      <c r="AY89" s="2"/>
      <c r="AZ89" s="2"/>
      <c r="BA89" s="2"/>
      <c r="BB89" s="2"/>
      <c r="BC89" s="2"/>
      <c r="BF89" s="200"/>
      <c r="BG89" s="200"/>
      <c r="BH89" s="200"/>
      <c r="BI89" s="200"/>
      <c r="BJ89" s="200"/>
      <c r="BK89" s="200"/>
      <c r="BL89" s="92"/>
      <c r="BM89" s="92"/>
      <c r="BN89" s="92"/>
      <c r="BO89" s="92"/>
      <c r="BP89" s="92"/>
      <c r="BQ89" s="92"/>
    </row>
    <row r="90" spans="1:82" x14ac:dyDescent="0.25">
      <c r="A90" s="48"/>
      <c r="B90" s="54"/>
      <c r="C90" s="54"/>
      <c r="D90" s="54"/>
      <c r="E90" s="54"/>
      <c r="F90" s="54"/>
      <c r="G90" s="54"/>
      <c r="H90" s="54"/>
      <c r="I90" s="54"/>
      <c r="J90" s="2"/>
      <c r="K90" s="2"/>
      <c r="L90" s="2"/>
      <c r="M90" s="2"/>
      <c r="N90" s="54"/>
      <c r="O90" s="54"/>
      <c r="P90" s="54"/>
      <c r="Q90" s="54"/>
      <c r="R90" s="54"/>
      <c r="S90" s="2"/>
      <c r="T90" s="54"/>
      <c r="U90" s="2"/>
      <c r="V90" s="2"/>
      <c r="W90" s="2"/>
      <c r="X90" s="2"/>
      <c r="Y90" s="259"/>
      <c r="Z90" s="2"/>
      <c r="AA90" s="264">
        <v>86</v>
      </c>
      <c r="AB90" s="16" t="str">
        <f t="shared" si="57"/>
        <v/>
      </c>
      <c r="AC90" s="16" t="str">
        <f t="shared" si="58"/>
        <v/>
      </c>
      <c r="AD90" s="16" t="str">
        <f t="shared" si="61"/>
        <v/>
      </c>
      <c r="AE90" s="16" t="str">
        <f t="shared" si="62"/>
        <v/>
      </c>
      <c r="AF90" s="16" t="str">
        <f t="shared" si="63"/>
        <v/>
      </c>
      <c r="AG90" s="16" t="str">
        <f t="shared" si="59"/>
        <v/>
      </c>
      <c r="AH90" s="16" t="str">
        <f t="shared" si="60"/>
        <v/>
      </c>
      <c r="AI90" s="29" t="str">
        <f t="shared" si="64"/>
        <v/>
      </c>
      <c r="AJ90" s="29" t="str">
        <f t="shared" si="65"/>
        <v/>
      </c>
      <c r="AK90" s="2"/>
      <c r="AL90" s="2"/>
      <c r="AM90" s="2"/>
      <c r="AN90" s="2"/>
      <c r="AO90" s="2"/>
      <c r="AP90" s="2"/>
      <c r="AQ90" s="2"/>
      <c r="AR90" s="2"/>
      <c r="AS90" s="2"/>
      <c r="AT90" s="2"/>
      <c r="AU90" s="2"/>
      <c r="AV90" s="2"/>
      <c r="AW90" s="2"/>
      <c r="AX90" s="2"/>
      <c r="AY90" s="2"/>
      <c r="AZ90" s="2"/>
      <c r="BA90" s="2"/>
      <c r="BB90" s="2"/>
      <c r="BC90" s="2"/>
      <c r="BF90" s="196"/>
      <c r="BG90" s="201"/>
      <c r="BH90" s="213" t="s">
        <v>53</v>
      </c>
      <c r="BI90" s="214"/>
      <c r="BJ90" s="226"/>
    </row>
    <row r="91" spans="1:82" x14ac:dyDescent="0.25">
      <c r="A91" s="48"/>
      <c r="B91" s="54"/>
      <c r="C91" s="54"/>
      <c r="D91" s="54"/>
      <c r="E91" s="54"/>
      <c r="F91" s="54"/>
      <c r="G91" s="54"/>
      <c r="H91" s="54"/>
      <c r="I91" s="54"/>
      <c r="J91" s="2"/>
      <c r="K91" s="2"/>
      <c r="L91" s="2"/>
      <c r="M91" s="2"/>
      <c r="N91" s="54"/>
      <c r="O91" s="54"/>
      <c r="P91" s="54"/>
      <c r="Q91" s="54"/>
      <c r="R91" s="54"/>
      <c r="S91" s="2"/>
      <c r="T91" s="54"/>
      <c r="U91" s="2"/>
      <c r="V91" s="2"/>
      <c r="W91" s="2"/>
      <c r="X91" s="2"/>
      <c r="Y91" s="259"/>
      <c r="Z91" s="2"/>
      <c r="AA91" s="264">
        <v>87</v>
      </c>
      <c r="AB91" s="16" t="str">
        <f t="shared" si="57"/>
        <v/>
      </c>
      <c r="AC91" s="16" t="str">
        <f t="shared" si="58"/>
        <v/>
      </c>
      <c r="AD91" s="16" t="str">
        <f t="shared" si="61"/>
        <v/>
      </c>
      <c r="AE91" s="16" t="str">
        <f t="shared" si="62"/>
        <v/>
      </c>
      <c r="AF91" s="16" t="str">
        <f t="shared" si="63"/>
        <v/>
      </c>
      <c r="AG91" s="16" t="str">
        <f t="shared" si="59"/>
        <v/>
      </c>
      <c r="AH91" s="16" t="str">
        <f t="shared" si="60"/>
        <v/>
      </c>
      <c r="AI91" s="29" t="str">
        <f t="shared" si="64"/>
        <v/>
      </c>
      <c r="AJ91" s="29" t="str">
        <f t="shared" si="65"/>
        <v/>
      </c>
      <c r="AK91" s="2"/>
      <c r="AL91" s="2"/>
      <c r="AM91" s="2"/>
      <c r="AN91" s="2"/>
      <c r="AO91" s="2"/>
      <c r="AP91" s="2"/>
      <c r="AQ91" s="2"/>
      <c r="AR91" s="2"/>
      <c r="AS91" s="2"/>
      <c r="AT91" s="2"/>
      <c r="AU91" s="2"/>
      <c r="AV91" s="2"/>
      <c r="AW91" s="2"/>
      <c r="AX91" s="2"/>
      <c r="AY91" s="2"/>
      <c r="AZ91" s="2"/>
      <c r="BA91" s="2"/>
      <c r="BB91" s="2"/>
      <c r="BC91" s="2"/>
      <c r="BF91" s="196"/>
      <c r="BG91" s="201"/>
      <c r="BH91" s="195" t="s">
        <v>192</v>
      </c>
      <c r="BI91" s="195" t="s">
        <v>193</v>
      </c>
      <c r="BJ91" s="202"/>
      <c r="BK91" s="195" t="s">
        <v>192</v>
      </c>
      <c r="BL91" s="195" t="s">
        <v>193</v>
      </c>
      <c r="BN91" s="195" t="s">
        <v>192</v>
      </c>
      <c r="BO91" s="195" t="s">
        <v>193</v>
      </c>
      <c r="BQ91" s="195" t="s">
        <v>192</v>
      </c>
      <c r="BR91" s="195" t="s">
        <v>193</v>
      </c>
      <c r="BT91" s="195" t="s">
        <v>192</v>
      </c>
      <c r="BU91" s="195" t="s">
        <v>193</v>
      </c>
      <c r="BW91" s="195" t="s">
        <v>192</v>
      </c>
      <c r="BX91" s="195" t="s">
        <v>193</v>
      </c>
      <c r="BZ91" s="195" t="s">
        <v>192</v>
      </c>
      <c r="CA91" s="195" t="s">
        <v>193</v>
      </c>
      <c r="CC91" s="195" t="s">
        <v>192</v>
      </c>
      <c r="CD91" s="195" t="s">
        <v>193</v>
      </c>
    </row>
    <row r="92" spans="1:82" x14ac:dyDescent="0.25">
      <c r="A92" s="48"/>
      <c r="B92" s="54"/>
      <c r="C92" s="54"/>
      <c r="D92" s="54"/>
      <c r="E92" s="54"/>
      <c r="F92" s="54"/>
      <c r="G92" s="54"/>
      <c r="H92" s="54"/>
      <c r="I92" s="54"/>
      <c r="J92" s="2"/>
      <c r="K92" s="2"/>
      <c r="L92" s="2"/>
      <c r="M92" s="2"/>
      <c r="N92" s="88"/>
      <c r="O92" s="54"/>
      <c r="P92" s="54"/>
      <c r="Q92" s="54"/>
      <c r="R92" s="54"/>
      <c r="S92" s="2"/>
      <c r="T92" s="54"/>
      <c r="U92" s="2"/>
      <c r="V92" s="2"/>
      <c r="W92" s="2"/>
      <c r="X92" s="2"/>
      <c r="Y92" s="259"/>
      <c r="Z92" s="2"/>
      <c r="AA92" s="264">
        <v>88</v>
      </c>
      <c r="AB92" s="16" t="str">
        <f t="shared" si="57"/>
        <v/>
      </c>
      <c r="AC92" s="16" t="str">
        <f t="shared" si="58"/>
        <v/>
      </c>
      <c r="AD92" s="16" t="str">
        <f t="shared" si="61"/>
        <v/>
      </c>
      <c r="AE92" s="16" t="str">
        <f t="shared" si="62"/>
        <v/>
      </c>
      <c r="AF92" s="16" t="str">
        <f t="shared" si="63"/>
        <v/>
      </c>
      <c r="AG92" s="16" t="str">
        <f t="shared" si="59"/>
        <v/>
      </c>
      <c r="AH92" s="16" t="str">
        <f t="shared" si="60"/>
        <v/>
      </c>
      <c r="AI92" s="29" t="str">
        <f t="shared" si="64"/>
        <v/>
      </c>
      <c r="AJ92" s="29" t="str">
        <f t="shared" si="65"/>
        <v/>
      </c>
      <c r="AK92" s="2"/>
      <c r="AL92" s="2"/>
      <c r="AM92" s="2"/>
      <c r="AN92" s="2"/>
      <c r="AO92" s="2"/>
      <c r="AP92" s="2"/>
      <c r="AQ92" s="2"/>
      <c r="AR92" s="2"/>
      <c r="AS92" s="2"/>
      <c r="AT92" s="2"/>
      <c r="AU92" s="2"/>
      <c r="AV92" s="2"/>
      <c r="AW92" s="2"/>
      <c r="AX92" s="2"/>
      <c r="AY92" s="2"/>
      <c r="AZ92" s="2"/>
      <c r="BA92" s="2"/>
      <c r="BB92" s="2"/>
      <c r="BC92" s="2"/>
      <c r="BF92" s="208"/>
      <c r="BG92" s="215">
        <f t="shared" ref="BG92:BG123" si="66">IF($BI$84&gt;=$AA5,$AA5,"")</f>
        <v>1</v>
      </c>
      <c r="BH92" s="216">
        <f t="shared" ref="BH92:BH123" si="67">IF($BG92&lt;&gt;"",$BI$86+($BI$85)*COS( PI()/180*($BI$88+($BG92-1)*360/$BI$84))/2,"")</f>
        <v>7.3151999999999999</v>
      </c>
      <c r="BI92" s="216">
        <f t="shared" ref="BI92:BI123" si="68">IF($BG92&lt;&gt;"",$BI$87+($BI$85)*SIN( PI()/180*($BI$88+($BG92-1)*360/$BI$84))/2,"")</f>
        <v>3.6576</v>
      </c>
      <c r="BJ92" s="215" t="str">
        <f t="shared" ref="BJ92:BJ123" si="69">IF($BI$84&gt;=$AA55,$AA55,"")</f>
        <v/>
      </c>
      <c r="BK92" s="216" t="str">
        <f t="shared" ref="BK92:BK123" si="70">IF($BJ92&lt;&gt;"",$BI$86+($BI$85)*COS( PI()/180*($BI$88+($BJ92-1)*360/$BI$84))/2,"")</f>
        <v/>
      </c>
      <c r="BL92" s="228" t="str">
        <f t="shared" ref="BL92:BL123" si="71">IF($BJ92&lt;&gt;"",$BI$87+($BI$85)*SIN( PI()/180*($BI$88+($BJ92-1)*360/$BI$84))/2,"")</f>
        <v/>
      </c>
      <c r="BM92" s="215" t="str">
        <f t="shared" ref="BM92:BM123" si="72">IF($BI$84&gt;=$AA105,$AA105,"")</f>
        <v/>
      </c>
      <c r="BN92" s="216" t="str">
        <f t="shared" ref="BN92:BN123" si="73">IF($BM92&lt;&gt;"",$BI$86+($BI$85)*COS( PI()/180*($BI$88+($BM92-1)*360/$BI$84))/2,"")</f>
        <v/>
      </c>
      <c r="BO92" s="228" t="str">
        <f t="shared" ref="BO92:BO123" si="74">IF($BM92&lt;&gt;"",$BI$87+($BI$85)*SIN( PI()/180*($BI$88+($BM92-1)*360/$BI$84))/2,"")</f>
        <v/>
      </c>
      <c r="BP92" s="215" t="str">
        <f t="shared" ref="BP92:BP123" si="75">IF($BI$84&gt;=$AA155,$AA155,"")</f>
        <v/>
      </c>
      <c r="BQ92" s="216" t="str">
        <f t="shared" ref="BQ92:BQ123" si="76">IF($BP92&lt;&gt;"",$BI$86+($BI$85)*COS( PI()/180*($BI$88+($BP92-1)*360/$BI$84))/2,"")</f>
        <v/>
      </c>
      <c r="BR92" s="228" t="str">
        <f t="shared" ref="BR92:BR123" si="77">IF($BP92&lt;&gt;"",$BI$87+($BI$85)*SIN( PI()/180*($BI$88+($BP92-1)*360/$BI$84))/2,"")</f>
        <v/>
      </c>
      <c r="BS92" s="215" t="str">
        <f t="shared" ref="BS92:BS123" si="78">IF($BI$84&gt;=$AA205,$AA205,"")</f>
        <v/>
      </c>
      <c r="BT92" s="216" t="str">
        <f t="shared" ref="BT92:BT123" si="79">IF($BS92&lt;&gt;"",$BI$86+($BI$85)*COS( PI()/180*($BI$88+($BS92-1)*360/$BI$84))/2,"")</f>
        <v/>
      </c>
      <c r="BU92" s="228" t="str">
        <f t="shared" ref="BU92:BU123" si="80">IF($BS92&lt;&gt;"",$BI$87+($BI$85)*SIN( PI()/180*($BI$88+($BS92-1)*360/$BI$84))/2,"")</f>
        <v/>
      </c>
      <c r="BV92" s="215" t="str">
        <f t="shared" ref="BV92:BV123" si="81">IF($BI$84&gt;=$AA255,$AA255,"")</f>
        <v/>
      </c>
      <c r="BW92" s="216" t="str">
        <f t="shared" ref="BW92:BW123" si="82">IF($BV92&lt;&gt;"",$BI$86+($BI$85)*COS( PI()/180*($BI$88+($BV92-1)*360/$BI$84))/2,"")</f>
        <v/>
      </c>
      <c r="BX92" s="228" t="str">
        <f t="shared" ref="BX92:BX123" si="83">IF($BV92&lt;&gt;"",$BI$87+($BI$85)*SIN( PI()/180*($BI$88+($BV92-1)*360/$BI$84))/2,"")</f>
        <v/>
      </c>
      <c r="BY92" s="215" t="str">
        <f t="shared" ref="BY92:BY123" si="84">IF($BI$84&gt;=$AA305,$AA305,"")</f>
        <v/>
      </c>
      <c r="BZ92" s="216" t="str">
        <f t="shared" ref="BZ92:BZ123" si="85">IF($BY92&lt;&gt;"",$BI$86+($BI$85)*COS( PI()/180*($BI$88+($BY92-1)*360/$BI$84))/2,"")</f>
        <v/>
      </c>
      <c r="CA92" s="228" t="str">
        <f t="shared" ref="CA92:CA123" si="86">IF($BY92&lt;&gt;"",$BI$87+($BI$85)*SIN( PI()/180*($BI$88+($BY92-1)*360/$BI$84))/2,"")</f>
        <v/>
      </c>
      <c r="CB92" s="215" t="str">
        <f t="shared" ref="CB92:CB123" si="87">IF($BI$84&gt;=$AA355,$AA355,"")</f>
        <v/>
      </c>
      <c r="CC92" s="216" t="str">
        <f t="shared" ref="CC92:CC123" si="88">IF($CB92&lt;&gt;"",$BI$86+($BI$85)*COS( PI()/180*($BI$88+($CB92-1)*360/$BI$84))/2,"")</f>
        <v/>
      </c>
      <c r="CD92" s="228" t="str">
        <f t="shared" ref="CD92:CD123" si="89">IF($CB92&lt;&gt;"",$BI$87+($BI$85)*SIN( PI()/180*($BI$88+($CB92-1)*360/$BI$84))/2,"")</f>
        <v/>
      </c>
    </row>
    <row r="93" spans="1:82" x14ac:dyDescent="0.25">
      <c r="A93" s="48"/>
      <c r="B93" s="54"/>
      <c r="C93" s="54"/>
      <c r="D93" s="54"/>
      <c r="E93" s="54"/>
      <c r="F93" s="54"/>
      <c r="G93" s="54"/>
      <c r="H93" s="54"/>
      <c r="I93" s="54"/>
      <c r="J93" s="2"/>
      <c r="K93" s="2"/>
      <c r="L93" s="2"/>
      <c r="M93" s="2"/>
      <c r="N93" s="53"/>
      <c r="O93" s="53"/>
      <c r="P93" s="54"/>
      <c r="Q93" s="53"/>
      <c r="R93" s="53"/>
      <c r="S93" s="2"/>
      <c r="T93" s="54"/>
      <c r="U93" s="2"/>
      <c r="V93" s="2"/>
      <c r="W93" s="2"/>
      <c r="X93" s="2"/>
      <c r="Y93" s="259"/>
      <c r="Z93" s="2"/>
      <c r="AA93" s="264">
        <v>89</v>
      </c>
      <c r="AB93" s="16" t="str">
        <f t="shared" si="57"/>
        <v/>
      </c>
      <c r="AC93" s="16" t="str">
        <f t="shared" si="58"/>
        <v/>
      </c>
      <c r="AD93" s="16" t="str">
        <f t="shared" si="61"/>
        <v/>
      </c>
      <c r="AE93" s="16" t="str">
        <f t="shared" si="62"/>
        <v/>
      </c>
      <c r="AF93" s="16" t="str">
        <f t="shared" si="63"/>
        <v/>
      </c>
      <c r="AG93" s="16" t="str">
        <f t="shared" si="59"/>
        <v/>
      </c>
      <c r="AH93" s="16" t="str">
        <f t="shared" si="60"/>
        <v/>
      </c>
      <c r="AI93" s="29" t="str">
        <f t="shared" si="64"/>
        <v/>
      </c>
      <c r="AJ93" s="29" t="str">
        <f t="shared" si="65"/>
        <v/>
      </c>
      <c r="AK93" s="2"/>
      <c r="AL93" s="2"/>
      <c r="AM93" s="2"/>
      <c r="AN93" s="2"/>
      <c r="AO93" s="2"/>
      <c r="AP93" s="2"/>
      <c r="AQ93" s="2"/>
      <c r="AR93" s="2"/>
      <c r="AS93" s="2"/>
      <c r="AT93" s="2"/>
      <c r="AU93" s="2"/>
      <c r="AV93" s="2"/>
      <c r="AW93" s="2"/>
      <c r="AX93" s="2"/>
      <c r="AY93" s="2"/>
      <c r="AZ93" s="2"/>
      <c r="BA93" s="2"/>
      <c r="BB93" s="2"/>
      <c r="BC93" s="2"/>
      <c r="BF93" s="208"/>
      <c r="BG93" s="215">
        <f t="shared" si="66"/>
        <v>2</v>
      </c>
      <c r="BH93" s="217">
        <f t="shared" si="67"/>
        <v>6.2439137628679164</v>
      </c>
      <c r="BI93" s="217">
        <f t="shared" si="68"/>
        <v>6.2439137628679156</v>
      </c>
      <c r="BJ93" s="215" t="str">
        <f t="shared" si="69"/>
        <v/>
      </c>
      <c r="BK93" s="217" t="str">
        <f t="shared" si="70"/>
        <v/>
      </c>
      <c r="BL93" s="217" t="str">
        <f t="shared" si="71"/>
        <v/>
      </c>
      <c r="BM93" s="215" t="str">
        <f t="shared" si="72"/>
        <v/>
      </c>
      <c r="BN93" s="217" t="str">
        <f t="shared" si="73"/>
        <v/>
      </c>
      <c r="BO93" s="217" t="str">
        <f t="shared" si="74"/>
        <v/>
      </c>
      <c r="BP93" s="215" t="str">
        <f t="shared" si="75"/>
        <v/>
      </c>
      <c r="BQ93" s="217" t="str">
        <f t="shared" si="76"/>
        <v/>
      </c>
      <c r="BR93" s="217" t="str">
        <f t="shared" si="77"/>
        <v/>
      </c>
      <c r="BS93" s="215" t="str">
        <f t="shared" si="78"/>
        <v/>
      </c>
      <c r="BT93" s="217" t="str">
        <f t="shared" si="79"/>
        <v/>
      </c>
      <c r="BU93" s="217" t="str">
        <f t="shared" si="80"/>
        <v/>
      </c>
      <c r="BV93" s="215" t="str">
        <f t="shared" si="81"/>
        <v/>
      </c>
      <c r="BW93" s="217" t="str">
        <f t="shared" si="82"/>
        <v/>
      </c>
      <c r="BX93" s="217" t="str">
        <f t="shared" si="83"/>
        <v/>
      </c>
      <c r="BY93" s="215" t="str">
        <f t="shared" si="84"/>
        <v/>
      </c>
      <c r="BZ93" s="217" t="str">
        <f t="shared" si="85"/>
        <v/>
      </c>
      <c r="CA93" s="217" t="str">
        <f t="shared" si="86"/>
        <v/>
      </c>
      <c r="CB93" s="215" t="str">
        <f t="shared" si="87"/>
        <v/>
      </c>
      <c r="CC93" s="217" t="str">
        <f t="shared" si="88"/>
        <v/>
      </c>
      <c r="CD93" s="217" t="str">
        <f t="shared" si="89"/>
        <v/>
      </c>
    </row>
    <row r="94" spans="1:82" x14ac:dyDescent="0.25">
      <c r="A94" s="48"/>
      <c r="B94" s="54"/>
      <c r="C94" s="54"/>
      <c r="D94" s="54"/>
      <c r="E94" s="54"/>
      <c r="F94" s="54"/>
      <c r="G94" s="54"/>
      <c r="H94" s="54"/>
      <c r="I94" s="54"/>
      <c r="J94" s="2"/>
      <c r="K94" s="2"/>
      <c r="L94" s="2"/>
      <c r="M94" s="2"/>
      <c r="N94" s="77"/>
      <c r="O94" s="77"/>
      <c r="P94" s="54"/>
      <c r="Q94" s="77"/>
      <c r="R94" s="77"/>
      <c r="S94" s="2"/>
      <c r="T94" s="54"/>
      <c r="U94" s="2"/>
      <c r="V94" s="2"/>
      <c r="W94" s="2"/>
      <c r="X94" s="2"/>
      <c r="Y94" s="259"/>
      <c r="Z94" s="2"/>
      <c r="AA94" s="264">
        <v>90</v>
      </c>
      <c r="AB94" s="16" t="str">
        <f t="shared" si="57"/>
        <v/>
      </c>
      <c r="AC94" s="16" t="str">
        <f t="shared" si="58"/>
        <v/>
      </c>
      <c r="AD94" s="16" t="str">
        <f t="shared" si="61"/>
        <v/>
      </c>
      <c r="AE94" s="16" t="str">
        <f t="shared" si="62"/>
        <v/>
      </c>
      <c r="AF94" s="16" t="str">
        <f t="shared" si="63"/>
        <v/>
      </c>
      <c r="AG94" s="16" t="str">
        <f t="shared" si="59"/>
        <v/>
      </c>
      <c r="AH94" s="16" t="str">
        <f t="shared" si="60"/>
        <v/>
      </c>
      <c r="AI94" s="29" t="str">
        <f t="shared" si="64"/>
        <v/>
      </c>
      <c r="AJ94" s="29" t="str">
        <f t="shared" si="65"/>
        <v/>
      </c>
      <c r="AK94" s="2"/>
      <c r="AL94" s="2"/>
      <c r="AM94" s="2"/>
      <c r="AN94" s="2"/>
      <c r="AO94" s="2"/>
      <c r="AP94" s="2"/>
      <c r="AQ94" s="2"/>
      <c r="AR94" s="2"/>
      <c r="AS94" s="2"/>
      <c r="AT94" s="2"/>
      <c r="AU94" s="2"/>
      <c r="AV94" s="2"/>
      <c r="AW94" s="2"/>
      <c r="AX94" s="2"/>
      <c r="AY94" s="2"/>
      <c r="AZ94" s="2"/>
      <c r="BA94" s="2"/>
      <c r="BB94" s="2"/>
      <c r="BC94" s="2"/>
      <c r="BF94" s="208"/>
      <c r="BG94" s="215">
        <f t="shared" si="66"/>
        <v>3</v>
      </c>
      <c r="BH94" s="217">
        <f t="shared" si="67"/>
        <v>3.6576000000000004</v>
      </c>
      <c r="BI94" s="217">
        <f t="shared" si="68"/>
        <v>7.3151999999999999</v>
      </c>
      <c r="BJ94" s="215" t="str">
        <f t="shared" si="69"/>
        <v/>
      </c>
      <c r="BK94" s="217" t="str">
        <f t="shared" si="70"/>
        <v/>
      </c>
      <c r="BL94" s="217" t="str">
        <f t="shared" si="71"/>
        <v/>
      </c>
      <c r="BM94" s="215" t="str">
        <f t="shared" si="72"/>
        <v/>
      </c>
      <c r="BN94" s="217" t="str">
        <f t="shared" si="73"/>
        <v/>
      </c>
      <c r="BO94" s="217" t="str">
        <f t="shared" si="74"/>
        <v/>
      </c>
      <c r="BP94" s="215" t="str">
        <f t="shared" si="75"/>
        <v/>
      </c>
      <c r="BQ94" s="217" t="str">
        <f t="shared" si="76"/>
        <v/>
      </c>
      <c r="BR94" s="217" t="str">
        <f t="shared" si="77"/>
        <v/>
      </c>
      <c r="BS94" s="215" t="str">
        <f t="shared" si="78"/>
        <v/>
      </c>
      <c r="BT94" s="217" t="str">
        <f t="shared" si="79"/>
        <v/>
      </c>
      <c r="BU94" s="217" t="str">
        <f t="shared" si="80"/>
        <v/>
      </c>
      <c r="BV94" s="215" t="str">
        <f t="shared" si="81"/>
        <v/>
      </c>
      <c r="BW94" s="217" t="str">
        <f t="shared" si="82"/>
        <v/>
      </c>
      <c r="BX94" s="217" t="str">
        <f t="shared" si="83"/>
        <v/>
      </c>
      <c r="BY94" s="215" t="str">
        <f t="shared" si="84"/>
        <v/>
      </c>
      <c r="BZ94" s="217" t="str">
        <f t="shared" si="85"/>
        <v/>
      </c>
      <c r="CA94" s="217" t="str">
        <f t="shared" si="86"/>
        <v/>
      </c>
      <c r="CB94" s="215" t="str">
        <f t="shared" si="87"/>
        <v/>
      </c>
      <c r="CC94" s="217" t="str">
        <f t="shared" si="88"/>
        <v/>
      </c>
      <c r="CD94" s="217" t="str">
        <f t="shared" si="89"/>
        <v/>
      </c>
    </row>
    <row r="95" spans="1:82" x14ac:dyDescent="0.25">
      <c r="A95" s="48"/>
      <c r="B95" s="54"/>
      <c r="C95" s="54"/>
      <c r="D95" s="54"/>
      <c r="E95" s="54"/>
      <c r="F95" s="54"/>
      <c r="G95" s="54"/>
      <c r="H95" s="54"/>
      <c r="I95" s="54"/>
      <c r="J95" s="2"/>
      <c r="K95" s="2"/>
      <c r="L95" s="2"/>
      <c r="M95" s="2"/>
      <c r="N95" s="81"/>
      <c r="O95" s="81"/>
      <c r="P95" s="54"/>
      <c r="Q95" s="81"/>
      <c r="R95" s="81"/>
      <c r="S95" s="2"/>
      <c r="T95" s="54"/>
      <c r="U95" s="2"/>
      <c r="V95" s="2"/>
      <c r="W95" s="2"/>
      <c r="X95" s="2"/>
      <c r="Y95" s="259"/>
      <c r="Z95" s="2"/>
      <c r="AA95" s="264">
        <v>91</v>
      </c>
      <c r="AB95" s="16" t="str">
        <f t="shared" si="57"/>
        <v/>
      </c>
      <c r="AC95" s="16" t="str">
        <f t="shared" si="58"/>
        <v/>
      </c>
      <c r="AD95" s="16" t="str">
        <f t="shared" si="61"/>
        <v/>
      </c>
      <c r="AE95" s="16" t="str">
        <f t="shared" si="62"/>
        <v/>
      </c>
      <c r="AF95" s="16" t="str">
        <f t="shared" si="63"/>
        <v/>
      </c>
      <c r="AG95" s="16" t="str">
        <f t="shared" si="59"/>
        <v/>
      </c>
      <c r="AH95" s="16" t="str">
        <f t="shared" si="60"/>
        <v/>
      </c>
      <c r="AI95" s="29" t="str">
        <f t="shared" si="64"/>
        <v/>
      </c>
      <c r="AJ95" s="29" t="str">
        <f t="shared" si="65"/>
        <v/>
      </c>
      <c r="AK95" s="2"/>
      <c r="AL95" s="2"/>
      <c r="AM95" s="2"/>
      <c r="AN95" s="2"/>
      <c r="AO95" s="2"/>
      <c r="AP95" s="2"/>
      <c r="AQ95" s="2"/>
      <c r="AR95" s="2"/>
      <c r="AS95" s="2"/>
      <c r="AT95" s="2"/>
      <c r="AU95" s="2"/>
      <c r="AV95" s="2"/>
      <c r="AW95" s="2"/>
      <c r="AX95" s="2"/>
      <c r="AY95" s="2"/>
      <c r="AZ95" s="2"/>
      <c r="BA95" s="2"/>
      <c r="BB95" s="2"/>
      <c r="BC95" s="2"/>
      <c r="BF95" s="208"/>
      <c r="BG95" s="215">
        <f t="shared" si="66"/>
        <v>4</v>
      </c>
      <c r="BH95" s="217">
        <f t="shared" si="67"/>
        <v>1.0712862371320839</v>
      </c>
      <c r="BI95" s="217">
        <f t="shared" si="68"/>
        <v>6.2439137628679164</v>
      </c>
      <c r="BJ95" s="215" t="str">
        <f t="shared" si="69"/>
        <v/>
      </c>
      <c r="BK95" s="217" t="str">
        <f t="shared" si="70"/>
        <v/>
      </c>
      <c r="BL95" s="217" t="str">
        <f t="shared" si="71"/>
        <v/>
      </c>
      <c r="BM95" s="215" t="str">
        <f t="shared" si="72"/>
        <v/>
      </c>
      <c r="BN95" s="217" t="str">
        <f t="shared" si="73"/>
        <v/>
      </c>
      <c r="BO95" s="217" t="str">
        <f t="shared" si="74"/>
        <v/>
      </c>
      <c r="BP95" s="215" t="str">
        <f t="shared" si="75"/>
        <v/>
      </c>
      <c r="BQ95" s="217" t="str">
        <f t="shared" si="76"/>
        <v/>
      </c>
      <c r="BR95" s="217" t="str">
        <f t="shared" si="77"/>
        <v/>
      </c>
      <c r="BS95" s="215" t="str">
        <f t="shared" si="78"/>
        <v/>
      </c>
      <c r="BT95" s="217" t="str">
        <f t="shared" si="79"/>
        <v/>
      </c>
      <c r="BU95" s="217" t="str">
        <f t="shared" si="80"/>
        <v/>
      </c>
      <c r="BV95" s="215" t="str">
        <f t="shared" si="81"/>
        <v/>
      </c>
      <c r="BW95" s="217" t="str">
        <f t="shared" si="82"/>
        <v/>
      </c>
      <c r="BX95" s="217" t="str">
        <f t="shared" si="83"/>
        <v/>
      </c>
      <c r="BY95" s="215" t="str">
        <f t="shared" si="84"/>
        <v/>
      </c>
      <c r="BZ95" s="217" t="str">
        <f t="shared" si="85"/>
        <v/>
      </c>
      <c r="CA95" s="217" t="str">
        <f t="shared" si="86"/>
        <v/>
      </c>
      <c r="CB95" s="215" t="str">
        <f t="shared" si="87"/>
        <v/>
      </c>
      <c r="CC95" s="217" t="str">
        <f t="shared" si="88"/>
        <v/>
      </c>
      <c r="CD95" s="217" t="str">
        <f t="shared" si="89"/>
        <v/>
      </c>
    </row>
    <row r="96" spans="1:82" x14ac:dyDescent="0.25">
      <c r="A96" s="48"/>
      <c r="B96" s="54"/>
      <c r="C96" s="54"/>
      <c r="D96" s="54"/>
      <c r="E96" s="54"/>
      <c r="F96" s="54"/>
      <c r="G96" s="54"/>
      <c r="H96" s="54"/>
      <c r="I96" s="54"/>
      <c r="J96" s="2"/>
      <c r="K96" s="2"/>
      <c r="L96" s="2"/>
      <c r="M96" s="2"/>
      <c r="N96" s="54"/>
      <c r="O96" s="54"/>
      <c r="P96" s="54"/>
      <c r="Q96" s="54"/>
      <c r="R96" s="54"/>
      <c r="S96" s="2"/>
      <c r="T96" s="54"/>
      <c r="U96" s="2"/>
      <c r="V96" s="2"/>
      <c r="W96" s="2"/>
      <c r="X96" s="2"/>
      <c r="Y96" s="259"/>
      <c r="Z96" s="2"/>
      <c r="AA96" s="264">
        <v>92</v>
      </c>
      <c r="AB96" s="16" t="str">
        <f t="shared" si="57"/>
        <v/>
      </c>
      <c r="AC96" s="16" t="str">
        <f t="shared" si="58"/>
        <v/>
      </c>
      <c r="AD96" s="16" t="str">
        <f t="shared" si="61"/>
        <v/>
      </c>
      <c r="AE96" s="16" t="str">
        <f t="shared" si="62"/>
        <v/>
      </c>
      <c r="AF96" s="16" t="str">
        <f t="shared" si="63"/>
        <v/>
      </c>
      <c r="AG96" s="16" t="str">
        <f t="shared" si="59"/>
        <v/>
      </c>
      <c r="AH96" s="16" t="str">
        <f t="shared" si="60"/>
        <v/>
      </c>
      <c r="AI96" s="29" t="str">
        <f t="shared" si="64"/>
        <v/>
      </c>
      <c r="AJ96" s="29" t="str">
        <f t="shared" si="65"/>
        <v/>
      </c>
      <c r="AK96" s="2"/>
      <c r="AL96" s="2"/>
      <c r="AM96" s="2"/>
      <c r="AN96" s="2"/>
      <c r="AO96" s="2"/>
      <c r="AP96" s="2"/>
      <c r="AQ96" s="2"/>
      <c r="AR96" s="2"/>
      <c r="AS96" s="2"/>
      <c r="AT96" s="2"/>
      <c r="AU96" s="2"/>
      <c r="AV96" s="2"/>
      <c r="AW96" s="2"/>
      <c r="AX96" s="2"/>
      <c r="AY96" s="2"/>
      <c r="AZ96" s="2"/>
      <c r="BA96" s="2"/>
      <c r="BB96" s="2"/>
      <c r="BC96" s="2"/>
      <c r="BF96" s="208"/>
      <c r="BG96" s="215">
        <f t="shared" si="66"/>
        <v>5</v>
      </c>
      <c r="BH96" s="217">
        <f t="shared" si="67"/>
        <v>0</v>
      </c>
      <c r="BI96" s="217">
        <f t="shared" si="68"/>
        <v>3.6576000000000004</v>
      </c>
      <c r="BJ96" s="215" t="str">
        <f t="shared" si="69"/>
        <v/>
      </c>
      <c r="BK96" s="217" t="str">
        <f t="shared" si="70"/>
        <v/>
      </c>
      <c r="BL96" s="217" t="str">
        <f t="shared" si="71"/>
        <v/>
      </c>
      <c r="BM96" s="215" t="str">
        <f t="shared" si="72"/>
        <v/>
      </c>
      <c r="BN96" s="217" t="str">
        <f t="shared" si="73"/>
        <v/>
      </c>
      <c r="BO96" s="217" t="str">
        <f t="shared" si="74"/>
        <v/>
      </c>
      <c r="BP96" s="215" t="str">
        <f t="shared" si="75"/>
        <v/>
      </c>
      <c r="BQ96" s="217" t="str">
        <f t="shared" si="76"/>
        <v/>
      </c>
      <c r="BR96" s="217" t="str">
        <f t="shared" si="77"/>
        <v/>
      </c>
      <c r="BS96" s="215" t="str">
        <f t="shared" si="78"/>
        <v/>
      </c>
      <c r="BT96" s="217" t="str">
        <f t="shared" si="79"/>
        <v/>
      </c>
      <c r="BU96" s="217" t="str">
        <f t="shared" si="80"/>
        <v/>
      </c>
      <c r="BV96" s="215" t="str">
        <f t="shared" si="81"/>
        <v/>
      </c>
      <c r="BW96" s="217" t="str">
        <f t="shared" si="82"/>
        <v/>
      </c>
      <c r="BX96" s="217" t="str">
        <f t="shared" si="83"/>
        <v/>
      </c>
      <c r="BY96" s="215" t="str">
        <f t="shared" si="84"/>
        <v/>
      </c>
      <c r="BZ96" s="217" t="str">
        <f t="shared" si="85"/>
        <v/>
      </c>
      <c r="CA96" s="217" t="str">
        <f t="shared" si="86"/>
        <v/>
      </c>
      <c r="CB96" s="215" t="str">
        <f t="shared" si="87"/>
        <v/>
      </c>
      <c r="CC96" s="217" t="str">
        <f t="shared" si="88"/>
        <v/>
      </c>
      <c r="CD96" s="217" t="str">
        <f t="shared" si="89"/>
        <v/>
      </c>
    </row>
    <row r="97" spans="1:82" x14ac:dyDescent="0.25">
      <c r="A97" s="48"/>
      <c r="B97" s="54"/>
      <c r="C97" s="54"/>
      <c r="D97" s="54"/>
      <c r="E97" s="54"/>
      <c r="F97" s="54"/>
      <c r="G97" s="54"/>
      <c r="H97" s="54"/>
      <c r="I97" s="54"/>
      <c r="J97" s="2"/>
      <c r="K97" s="2"/>
      <c r="L97" s="2"/>
      <c r="M97" s="2"/>
      <c r="N97" s="54"/>
      <c r="O97" s="54"/>
      <c r="P97" s="54"/>
      <c r="Q97" s="54"/>
      <c r="R97" s="54"/>
      <c r="S97" s="2"/>
      <c r="T97" s="54"/>
      <c r="U97" s="2"/>
      <c r="V97" s="2"/>
      <c r="W97" s="2"/>
      <c r="X97" s="2"/>
      <c r="Y97" s="259"/>
      <c r="Z97" s="2"/>
      <c r="AA97" s="264">
        <v>93</v>
      </c>
      <c r="AB97" s="16" t="str">
        <f t="shared" si="57"/>
        <v/>
      </c>
      <c r="AC97" s="16" t="str">
        <f t="shared" si="58"/>
        <v/>
      </c>
      <c r="AD97" s="16" t="str">
        <f t="shared" si="61"/>
        <v/>
      </c>
      <c r="AE97" s="16" t="str">
        <f t="shared" si="62"/>
        <v/>
      </c>
      <c r="AF97" s="16" t="str">
        <f t="shared" si="63"/>
        <v/>
      </c>
      <c r="AG97" s="16" t="str">
        <f t="shared" si="59"/>
        <v/>
      </c>
      <c r="AH97" s="16" t="str">
        <f t="shared" si="60"/>
        <v/>
      </c>
      <c r="AI97" s="29" t="str">
        <f t="shared" si="64"/>
        <v/>
      </c>
      <c r="AJ97" s="29" t="str">
        <f t="shared" si="65"/>
        <v/>
      </c>
      <c r="AK97" s="2"/>
      <c r="AL97" s="2"/>
      <c r="AM97" s="2"/>
      <c r="AN97" s="2"/>
      <c r="AO97" s="2"/>
      <c r="AP97" s="2"/>
      <c r="AQ97" s="2"/>
      <c r="AR97" s="2"/>
      <c r="AS97" s="2"/>
      <c r="AT97" s="2"/>
      <c r="AU97" s="2"/>
      <c r="AV97" s="2"/>
      <c r="AW97" s="2"/>
      <c r="AX97" s="2"/>
      <c r="AY97" s="2"/>
      <c r="AZ97" s="2"/>
      <c r="BA97" s="2"/>
      <c r="BB97" s="2"/>
      <c r="BC97" s="2"/>
      <c r="BF97" s="208"/>
      <c r="BG97" s="215">
        <f t="shared" si="66"/>
        <v>6</v>
      </c>
      <c r="BH97" s="217">
        <f t="shared" si="67"/>
        <v>1.071286237132083</v>
      </c>
      <c r="BI97" s="217">
        <f t="shared" si="68"/>
        <v>1.0712862371320839</v>
      </c>
      <c r="BJ97" s="215" t="str">
        <f t="shared" si="69"/>
        <v/>
      </c>
      <c r="BK97" s="217" t="str">
        <f t="shared" si="70"/>
        <v/>
      </c>
      <c r="BL97" s="217" t="str">
        <f t="shared" si="71"/>
        <v/>
      </c>
      <c r="BM97" s="215" t="str">
        <f t="shared" si="72"/>
        <v/>
      </c>
      <c r="BN97" s="217" t="str">
        <f t="shared" si="73"/>
        <v/>
      </c>
      <c r="BO97" s="217" t="str">
        <f t="shared" si="74"/>
        <v/>
      </c>
      <c r="BP97" s="215" t="str">
        <f t="shared" si="75"/>
        <v/>
      </c>
      <c r="BQ97" s="217" t="str">
        <f t="shared" si="76"/>
        <v/>
      </c>
      <c r="BR97" s="217" t="str">
        <f t="shared" si="77"/>
        <v/>
      </c>
      <c r="BS97" s="215" t="str">
        <f t="shared" si="78"/>
        <v/>
      </c>
      <c r="BT97" s="217" t="str">
        <f t="shared" si="79"/>
        <v/>
      </c>
      <c r="BU97" s="217" t="str">
        <f t="shared" si="80"/>
        <v/>
      </c>
      <c r="BV97" s="215" t="str">
        <f t="shared" si="81"/>
        <v/>
      </c>
      <c r="BW97" s="217" t="str">
        <f t="shared" si="82"/>
        <v/>
      </c>
      <c r="BX97" s="217" t="str">
        <f t="shared" si="83"/>
        <v/>
      </c>
      <c r="BY97" s="215" t="str">
        <f t="shared" si="84"/>
        <v/>
      </c>
      <c r="BZ97" s="217" t="str">
        <f t="shared" si="85"/>
        <v/>
      </c>
      <c r="CA97" s="217" t="str">
        <f t="shared" si="86"/>
        <v/>
      </c>
      <c r="CB97" s="215" t="str">
        <f t="shared" si="87"/>
        <v/>
      </c>
      <c r="CC97" s="217" t="str">
        <f t="shared" si="88"/>
        <v/>
      </c>
      <c r="CD97" s="217" t="str">
        <f t="shared" si="89"/>
        <v/>
      </c>
    </row>
    <row r="98" spans="1:82" x14ac:dyDescent="0.25">
      <c r="A98" s="48"/>
      <c r="B98" s="54"/>
      <c r="C98" s="54"/>
      <c r="D98" s="54"/>
      <c r="E98" s="54"/>
      <c r="F98" s="54"/>
      <c r="G98" s="54"/>
      <c r="H98" s="54"/>
      <c r="I98" s="54"/>
      <c r="J98" s="2"/>
      <c r="K98" s="2"/>
      <c r="L98" s="2"/>
      <c r="M98" s="2"/>
      <c r="N98" s="54"/>
      <c r="O98" s="54"/>
      <c r="P98" s="54"/>
      <c r="Q98" s="54"/>
      <c r="R98" s="54"/>
      <c r="S98" s="2"/>
      <c r="T98" s="54"/>
      <c r="U98" s="2"/>
      <c r="V98" s="2"/>
      <c r="W98" s="2"/>
      <c r="X98" s="2"/>
      <c r="Y98" s="259"/>
      <c r="Z98" s="2"/>
      <c r="AA98" s="264">
        <v>94</v>
      </c>
      <c r="AB98" s="16" t="str">
        <f t="shared" si="57"/>
        <v/>
      </c>
      <c r="AC98" s="16" t="str">
        <f t="shared" si="58"/>
        <v/>
      </c>
      <c r="AD98" s="16" t="str">
        <f t="shared" si="61"/>
        <v/>
      </c>
      <c r="AE98" s="16" t="str">
        <f t="shared" si="62"/>
        <v/>
      </c>
      <c r="AF98" s="16" t="str">
        <f t="shared" si="63"/>
        <v/>
      </c>
      <c r="AG98" s="16" t="str">
        <f t="shared" si="59"/>
        <v/>
      </c>
      <c r="AH98" s="16" t="str">
        <f t="shared" si="60"/>
        <v/>
      </c>
      <c r="AI98" s="29" t="str">
        <f t="shared" si="64"/>
        <v/>
      </c>
      <c r="AJ98" s="29" t="str">
        <f t="shared" si="65"/>
        <v/>
      </c>
      <c r="AK98" s="2"/>
      <c r="AL98" s="2"/>
      <c r="AM98" s="2"/>
      <c r="AN98" s="2"/>
      <c r="AO98" s="2"/>
      <c r="AP98" s="2"/>
      <c r="AQ98" s="2"/>
      <c r="AR98" s="2"/>
      <c r="AS98" s="2"/>
      <c r="AT98" s="2"/>
      <c r="AU98" s="2"/>
      <c r="AV98" s="2"/>
      <c r="AW98" s="2"/>
      <c r="AX98" s="2"/>
      <c r="AY98" s="2"/>
      <c r="AZ98" s="2"/>
      <c r="BA98" s="2"/>
      <c r="BB98" s="2"/>
      <c r="BC98" s="2"/>
      <c r="BF98" s="208"/>
      <c r="BG98" s="215">
        <f t="shared" si="66"/>
        <v>7</v>
      </c>
      <c r="BH98" s="217">
        <f t="shared" si="67"/>
        <v>3.6575999999999991</v>
      </c>
      <c r="BI98" s="217">
        <f t="shared" si="68"/>
        <v>0</v>
      </c>
      <c r="BJ98" s="215" t="str">
        <f t="shared" si="69"/>
        <v/>
      </c>
      <c r="BK98" s="217" t="str">
        <f t="shared" si="70"/>
        <v/>
      </c>
      <c r="BL98" s="217" t="str">
        <f t="shared" si="71"/>
        <v/>
      </c>
      <c r="BM98" s="215" t="str">
        <f t="shared" si="72"/>
        <v/>
      </c>
      <c r="BN98" s="217" t="str">
        <f t="shared" si="73"/>
        <v/>
      </c>
      <c r="BO98" s="217" t="str">
        <f t="shared" si="74"/>
        <v/>
      </c>
      <c r="BP98" s="215" t="str">
        <f t="shared" si="75"/>
        <v/>
      </c>
      <c r="BQ98" s="217" t="str">
        <f t="shared" si="76"/>
        <v/>
      </c>
      <c r="BR98" s="217" t="str">
        <f t="shared" si="77"/>
        <v/>
      </c>
      <c r="BS98" s="215" t="str">
        <f t="shared" si="78"/>
        <v/>
      </c>
      <c r="BT98" s="217" t="str">
        <f t="shared" si="79"/>
        <v/>
      </c>
      <c r="BU98" s="217" t="str">
        <f t="shared" si="80"/>
        <v/>
      </c>
      <c r="BV98" s="215" t="str">
        <f t="shared" si="81"/>
        <v/>
      </c>
      <c r="BW98" s="217" t="str">
        <f t="shared" si="82"/>
        <v/>
      </c>
      <c r="BX98" s="217" t="str">
        <f t="shared" si="83"/>
        <v/>
      </c>
      <c r="BY98" s="215" t="str">
        <f t="shared" si="84"/>
        <v/>
      </c>
      <c r="BZ98" s="217" t="str">
        <f t="shared" si="85"/>
        <v/>
      </c>
      <c r="CA98" s="217" t="str">
        <f t="shared" si="86"/>
        <v/>
      </c>
      <c r="CB98" s="215" t="str">
        <f t="shared" si="87"/>
        <v/>
      </c>
      <c r="CC98" s="217" t="str">
        <f t="shared" si="88"/>
        <v/>
      </c>
      <c r="CD98" s="217" t="str">
        <f t="shared" si="89"/>
        <v/>
      </c>
    </row>
    <row r="99" spans="1:82" x14ac:dyDescent="0.25">
      <c r="A99" s="48"/>
      <c r="B99" s="54"/>
      <c r="C99" s="54"/>
      <c r="D99" s="54"/>
      <c r="E99" s="54"/>
      <c r="F99" s="54"/>
      <c r="G99" s="54"/>
      <c r="H99" s="54"/>
      <c r="I99" s="54"/>
      <c r="J99" s="2"/>
      <c r="K99" s="2"/>
      <c r="L99" s="2"/>
      <c r="M99" s="2"/>
      <c r="N99" s="54"/>
      <c r="O99" s="54"/>
      <c r="P99" s="54"/>
      <c r="Q99" s="54"/>
      <c r="R99" s="54"/>
      <c r="S99" s="2"/>
      <c r="T99" s="54"/>
      <c r="U99" s="2"/>
      <c r="V99" s="2"/>
      <c r="W99" s="2"/>
      <c r="X99" s="2"/>
      <c r="Y99" s="259"/>
      <c r="Z99" s="2"/>
      <c r="AA99" s="264">
        <v>95</v>
      </c>
      <c r="AB99" s="16" t="str">
        <f t="shared" si="57"/>
        <v/>
      </c>
      <c r="AC99" s="16" t="str">
        <f t="shared" si="58"/>
        <v/>
      </c>
      <c r="AD99" s="16" t="str">
        <f t="shared" si="61"/>
        <v/>
      </c>
      <c r="AE99" s="16" t="str">
        <f t="shared" si="62"/>
        <v/>
      </c>
      <c r="AF99" s="16" t="str">
        <f t="shared" si="63"/>
        <v/>
      </c>
      <c r="AG99" s="16" t="str">
        <f t="shared" si="59"/>
        <v/>
      </c>
      <c r="AH99" s="16" t="str">
        <f t="shared" si="60"/>
        <v/>
      </c>
      <c r="AI99" s="29" t="str">
        <f t="shared" si="64"/>
        <v/>
      </c>
      <c r="AJ99" s="29" t="str">
        <f t="shared" si="65"/>
        <v/>
      </c>
      <c r="AK99" s="2"/>
      <c r="AL99" s="2"/>
      <c r="AM99" s="2"/>
      <c r="AN99" s="2"/>
      <c r="AO99" s="2"/>
      <c r="AP99" s="2"/>
      <c r="AQ99" s="2"/>
      <c r="AR99" s="2"/>
      <c r="AS99" s="2"/>
      <c r="AT99" s="2"/>
      <c r="AU99" s="2"/>
      <c r="AV99" s="2"/>
      <c r="AW99" s="2"/>
      <c r="AX99" s="2"/>
      <c r="AY99" s="2"/>
      <c r="AZ99" s="2"/>
      <c r="BA99" s="2"/>
      <c r="BB99" s="2"/>
      <c r="BC99" s="2"/>
      <c r="BF99" s="208"/>
      <c r="BG99" s="215">
        <f t="shared" si="66"/>
        <v>8</v>
      </c>
      <c r="BH99" s="217">
        <f t="shared" si="67"/>
        <v>6.2439137628679156</v>
      </c>
      <c r="BI99" s="217">
        <f t="shared" si="68"/>
        <v>1.071286237132083</v>
      </c>
      <c r="BJ99" s="215" t="str">
        <f t="shared" si="69"/>
        <v/>
      </c>
      <c r="BK99" s="217" t="str">
        <f t="shared" si="70"/>
        <v/>
      </c>
      <c r="BL99" s="217" t="str">
        <f t="shared" si="71"/>
        <v/>
      </c>
      <c r="BM99" s="215" t="str">
        <f t="shared" si="72"/>
        <v/>
      </c>
      <c r="BN99" s="217" t="str">
        <f t="shared" si="73"/>
        <v/>
      </c>
      <c r="BO99" s="217" t="str">
        <f t="shared" si="74"/>
        <v/>
      </c>
      <c r="BP99" s="215" t="str">
        <f t="shared" si="75"/>
        <v/>
      </c>
      <c r="BQ99" s="217" t="str">
        <f t="shared" si="76"/>
        <v/>
      </c>
      <c r="BR99" s="217" t="str">
        <f t="shared" si="77"/>
        <v/>
      </c>
      <c r="BS99" s="215" t="str">
        <f t="shared" si="78"/>
        <v/>
      </c>
      <c r="BT99" s="217" t="str">
        <f t="shared" si="79"/>
        <v/>
      </c>
      <c r="BU99" s="217" t="str">
        <f t="shared" si="80"/>
        <v/>
      </c>
      <c r="BV99" s="215" t="str">
        <f t="shared" si="81"/>
        <v/>
      </c>
      <c r="BW99" s="217" t="str">
        <f t="shared" si="82"/>
        <v/>
      </c>
      <c r="BX99" s="217" t="str">
        <f t="shared" si="83"/>
        <v/>
      </c>
      <c r="BY99" s="215" t="str">
        <f t="shared" si="84"/>
        <v/>
      </c>
      <c r="BZ99" s="217" t="str">
        <f t="shared" si="85"/>
        <v/>
      </c>
      <c r="CA99" s="217" t="str">
        <f t="shared" si="86"/>
        <v/>
      </c>
      <c r="CB99" s="215" t="str">
        <f t="shared" si="87"/>
        <v/>
      </c>
      <c r="CC99" s="217" t="str">
        <f t="shared" si="88"/>
        <v/>
      </c>
      <c r="CD99" s="217" t="str">
        <f t="shared" si="89"/>
        <v/>
      </c>
    </row>
    <row r="100" spans="1:82" x14ac:dyDescent="0.25">
      <c r="A100" s="48"/>
      <c r="B100" s="54"/>
      <c r="C100" s="54"/>
      <c r="D100" s="54"/>
      <c r="E100" s="54"/>
      <c r="F100" s="54"/>
      <c r="G100" s="54"/>
      <c r="H100" s="54"/>
      <c r="I100" s="54"/>
      <c r="J100" s="2"/>
      <c r="K100" s="2"/>
      <c r="L100" s="2"/>
      <c r="M100" s="2"/>
      <c r="N100" s="54"/>
      <c r="O100" s="54"/>
      <c r="P100" s="54"/>
      <c r="Q100" s="54"/>
      <c r="R100" s="54"/>
      <c r="S100" s="54"/>
      <c r="T100" s="54"/>
      <c r="U100" s="2"/>
      <c r="V100" s="2"/>
      <c r="W100" s="2"/>
      <c r="X100" s="2"/>
      <c r="Y100" s="259"/>
      <c r="Z100" s="2"/>
      <c r="AA100" s="264">
        <v>96</v>
      </c>
      <c r="AB100" s="16" t="str">
        <f t="shared" si="57"/>
        <v/>
      </c>
      <c r="AC100" s="16" t="str">
        <f t="shared" si="58"/>
        <v/>
      </c>
      <c r="AD100" s="16" t="str">
        <f t="shared" si="61"/>
        <v/>
      </c>
      <c r="AE100" s="16" t="str">
        <f t="shared" si="62"/>
        <v/>
      </c>
      <c r="AF100" s="16" t="str">
        <f t="shared" si="63"/>
        <v/>
      </c>
      <c r="AG100" s="16" t="str">
        <f t="shared" si="59"/>
        <v/>
      </c>
      <c r="AH100" s="16" t="str">
        <f t="shared" si="60"/>
        <v/>
      </c>
      <c r="AI100" s="29" t="str">
        <f t="shared" si="64"/>
        <v/>
      </c>
      <c r="AJ100" s="29" t="str">
        <f t="shared" si="65"/>
        <v/>
      </c>
      <c r="AK100" s="2"/>
      <c r="AL100" s="2"/>
      <c r="AM100" s="2"/>
      <c r="AN100" s="2"/>
      <c r="AO100" s="2"/>
      <c r="AP100" s="2"/>
      <c r="AQ100" s="2"/>
      <c r="AR100" s="2"/>
      <c r="AS100" s="2"/>
      <c r="AT100" s="2"/>
      <c r="AU100" s="2"/>
      <c r="AV100" s="2"/>
      <c r="AW100" s="2"/>
      <c r="AX100" s="2"/>
      <c r="AY100" s="2"/>
      <c r="AZ100" s="2"/>
      <c r="BA100" s="2"/>
      <c r="BB100" s="2"/>
      <c r="BC100" s="2"/>
      <c r="BF100" s="208"/>
      <c r="BG100" s="215" t="str">
        <f t="shared" si="66"/>
        <v/>
      </c>
      <c r="BH100" s="217" t="str">
        <f t="shared" si="67"/>
        <v/>
      </c>
      <c r="BI100" s="217" t="str">
        <f t="shared" si="68"/>
        <v/>
      </c>
      <c r="BJ100" s="215" t="str">
        <f t="shared" si="69"/>
        <v/>
      </c>
      <c r="BK100" s="217" t="str">
        <f t="shared" si="70"/>
        <v/>
      </c>
      <c r="BL100" s="217" t="str">
        <f t="shared" si="71"/>
        <v/>
      </c>
      <c r="BM100" s="215" t="str">
        <f t="shared" si="72"/>
        <v/>
      </c>
      <c r="BN100" s="217" t="str">
        <f t="shared" si="73"/>
        <v/>
      </c>
      <c r="BO100" s="217" t="str">
        <f t="shared" si="74"/>
        <v/>
      </c>
      <c r="BP100" s="215" t="str">
        <f t="shared" si="75"/>
        <v/>
      </c>
      <c r="BQ100" s="217" t="str">
        <f t="shared" si="76"/>
        <v/>
      </c>
      <c r="BR100" s="217" t="str">
        <f t="shared" si="77"/>
        <v/>
      </c>
      <c r="BS100" s="215" t="str">
        <f t="shared" si="78"/>
        <v/>
      </c>
      <c r="BT100" s="217" t="str">
        <f t="shared" si="79"/>
        <v/>
      </c>
      <c r="BU100" s="217" t="str">
        <f t="shared" si="80"/>
        <v/>
      </c>
      <c r="BV100" s="215" t="str">
        <f t="shared" si="81"/>
        <v/>
      </c>
      <c r="BW100" s="217" t="str">
        <f t="shared" si="82"/>
        <v/>
      </c>
      <c r="BX100" s="217" t="str">
        <f t="shared" si="83"/>
        <v/>
      </c>
      <c r="BY100" s="215" t="str">
        <f t="shared" si="84"/>
        <v/>
      </c>
      <c r="BZ100" s="217" t="str">
        <f t="shared" si="85"/>
        <v/>
      </c>
      <c r="CA100" s="217" t="str">
        <f t="shared" si="86"/>
        <v/>
      </c>
      <c r="CB100" s="215" t="str">
        <f t="shared" si="87"/>
        <v/>
      </c>
      <c r="CC100" s="217" t="str">
        <f t="shared" si="88"/>
        <v/>
      </c>
      <c r="CD100" s="217" t="str">
        <f t="shared" si="89"/>
        <v/>
      </c>
    </row>
    <row r="101" spans="1:82" x14ac:dyDescent="0.25">
      <c r="A101" s="48"/>
      <c r="B101" s="54"/>
      <c r="C101" s="54"/>
      <c r="D101" s="54"/>
      <c r="E101" s="54"/>
      <c r="F101" s="54"/>
      <c r="G101" s="54"/>
      <c r="H101" s="54"/>
      <c r="I101" s="54"/>
      <c r="J101" s="2"/>
      <c r="K101" s="2"/>
      <c r="L101" s="2"/>
      <c r="M101" s="2"/>
      <c r="N101" s="54"/>
      <c r="O101" s="54"/>
      <c r="P101" s="54"/>
      <c r="Q101" s="54"/>
      <c r="R101" s="54"/>
      <c r="S101" s="54"/>
      <c r="T101" s="54"/>
      <c r="U101" s="2"/>
      <c r="V101" s="2"/>
      <c r="W101" s="2"/>
      <c r="X101" s="2"/>
      <c r="Y101" s="259"/>
      <c r="Z101" s="2"/>
      <c r="AA101" s="264">
        <v>97</v>
      </c>
      <c r="AB101" s="16" t="str">
        <f t="shared" si="57"/>
        <v/>
      </c>
      <c r="AC101" s="16" t="str">
        <f t="shared" si="58"/>
        <v/>
      </c>
      <c r="AD101" s="16" t="str">
        <f t="shared" si="61"/>
        <v/>
      </c>
      <c r="AE101" s="16" t="str">
        <f t="shared" si="62"/>
        <v/>
      </c>
      <c r="AF101" s="16" t="str">
        <f t="shared" si="63"/>
        <v/>
      </c>
      <c r="AG101" s="16" t="str">
        <f t="shared" si="59"/>
        <v/>
      </c>
      <c r="AH101" s="16" t="str">
        <f t="shared" si="60"/>
        <v/>
      </c>
      <c r="AI101" s="29" t="str">
        <f t="shared" si="64"/>
        <v/>
      </c>
      <c r="AJ101" s="29" t="str">
        <f t="shared" si="65"/>
        <v/>
      </c>
      <c r="AK101" s="2"/>
      <c r="AL101" s="2"/>
      <c r="AM101" s="2"/>
      <c r="AN101" s="2"/>
      <c r="AO101" s="2"/>
      <c r="AP101" s="2"/>
      <c r="AQ101" s="2"/>
      <c r="AR101" s="2"/>
      <c r="AS101" s="2"/>
      <c r="AT101" s="2"/>
      <c r="AU101" s="2"/>
      <c r="AV101" s="2"/>
      <c r="AW101" s="2"/>
      <c r="AX101" s="2"/>
      <c r="AY101" s="2"/>
      <c r="AZ101" s="2"/>
      <c r="BA101" s="2"/>
      <c r="BB101" s="2"/>
      <c r="BC101" s="2"/>
      <c r="BF101" s="208"/>
      <c r="BG101" s="215" t="str">
        <f t="shared" si="66"/>
        <v/>
      </c>
      <c r="BH101" s="217" t="str">
        <f t="shared" si="67"/>
        <v/>
      </c>
      <c r="BI101" s="217" t="str">
        <f t="shared" si="68"/>
        <v/>
      </c>
      <c r="BJ101" s="215" t="str">
        <f t="shared" si="69"/>
        <v/>
      </c>
      <c r="BK101" s="217" t="str">
        <f t="shared" si="70"/>
        <v/>
      </c>
      <c r="BL101" s="217" t="str">
        <f t="shared" si="71"/>
        <v/>
      </c>
      <c r="BM101" s="215" t="str">
        <f t="shared" si="72"/>
        <v/>
      </c>
      <c r="BN101" s="217" t="str">
        <f t="shared" si="73"/>
        <v/>
      </c>
      <c r="BO101" s="217" t="str">
        <f t="shared" si="74"/>
        <v/>
      </c>
      <c r="BP101" s="215" t="str">
        <f t="shared" si="75"/>
        <v/>
      </c>
      <c r="BQ101" s="217" t="str">
        <f t="shared" si="76"/>
        <v/>
      </c>
      <c r="BR101" s="217" t="str">
        <f t="shared" si="77"/>
        <v/>
      </c>
      <c r="BS101" s="215" t="str">
        <f t="shared" si="78"/>
        <v/>
      </c>
      <c r="BT101" s="217" t="str">
        <f t="shared" si="79"/>
        <v/>
      </c>
      <c r="BU101" s="217" t="str">
        <f t="shared" si="80"/>
        <v/>
      </c>
      <c r="BV101" s="215" t="str">
        <f t="shared" si="81"/>
        <v/>
      </c>
      <c r="BW101" s="217" t="str">
        <f t="shared" si="82"/>
        <v/>
      </c>
      <c r="BX101" s="217" t="str">
        <f t="shared" si="83"/>
        <v/>
      </c>
      <c r="BY101" s="215" t="str">
        <f t="shared" si="84"/>
        <v/>
      </c>
      <c r="BZ101" s="217" t="str">
        <f t="shared" si="85"/>
        <v/>
      </c>
      <c r="CA101" s="217" t="str">
        <f t="shared" si="86"/>
        <v/>
      </c>
      <c r="CB101" s="215" t="str">
        <f t="shared" si="87"/>
        <v/>
      </c>
      <c r="CC101" s="217" t="str">
        <f t="shared" si="88"/>
        <v/>
      </c>
      <c r="CD101" s="217" t="str">
        <f t="shared" si="89"/>
        <v/>
      </c>
    </row>
    <row r="102" spans="1:82" x14ac:dyDescent="0.25">
      <c r="A102" s="48"/>
      <c r="B102" s="54"/>
      <c r="C102" s="54"/>
      <c r="D102" s="54"/>
      <c r="E102" s="54"/>
      <c r="F102" s="54"/>
      <c r="G102" s="54"/>
      <c r="H102" s="54"/>
      <c r="I102" s="54"/>
      <c r="J102" s="2"/>
      <c r="K102" s="2"/>
      <c r="L102" s="2"/>
      <c r="M102" s="2"/>
      <c r="N102" s="54"/>
      <c r="O102" s="54"/>
      <c r="P102" s="54"/>
      <c r="Q102" s="54"/>
      <c r="R102" s="54"/>
      <c r="S102" s="54"/>
      <c r="T102" s="54"/>
      <c r="U102" s="2"/>
      <c r="V102" s="2"/>
      <c r="W102" s="2"/>
      <c r="X102" s="2"/>
      <c r="Y102" s="259"/>
      <c r="Z102" s="2"/>
      <c r="AA102" s="264">
        <v>98</v>
      </c>
      <c r="AB102" s="16" t="str">
        <f t="shared" si="57"/>
        <v/>
      </c>
      <c r="AC102" s="16" t="str">
        <f t="shared" si="58"/>
        <v/>
      </c>
      <c r="AD102" s="16" t="str">
        <f t="shared" si="61"/>
        <v/>
      </c>
      <c r="AE102" s="16" t="str">
        <f t="shared" si="62"/>
        <v/>
      </c>
      <c r="AF102" s="16" t="str">
        <f t="shared" si="63"/>
        <v/>
      </c>
      <c r="AG102" s="16" t="str">
        <f t="shared" si="59"/>
        <v/>
      </c>
      <c r="AH102" s="16" t="str">
        <f t="shared" si="60"/>
        <v/>
      </c>
      <c r="AI102" s="29" t="str">
        <f t="shared" si="64"/>
        <v/>
      </c>
      <c r="AJ102" s="29" t="str">
        <f t="shared" si="65"/>
        <v/>
      </c>
      <c r="AK102" s="2"/>
      <c r="AL102" s="2"/>
      <c r="AM102" s="2"/>
      <c r="AN102" s="2"/>
      <c r="AO102" s="2"/>
      <c r="AP102" s="2"/>
      <c r="AQ102" s="2"/>
      <c r="AR102" s="2"/>
      <c r="AS102" s="2"/>
      <c r="AT102" s="2"/>
      <c r="AU102" s="2"/>
      <c r="AV102" s="2"/>
      <c r="AW102" s="2"/>
      <c r="AX102" s="2"/>
      <c r="AY102" s="2"/>
      <c r="AZ102" s="2"/>
      <c r="BA102" s="2"/>
      <c r="BB102" s="2"/>
      <c r="BC102" s="2"/>
      <c r="BF102" s="208"/>
      <c r="BG102" s="215" t="str">
        <f t="shared" si="66"/>
        <v/>
      </c>
      <c r="BH102" s="217" t="str">
        <f t="shared" si="67"/>
        <v/>
      </c>
      <c r="BI102" s="217" t="str">
        <f t="shared" si="68"/>
        <v/>
      </c>
      <c r="BJ102" s="215" t="str">
        <f t="shared" si="69"/>
        <v/>
      </c>
      <c r="BK102" s="217" t="str">
        <f t="shared" si="70"/>
        <v/>
      </c>
      <c r="BL102" s="217" t="str">
        <f t="shared" si="71"/>
        <v/>
      </c>
      <c r="BM102" s="215" t="str">
        <f t="shared" si="72"/>
        <v/>
      </c>
      <c r="BN102" s="217" t="str">
        <f t="shared" si="73"/>
        <v/>
      </c>
      <c r="BO102" s="217" t="str">
        <f t="shared" si="74"/>
        <v/>
      </c>
      <c r="BP102" s="215" t="str">
        <f t="shared" si="75"/>
        <v/>
      </c>
      <c r="BQ102" s="217" t="str">
        <f t="shared" si="76"/>
        <v/>
      </c>
      <c r="BR102" s="217" t="str">
        <f t="shared" si="77"/>
        <v/>
      </c>
      <c r="BS102" s="215" t="str">
        <f t="shared" si="78"/>
        <v/>
      </c>
      <c r="BT102" s="217" t="str">
        <f t="shared" si="79"/>
        <v/>
      </c>
      <c r="BU102" s="217" t="str">
        <f t="shared" si="80"/>
        <v/>
      </c>
      <c r="BV102" s="215" t="str">
        <f t="shared" si="81"/>
        <v/>
      </c>
      <c r="BW102" s="217" t="str">
        <f t="shared" si="82"/>
        <v/>
      </c>
      <c r="BX102" s="217" t="str">
        <f t="shared" si="83"/>
        <v/>
      </c>
      <c r="BY102" s="215" t="str">
        <f t="shared" si="84"/>
        <v/>
      </c>
      <c r="BZ102" s="217" t="str">
        <f t="shared" si="85"/>
        <v/>
      </c>
      <c r="CA102" s="217" t="str">
        <f t="shared" si="86"/>
        <v/>
      </c>
      <c r="CB102" s="215" t="str">
        <f t="shared" si="87"/>
        <v/>
      </c>
      <c r="CC102" s="217" t="str">
        <f t="shared" si="88"/>
        <v/>
      </c>
      <c r="CD102" s="217" t="str">
        <f t="shared" si="89"/>
        <v/>
      </c>
    </row>
    <row r="103" spans="1:82" x14ac:dyDescent="0.25">
      <c r="A103" s="48"/>
      <c r="B103" s="54"/>
      <c r="C103" s="54"/>
      <c r="D103" s="54"/>
      <c r="E103" s="54"/>
      <c r="F103" s="54"/>
      <c r="G103" s="54"/>
      <c r="H103" s="54"/>
      <c r="I103" s="54"/>
      <c r="J103" s="2"/>
      <c r="K103" s="2"/>
      <c r="L103" s="2"/>
      <c r="M103" s="2"/>
      <c r="N103" s="54"/>
      <c r="O103" s="54"/>
      <c r="P103" s="54"/>
      <c r="Q103" s="54"/>
      <c r="R103" s="54"/>
      <c r="S103" s="54"/>
      <c r="T103" s="54"/>
      <c r="U103" s="2"/>
      <c r="V103" s="2"/>
      <c r="W103" s="2"/>
      <c r="X103" s="2"/>
      <c r="Y103" s="259"/>
      <c r="Z103" s="2"/>
      <c r="AA103" s="264">
        <v>99</v>
      </c>
      <c r="AB103" s="16" t="str">
        <f t="shared" si="57"/>
        <v/>
      </c>
      <c r="AC103" s="16" t="str">
        <f t="shared" si="58"/>
        <v/>
      </c>
      <c r="AD103" s="16" t="str">
        <f t="shared" si="61"/>
        <v/>
      </c>
      <c r="AE103" s="16" t="str">
        <f t="shared" si="62"/>
        <v/>
      </c>
      <c r="AF103" s="16" t="str">
        <f t="shared" si="63"/>
        <v/>
      </c>
      <c r="AG103" s="16" t="str">
        <f t="shared" si="59"/>
        <v/>
      </c>
      <c r="AH103" s="16" t="str">
        <f t="shared" si="60"/>
        <v/>
      </c>
      <c r="AI103" s="29" t="str">
        <f t="shared" si="64"/>
        <v/>
      </c>
      <c r="AJ103" s="29" t="str">
        <f t="shared" si="65"/>
        <v/>
      </c>
      <c r="AK103" s="2"/>
      <c r="AL103" s="2"/>
      <c r="AM103" s="2"/>
      <c r="AN103" s="2"/>
      <c r="AO103" s="2"/>
      <c r="AP103" s="2"/>
      <c r="AQ103" s="2"/>
      <c r="AR103" s="2"/>
      <c r="AS103" s="2"/>
      <c r="AT103" s="2"/>
      <c r="AU103" s="2"/>
      <c r="AV103" s="2"/>
      <c r="AW103" s="2"/>
      <c r="AX103" s="2"/>
      <c r="AY103" s="2"/>
      <c r="AZ103" s="2"/>
      <c r="BA103" s="2"/>
      <c r="BB103" s="2"/>
      <c r="BC103" s="2"/>
      <c r="BF103" s="208"/>
      <c r="BG103" s="215" t="str">
        <f t="shared" si="66"/>
        <v/>
      </c>
      <c r="BH103" s="217" t="str">
        <f t="shared" si="67"/>
        <v/>
      </c>
      <c r="BI103" s="217" t="str">
        <f t="shared" si="68"/>
        <v/>
      </c>
      <c r="BJ103" s="215" t="str">
        <f t="shared" si="69"/>
        <v/>
      </c>
      <c r="BK103" s="217" t="str">
        <f t="shared" si="70"/>
        <v/>
      </c>
      <c r="BL103" s="217" t="str">
        <f t="shared" si="71"/>
        <v/>
      </c>
      <c r="BM103" s="215" t="str">
        <f t="shared" si="72"/>
        <v/>
      </c>
      <c r="BN103" s="217" t="str">
        <f t="shared" si="73"/>
        <v/>
      </c>
      <c r="BO103" s="217" t="str">
        <f t="shared" si="74"/>
        <v/>
      </c>
      <c r="BP103" s="215" t="str">
        <f t="shared" si="75"/>
        <v/>
      </c>
      <c r="BQ103" s="217" t="str">
        <f t="shared" si="76"/>
        <v/>
      </c>
      <c r="BR103" s="217" t="str">
        <f t="shared" si="77"/>
        <v/>
      </c>
      <c r="BS103" s="215" t="str">
        <f t="shared" si="78"/>
        <v/>
      </c>
      <c r="BT103" s="217" t="str">
        <f t="shared" si="79"/>
        <v/>
      </c>
      <c r="BU103" s="217" t="str">
        <f t="shared" si="80"/>
        <v/>
      </c>
      <c r="BV103" s="215" t="str">
        <f t="shared" si="81"/>
        <v/>
      </c>
      <c r="BW103" s="217" t="str">
        <f t="shared" si="82"/>
        <v/>
      </c>
      <c r="BX103" s="217" t="str">
        <f t="shared" si="83"/>
        <v/>
      </c>
      <c r="BY103" s="215" t="str">
        <f t="shared" si="84"/>
        <v/>
      </c>
      <c r="BZ103" s="217" t="str">
        <f t="shared" si="85"/>
        <v/>
      </c>
      <c r="CA103" s="217" t="str">
        <f t="shared" si="86"/>
        <v/>
      </c>
      <c r="CB103" s="215" t="str">
        <f t="shared" si="87"/>
        <v/>
      </c>
      <c r="CC103" s="217" t="str">
        <f t="shared" si="88"/>
        <v/>
      </c>
      <c r="CD103" s="217" t="str">
        <f t="shared" si="89"/>
        <v/>
      </c>
    </row>
    <row r="104" spans="1:82" x14ac:dyDescent="0.25">
      <c r="A104" s="48"/>
      <c r="B104" s="54"/>
      <c r="C104" s="54"/>
      <c r="D104" s="54"/>
      <c r="E104" s="54"/>
      <c r="F104" s="54"/>
      <c r="G104" s="54"/>
      <c r="H104" s="54"/>
      <c r="I104" s="54"/>
      <c r="J104" s="2"/>
      <c r="K104" s="2"/>
      <c r="L104" s="2"/>
      <c r="M104" s="2"/>
      <c r="N104" s="54"/>
      <c r="O104" s="54"/>
      <c r="P104" s="54"/>
      <c r="Q104" s="54"/>
      <c r="R104" s="54"/>
      <c r="S104" s="54"/>
      <c r="T104" s="54"/>
      <c r="U104" s="2"/>
      <c r="V104" s="2"/>
      <c r="W104" s="2"/>
      <c r="X104" s="2"/>
      <c r="Y104" s="259"/>
      <c r="Z104" s="2"/>
      <c r="AA104" s="264">
        <v>100</v>
      </c>
      <c r="AB104" s="16" t="str">
        <f t="shared" si="57"/>
        <v/>
      </c>
      <c r="AC104" s="16" t="str">
        <f t="shared" si="58"/>
        <v/>
      </c>
      <c r="AD104" s="16" t="str">
        <f t="shared" si="61"/>
        <v/>
      </c>
      <c r="AE104" s="16" t="str">
        <f t="shared" si="62"/>
        <v/>
      </c>
      <c r="AF104" s="16" t="str">
        <f t="shared" si="63"/>
        <v/>
      </c>
      <c r="AG104" s="16" t="str">
        <f t="shared" si="59"/>
        <v/>
      </c>
      <c r="AH104" s="16" t="str">
        <f t="shared" si="60"/>
        <v/>
      </c>
      <c r="AI104" s="29" t="str">
        <f t="shared" si="64"/>
        <v/>
      </c>
      <c r="AJ104" s="29" t="str">
        <f t="shared" si="65"/>
        <v/>
      </c>
      <c r="AK104" s="2"/>
      <c r="AL104" s="2"/>
      <c r="AM104" s="2"/>
      <c r="AN104" s="2"/>
      <c r="AO104" s="2"/>
      <c r="AP104" s="2"/>
      <c r="AQ104" s="2"/>
      <c r="AR104" s="2"/>
      <c r="AS104" s="2"/>
      <c r="AT104" s="2"/>
      <c r="AU104" s="2"/>
      <c r="AV104" s="2"/>
      <c r="AW104" s="2"/>
      <c r="AX104" s="2"/>
      <c r="AY104" s="2"/>
      <c r="AZ104" s="2"/>
      <c r="BA104" s="2"/>
      <c r="BB104" s="2"/>
      <c r="BC104" s="2"/>
      <c r="BF104" s="208"/>
      <c r="BG104" s="215" t="str">
        <f t="shared" si="66"/>
        <v/>
      </c>
      <c r="BH104" s="217" t="str">
        <f t="shared" si="67"/>
        <v/>
      </c>
      <c r="BI104" s="217" t="str">
        <f t="shared" si="68"/>
        <v/>
      </c>
      <c r="BJ104" s="215" t="str">
        <f t="shared" si="69"/>
        <v/>
      </c>
      <c r="BK104" s="217" t="str">
        <f t="shared" si="70"/>
        <v/>
      </c>
      <c r="BL104" s="217" t="str">
        <f t="shared" si="71"/>
        <v/>
      </c>
      <c r="BM104" s="215" t="str">
        <f t="shared" si="72"/>
        <v/>
      </c>
      <c r="BN104" s="217" t="str">
        <f t="shared" si="73"/>
        <v/>
      </c>
      <c r="BO104" s="217" t="str">
        <f t="shared" si="74"/>
        <v/>
      </c>
      <c r="BP104" s="215" t="str">
        <f t="shared" si="75"/>
        <v/>
      </c>
      <c r="BQ104" s="217" t="str">
        <f t="shared" si="76"/>
        <v/>
      </c>
      <c r="BR104" s="217" t="str">
        <f t="shared" si="77"/>
        <v/>
      </c>
      <c r="BS104" s="215" t="str">
        <f t="shared" si="78"/>
        <v/>
      </c>
      <c r="BT104" s="217" t="str">
        <f t="shared" si="79"/>
        <v/>
      </c>
      <c r="BU104" s="217" t="str">
        <f t="shared" si="80"/>
        <v/>
      </c>
      <c r="BV104" s="215" t="str">
        <f t="shared" si="81"/>
        <v/>
      </c>
      <c r="BW104" s="217" t="str">
        <f t="shared" si="82"/>
        <v/>
      </c>
      <c r="BX104" s="217" t="str">
        <f t="shared" si="83"/>
        <v/>
      </c>
      <c r="BY104" s="215" t="str">
        <f t="shared" si="84"/>
        <v/>
      </c>
      <c r="BZ104" s="217" t="str">
        <f t="shared" si="85"/>
        <v/>
      </c>
      <c r="CA104" s="217" t="str">
        <f t="shared" si="86"/>
        <v/>
      </c>
      <c r="CB104" s="215" t="str">
        <f t="shared" si="87"/>
        <v/>
      </c>
      <c r="CC104" s="217" t="str">
        <f t="shared" si="88"/>
        <v/>
      </c>
      <c r="CD104" s="217" t="str">
        <f t="shared" si="89"/>
        <v/>
      </c>
    </row>
    <row r="105" spans="1:82" x14ac:dyDescent="0.25">
      <c r="A105" s="48"/>
      <c r="B105" s="54"/>
      <c r="C105" s="54"/>
      <c r="D105" s="54"/>
      <c r="E105" s="54"/>
      <c r="F105" s="54"/>
      <c r="G105" s="54"/>
      <c r="H105" s="54"/>
      <c r="I105" s="54"/>
      <c r="J105" s="2"/>
      <c r="K105" s="2"/>
      <c r="L105" s="2"/>
      <c r="M105" s="2"/>
      <c r="N105" s="54"/>
      <c r="O105" s="54"/>
      <c r="P105" s="54"/>
      <c r="Q105" s="54"/>
      <c r="R105" s="54"/>
      <c r="S105" s="54"/>
      <c r="T105" s="54"/>
      <c r="U105" s="2"/>
      <c r="V105" s="2"/>
      <c r="W105" s="2"/>
      <c r="X105" s="2"/>
      <c r="Y105" s="259"/>
      <c r="Z105" s="2"/>
      <c r="AA105" s="264">
        <v>101</v>
      </c>
      <c r="AB105" s="16" t="str">
        <f t="shared" ref="AB105:AB154" si="90">IF($C$9&gt;=$AA105,$I13+0.000001-$AB$410,"")</f>
        <v/>
      </c>
      <c r="AC105" s="16" t="str">
        <f t="shared" ref="AC105:AC154" si="91">IF($C$9&gt;=$AA105,$H13+0.000001-$AB$409,"")</f>
        <v/>
      </c>
      <c r="AD105" s="16" t="str">
        <f t="shared" si="61"/>
        <v/>
      </c>
      <c r="AE105" s="16" t="str">
        <f t="shared" si="62"/>
        <v/>
      </c>
      <c r="AF105" s="16" t="str">
        <f t="shared" si="63"/>
        <v/>
      </c>
      <c r="AG105" s="16" t="str">
        <f t="shared" ref="AG105:AG154" si="92">IF($C$9&gt;=$AA105,$H13-$AB$409,"")</f>
        <v/>
      </c>
      <c r="AH105" s="16" t="str">
        <f t="shared" ref="AH105:AH154" si="93">IF($C$9&gt;=$AA105,$I13-$AB$410,"")</f>
        <v/>
      </c>
      <c r="AI105" s="29" t="str">
        <f t="shared" si="64"/>
        <v/>
      </c>
      <c r="AJ105" s="29" t="str">
        <f t="shared" si="65"/>
        <v/>
      </c>
      <c r="AK105" s="2"/>
      <c r="AL105" s="2"/>
      <c r="AM105" s="2"/>
      <c r="AN105" s="2"/>
      <c r="AO105" s="2"/>
      <c r="AP105" s="2"/>
      <c r="AQ105" s="2"/>
      <c r="AR105" s="2"/>
      <c r="AS105" s="2"/>
      <c r="AT105" s="2"/>
      <c r="AU105" s="2"/>
      <c r="AV105" s="2"/>
      <c r="AW105" s="2"/>
      <c r="AX105" s="2"/>
      <c r="AY105" s="2"/>
      <c r="AZ105" s="2"/>
      <c r="BA105" s="2"/>
      <c r="BB105" s="2"/>
      <c r="BC105" s="2"/>
      <c r="BF105" s="208"/>
      <c r="BG105" s="215" t="str">
        <f t="shared" si="66"/>
        <v/>
      </c>
      <c r="BH105" s="217" t="str">
        <f t="shared" si="67"/>
        <v/>
      </c>
      <c r="BI105" s="217" t="str">
        <f t="shared" si="68"/>
        <v/>
      </c>
      <c r="BJ105" s="215" t="str">
        <f t="shared" si="69"/>
        <v/>
      </c>
      <c r="BK105" s="217" t="str">
        <f t="shared" si="70"/>
        <v/>
      </c>
      <c r="BL105" s="217" t="str">
        <f t="shared" si="71"/>
        <v/>
      </c>
      <c r="BM105" s="215" t="str">
        <f t="shared" si="72"/>
        <v/>
      </c>
      <c r="BN105" s="217" t="str">
        <f t="shared" si="73"/>
        <v/>
      </c>
      <c r="BO105" s="217" t="str">
        <f t="shared" si="74"/>
        <v/>
      </c>
      <c r="BP105" s="215" t="str">
        <f t="shared" si="75"/>
        <v/>
      </c>
      <c r="BQ105" s="217" t="str">
        <f t="shared" si="76"/>
        <v/>
      </c>
      <c r="BR105" s="217" t="str">
        <f t="shared" si="77"/>
        <v/>
      </c>
      <c r="BS105" s="215" t="str">
        <f t="shared" si="78"/>
        <v/>
      </c>
      <c r="BT105" s="217" t="str">
        <f t="shared" si="79"/>
        <v/>
      </c>
      <c r="BU105" s="217" t="str">
        <f t="shared" si="80"/>
        <v/>
      </c>
      <c r="BV105" s="215" t="str">
        <f t="shared" si="81"/>
        <v/>
      </c>
      <c r="BW105" s="217" t="str">
        <f t="shared" si="82"/>
        <v/>
      </c>
      <c r="BX105" s="217" t="str">
        <f t="shared" si="83"/>
        <v/>
      </c>
      <c r="BY105" s="215" t="str">
        <f t="shared" si="84"/>
        <v/>
      </c>
      <c r="BZ105" s="217" t="str">
        <f t="shared" si="85"/>
        <v/>
      </c>
      <c r="CA105" s="217" t="str">
        <f t="shared" si="86"/>
        <v/>
      </c>
      <c r="CB105" s="215" t="str">
        <f t="shared" si="87"/>
        <v/>
      </c>
      <c r="CC105" s="217" t="str">
        <f t="shared" si="88"/>
        <v/>
      </c>
      <c r="CD105" s="217" t="str">
        <f t="shared" si="89"/>
        <v/>
      </c>
    </row>
    <row r="106" spans="1:82" x14ac:dyDescent="0.25">
      <c r="A106" s="48"/>
      <c r="B106" s="54"/>
      <c r="C106" s="54"/>
      <c r="D106" s="54"/>
      <c r="E106" s="54"/>
      <c r="F106" s="54"/>
      <c r="G106" s="54"/>
      <c r="H106" s="54"/>
      <c r="I106" s="54"/>
      <c r="J106" s="2"/>
      <c r="K106" s="2"/>
      <c r="L106" s="2"/>
      <c r="M106" s="2"/>
      <c r="N106" s="54"/>
      <c r="O106" s="54"/>
      <c r="P106" s="54"/>
      <c r="Q106" s="54"/>
      <c r="R106" s="54"/>
      <c r="S106" s="54"/>
      <c r="T106" s="54"/>
      <c r="U106" s="2"/>
      <c r="V106" s="2"/>
      <c r="W106" s="2"/>
      <c r="X106" s="2"/>
      <c r="Y106" s="259"/>
      <c r="Z106" s="2"/>
      <c r="AA106" s="264">
        <v>102</v>
      </c>
      <c r="AB106" s="16" t="str">
        <f t="shared" si="90"/>
        <v/>
      </c>
      <c r="AC106" s="16" t="str">
        <f t="shared" si="91"/>
        <v/>
      </c>
      <c r="AD106" s="16" t="str">
        <f t="shared" si="61"/>
        <v/>
      </c>
      <c r="AE106" s="16" t="str">
        <f t="shared" si="62"/>
        <v/>
      </c>
      <c r="AF106" s="16" t="str">
        <f t="shared" si="63"/>
        <v/>
      </c>
      <c r="AG106" s="16" t="str">
        <f t="shared" si="92"/>
        <v/>
      </c>
      <c r="AH106" s="16" t="str">
        <f t="shared" si="93"/>
        <v/>
      </c>
      <c r="AI106" s="29" t="str">
        <f t="shared" si="64"/>
        <v/>
      </c>
      <c r="AJ106" s="29" t="str">
        <f t="shared" si="65"/>
        <v/>
      </c>
      <c r="AK106" s="2"/>
      <c r="AL106" s="2"/>
      <c r="AM106" s="2"/>
      <c r="AN106" s="2"/>
      <c r="AO106" s="2"/>
      <c r="AP106" s="2"/>
      <c r="AQ106" s="2"/>
      <c r="AR106" s="2"/>
      <c r="AS106" s="2"/>
      <c r="AT106" s="2"/>
      <c r="AU106" s="2"/>
      <c r="AV106" s="2"/>
      <c r="AW106" s="2"/>
      <c r="AX106" s="2"/>
      <c r="AY106" s="2"/>
      <c r="AZ106" s="2"/>
      <c r="BA106" s="2"/>
      <c r="BB106" s="2"/>
      <c r="BC106" s="2"/>
      <c r="BF106" s="208"/>
      <c r="BG106" s="215" t="str">
        <f t="shared" si="66"/>
        <v/>
      </c>
      <c r="BH106" s="217" t="str">
        <f t="shared" si="67"/>
        <v/>
      </c>
      <c r="BI106" s="217" t="str">
        <f t="shared" si="68"/>
        <v/>
      </c>
      <c r="BJ106" s="215" t="str">
        <f t="shared" si="69"/>
        <v/>
      </c>
      <c r="BK106" s="217" t="str">
        <f t="shared" si="70"/>
        <v/>
      </c>
      <c r="BL106" s="217" t="str">
        <f t="shared" si="71"/>
        <v/>
      </c>
      <c r="BM106" s="215" t="str">
        <f t="shared" si="72"/>
        <v/>
      </c>
      <c r="BN106" s="217" t="str">
        <f t="shared" si="73"/>
        <v/>
      </c>
      <c r="BO106" s="217" t="str">
        <f t="shared" si="74"/>
        <v/>
      </c>
      <c r="BP106" s="215" t="str">
        <f t="shared" si="75"/>
        <v/>
      </c>
      <c r="BQ106" s="217" t="str">
        <f t="shared" si="76"/>
        <v/>
      </c>
      <c r="BR106" s="217" t="str">
        <f t="shared" si="77"/>
        <v/>
      </c>
      <c r="BS106" s="215" t="str">
        <f t="shared" si="78"/>
        <v/>
      </c>
      <c r="BT106" s="217" t="str">
        <f t="shared" si="79"/>
        <v/>
      </c>
      <c r="BU106" s="217" t="str">
        <f t="shared" si="80"/>
        <v/>
      </c>
      <c r="BV106" s="215" t="str">
        <f t="shared" si="81"/>
        <v/>
      </c>
      <c r="BW106" s="217" t="str">
        <f t="shared" si="82"/>
        <v/>
      </c>
      <c r="BX106" s="217" t="str">
        <f t="shared" si="83"/>
        <v/>
      </c>
      <c r="BY106" s="215" t="str">
        <f t="shared" si="84"/>
        <v/>
      </c>
      <c r="BZ106" s="217" t="str">
        <f t="shared" si="85"/>
        <v/>
      </c>
      <c r="CA106" s="217" t="str">
        <f t="shared" si="86"/>
        <v/>
      </c>
      <c r="CB106" s="215" t="str">
        <f t="shared" si="87"/>
        <v/>
      </c>
      <c r="CC106" s="217" t="str">
        <f t="shared" si="88"/>
        <v/>
      </c>
      <c r="CD106" s="217" t="str">
        <f t="shared" si="89"/>
        <v/>
      </c>
    </row>
    <row r="107" spans="1:82" x14ac:dyDescent="0.25">
      <c r="A107" s="48"/>
      <c r="B107" s="54"/>
      <c r="C107" s="54"/>
      <c r="D107" s="54"/>
      <c r="E107" s="54"/>
      <c r="F107" s="54"/>
      <c r="G107" s="54"/>
      <c r="H107" s="54"/>
      <c r="I107" s="54"/>
      <c r="J107" s="2"/>
      <c r="K107" s="2"/>
      <c r="L107" s="2"/>
      <c r="M107" s="2"/>
      <c r="N107" s="54"/>
      <c r="O107" s="54"/>
      <c r="P107" s="54"/>
      <c r="Q107" s="54"/>
      <c r="R107" s="54"/>
      <c r="S107" s="54"/>
      <c r="T107" s="54"/>
      <c r="U107" s="2"/>
      <c r="V107" s="2"/>
      <c r="W107" s="2"/>
      <c r="X107" s="2"/>
      <c r="Y107" s="259"/>
      <c r="Z107" s="2"/>
      <c r="AA107" s="264">
        <v>103</v>
      </c>
      <c r="AB107" s="16" t="str">
        <f t="shared" si="90"/>
        <v/>
      </c>
      <c r="AC107" s="16" t="str">
        <f t="shared" si="91"/>
        <v/>
      </c>
      <c r="AD107" s="16" t="str">
        <f t="shared" si="61"/>
        <v/>
      </c>
      <c r="AE107" s="16" t="str">
        <f t="shared" si="62"/>
        <v/>
      </c>
      <c r="AF107" s="16" t="str">
        <f t="shared" si="63"/>
        <v/>
      </c>
      <c r="AG107" s="16" t="str">
        <f t="shared" si="92"/>
        <v/>
      </c>
      <c r="AH107" s="16" t="str">
        <f t="shared" si="93"/>
        <v/>
      </c>
      <c r="AI107" s="29" t="str">
        <f t="shared" si="64"/>
        <v/>
      </c>
      <c r="AJ107" s="29" t="str">
        <f t="shared" si="65"/>
        <v/>
      </c>
      <c r="AK107" s="2"/>
      <c r="AL107" s="2"/>
      <c r="AM107" s="2"/>
      <c r="AN107" s="2"/>
      <c r="AO107" s="2"/>
      <c r="AP107" s="2"/>
      <c r="AQ107" s="2"/>
      <c r="AR107" s="2"/>
      <c r="AS107" s="2"/>
      <c r="AT107" s="2"/>
      <c r="AU107" s="2"/>
      <c r="AV107" s="2"/>
      <c r="AW107" s="2"/>
      <c r="AX107" s="2"/>
      <c r="AY107" s="2"/>
      <c r="AZ107" s="2"/>
      <c r="BA107" s="2"/>
      <c r="BB107" s="2"/>
      <c r="BC107" s="2"/>
      <c r="BF107" s="208"/>
      <c r="BG107" s="215" t="str">
        <f t="shared" si="66"/>
        <v/>
      </c>
      <c r="BH107" s="217" t="str">
        <f t="shared" si="67"/>
        <v/>
      </c>
      <c r="BI107" s="217" t="str">
        <f t="shared" si="68"/>
        <v/>
      </c>
      <c r="BJ107" s="215" t="str">
        <f t="shared" si="69"/>
        <v/>
      </c>
      <c r="BK107" s="217" t="str">
        <f t="shared" si="70"/>
        <v/>
      </c>
      <c r="BL107" s="217" t="str">
        <f t="shared" si="71"/>
        <v/>
      </c>
      <c r="BM107" s="215" t="str">
        <f t="shared" si="72"/>
        <v/>
      </c>
      <c r="BN107" s="217" t="str">
        <f t="shared" si="73"/>
        <v/>
      </c>
      <c r="BO107" s="217" t="str">
        <f t="shared" si="74"/>
        <v/>
      </c>
      <c r="BP107" s="215" t="str">
        <f t="shared" si="75"/>
        <v/>
      </c>
      <c r="BQ107" s="217" t="str">
        <f t="shared" si="76"/>
        <v/>
      </c>
      <c r="BR107" s="217" t="str">
        <f t="shared" si="77"/>
        <v/>
      </c>
      <c r="BS107" s="215" t="str">
        <f t="shared" si="78"/>
        <v/>
      </c>
      <c r="BT107" s="217" t="str">
        <f t="shared" si="79"/>
        <v/>
      </c>
      <c r="BU107" s="217" t="str">
        <f t="shared" si="80"/>
        <v/>
      </c>
      <c r="BV107" s="215" t="str">
        <f t="shared" si="81"/>
        <v/>
      </c>
      <c r="BW107" s="217" t="str">
        <f t="shared" si="82"/>
        <v/>
      </c>
      <c r="BX107" s="217" t="str">
        <f t="shared" si="83"/>
        <v/>
      </c>
      <c r="BY107" s="215" t="str">
        <f t="shared" si="84"/>
        <v/>
      </c>
      <c r="BZ107" s="217" t="str">
        <f t="shared" si="85"/>
        <v/>
      </c>
      <c r="CA107" s="217" t="str">
        <f t="shared" si="86"/>
        <v/>
      </c>
      <c r="CB107" s="215" t="str">
        <f t="shared" si="87"/>
        <v/>
      </c>
      <c r="CC107" s="217" t="str">
        <f t="shared" si="88"/>
        <v/>
      </c>
      <c r="CD107" s="217" t="str">
        <f t="shared" si="89"/>
        <v/>
      </c>
    </row>
    <row r="108" spans="1:82" x14ac:dyDescent="0.25">
      <c r="A108" s="48"/>
      <c r="B108" s="54"/>
      <c r="C108" s="54"/>
      <c r="D108" s="54"/>
      <c r="E108" s="54"/>
      <c r="F108" s="54"/>
      <c r="G108" s="54"/>
      <c r="H108" s="54"/>
      <c r="I108" s="54"/>
      <c r="J108" s="2"/>
      <c r="K108" s="2"/>
      <c r="L108" s="2"/>
      <c r="M108" s="2"/>
      <c r="N108" s="54"/>
      <c r="O108" s="54"/>
      <c r="P108" s="54"/>
      <c r="Q108" s="54"/>
      <c r="R108" s="54"/>
      <c r="S108" s="54"/>
      <c r="T108" s="54"/>
      <c r="U108" s="2"/>
      <c r="V108" s="2"/>
      <c r="W108" s="2"/>
      <c r="X108" s="2"/>
      <c r="Y108" s="259"/>
      <c r="Z108" s="2"/>
      <c r="AA108" s="264">
        <v>104</v>
      </c>
      <c r="AB108" s="16" t="str">
        <f t="shared" si="90"/>
        <v/>
      </c>
      <c r="AC108" s="16" t="str">
        <f t="shared" si="91"/>
        <v/>
      </c>
      <c r="AD108" s="16" t="str">
        <f t="shared" si="61"/>
        <v/>
      </c>
      <c r="AE108" s="16" t="str">
        <f t="shared" si="62"/>
        <v/>
      </c>
      <c r="AF108" s="16" t="str">
        <f t="shared" si="63"/>
        <v/>
      </c>
      <c r="AG108" s="16" t="str">
        <f t="shared" si="92"/>
        <v/>
      </c>
      <c r="AH108" s="16" t="str">
        <f t="shared" si="93"/>
        <v/>
      </c>
      <c r="AI108" s="29" t="str">
        <f t="shared" si="64"/>
        <v/>
      </c>
      <c r="AJ108" s="29" t="str">
        <f t="shared" si="65"/>
        <v/>
      </c>
      <c r="AK108" s="2"/>
      <c r="AL108" s="2"/>
      <c r="AM108" s="2"/>
      <c r="AN108" s="2"/>
      <c r="AO108" s="2"/>
      <c r="AP108" s="2"/>
      <c r="AQ108" s="2"/>
      <c r="AR108" s="2"/>
      <c r="AS108" s="2"/>
      <c r="AT108" s="2"/>
      <c r="AU108" s="2"/>
      <c r="AV108" s="2"/>
      <c r="AW108" s="2"/>
      <c r="AX108" s="2"/>
      <c r="AY108" s="2"/>
      <c r="AZ108" s="2"/>
      <c r="BA108" s="2"/>
      <c r="BB108" s="2"/>
      <c r="BC108" s="2"/>
      <c r="BF108" s="208"/>
      <c r="BG108" s="215" t="str">
        <f t="shared" si="66"/>
        <v/>
      </c>
      <c r="BH108" s="217" t="str">
        <f t="shared" si="67"/>
        <v/>
      </c>
      <c r="BI108" s="217" t="str">
        <f t="shared" si="68"/>
        <v/>
      </c>
      <c r="BJ108" s="215" t="str">
        <f t="shared" si="69"/>
        <v/>
      </c>
      <c r="BK108" s="217" t="str">
        <f t="shared" si="70"/>
        <v/>
      </c>
      <c r="BL108" s="217" t="str">
        <f t="shared" si="71"/>
        <v/>
      </c>
      <c r="BM108" s="215" t="str">
        <f t="shared" si="72"/>
        <v/>
      </c>
      <c r="BN108" s="217" t="str">
        <f t="shared" si="73"/>
        <v/>
      </c>
      <c r="BO108" s="217" t="str">
        <f t="shared" si="74"/>
        <v/>
      </c>
      <c r="BP108" s="215" t="str">
        <f t="shared" si="75"/>
        <v/>
      </c>
      <c r="BQ108" s="217" t="str">
        <f t="shared" si="76"/>
        <v/>
      </c>
      <c r="BR108" s="217" t="str">
        <f t="shared" si="77"/>
        <v/>
      </c>
      <c r="BS108" s="215" t="str">
        <f t="shared" si="78"/>
        <v/>
      </c>
      <c r="BT108" s="217" t="str">
        <f t="shared" si="79"/>
        <v/>
      </c>
      <c r="BU108" s="217" t="str">
        <f t="shared" si="80"/>
        <v/>
      </c>
      <c r="BV108" s="215" t="str">
        <f t="shared" si="81"/>
        <v/>
      </c>
      <c r="BW108" s="217" t="str">
        <f t="shared" si="82"/>
        <v/>
      </c>
      <c r="BX108" s="217" t="str">
        <f t="shared" si="83"/>
        <v/>
      </c>
      <c r="BY108" s="215" t="str">
        <f t="shared" si="84"/>
        <v/>
      </c>
      <c r="BZ108" s="217" t="str">
        <f t="shared" si="85"/>
        <v/>
      </c>
      <c r="CA108" s="217" t="str">
        <f t="shared" si="86"/>
        <v/>
      </c>
      <c r="CB108" s="215" t="str">
        <f t="shared" si="87"/>
        <v/>
      </c>
      <c r="CC108" s="217" t="str">
        <f t="shared" si="88"/>
        <v/>
      </c>
      <c r="CD108" s="217" t="str">
        <f t="shared" si="89"/>
        <v/>
      </c>
    </row>
    <row r="109" spans="1:82" x14ac:dyDescent="0.25">
      <c r="A109" s="48"/>
      <c r="B109" s="54"/>
      <c r="C109" s="54"/>
      <c r="D109" s="54"/>
      <c r="E109" s="54"/>
      <c r="F109" s="54"/>
      <c r="G109" s="54"/>
      <c r="H109" s="54"/>
      <c r="I109" s="54"/>
      <c r="J109" s="2"/>
      <c r="K109" s="2"/>
      <c r="L109" s="2"/>
      <c r="M109" s="2"/>
      <c r="N109" s="54"/>
      <c r="O109" s="54"/>
      <c r="P109" s="54"/>
      <c r="Q109" s="54"/>
      <c r="R109" s="54"/>
      <c r="S109" s="54"/>
      <c r="T109" s="54"/>
      <c r="U109" s="2"/>
      <c r="V109" s="2"/>
      <c r="W109" s="2"/>
      <c r="X109" s="2"/>
      <c r="Y109" s="259"/>
      <c r="Z109" s="2"/>
      <c r="AA109" s="264">
        <v>105</v>
      </c>
      <c r="AB109" s="16" t="str">
        <f t="shared" si="90"/>
        <v/>
      </c>
      <c r="AC109" s="16" t="str">
        <f t="shared" si="91"/>
        <v/>
      </c>
      <c r="AD109" s="16" t="str">
        <f t="shared" si="61"/>
        <v/>
      </c>
      <c r="AE109" s="16" t="str">
        <f t="shared" si="62"/>
        <v/>
      </c>
      <c r="AF109" s="16" t="str">
        <f t="shared" si="63"/>
        <v/>
      </c>
      <c r="AG109" s="16" t="str">
        <f t="shared" si="92"/>
        <v/>
      </c>
      <c r="AH109" s="16" t="str">
        <f t="shared" si="93"/>
        <v/>
      </c>
      <c r="AI109" s="29" t="str">
        <f t="shared" si="64"/>
        <v/>
      </c>
      <c r="AJ109" s="29" t="str">
        <f t="shared" si="65"/>
        <v/>
      </c>
      <c r="AK109" s="2"/>
      <c r="AL109" s="2"/>
      <c r="AM109" s="2"/>
      <c r="AN109" s="2"/>
      <c r="AO109" s="2"/>
      <c r="AP109" s="2"/>
      <c r="AQ109" s="2"/>
      <c r="AR109" s="2"/>
      <c r="AS109" s="2"/>
      <c r="AT109" s="2"/>
      <c r="AU109" s="2"/>
      <c r="AV109" s="2"/>
      <c r="AW109" s="2"/>
      <c r="AX109" s="2"/>
      <c r="AY109" s="2"/>
      <c r="AZ109" s="2"/>
      <c r="BA109" s="2"/>
      <c r="BB109" s="2"/>
      <c r="BC109" s="2"/>
      <c r="BF109" s="208"/>
      <c r="BG109" s="215" t="str">
        <f t="shared" si="66"/>
        <v/>
      </c>
      <c r="BH109" s="217" t="str">
        <f t="shared" si="67"/>
        <v/>
      </c>
      <c r="BI109" s="217" t="str">
        <f t="shared" si="68"/>
        <v/>
      </c>
      <c r="BJ109" s="215" t="str">
        <f t="shared" si="69"/>
        <v/>
      </c>
      <c r="BK109" s="217" t="str">
        <f t="shared" si="70"/>
        <v/>
      </c>
      <c r="BL109" s="217" t="str">
        <f t="shared" si="71"/>
        <v/>
      </c>
      <c r="BM109" s="215" t="str">
        <f t="shared" si="72"/>
        <v/>
      </c>
      <c r="BN109" s="217" t="str">
        <f t="shared" si="73"/>
        <v/>
      </c>
      <c r="BO109" s="217" t="str">
        <f t="shared" si="74"/>
        <v/>
      </c>
      <c r="BP109" s="215" t="str">
        <f t="shared" si="75"/>
        <v/>
      </c>
      <c r="BQ109" s="217" t="str">
        <f t="shared" si="76"/>
        <v/>
      </c>
      <c r="BR109" s="217" t="str">
        <f t="shared" si="77"/>
        <v/>
      </c>
      <c r="BS109" s="215" t="str">
        <f t="shared" si="78"/>
        <v/>
      </c>
      <c r="BT109" s="217" t="str">
        <f t="shared" si="79"/>
        <v/>
      </c>
      <c r="BU109" s="217" t="str">
        <f t="shared" si="80"/>
        <v/>
      </c>
      <c r="BV109" s="215" t="str">
        <f t="shared" si="81"/>
        <v/>
      </c>
      <c r="BW109" s="217" t="str">
        <f t="shared" si="82"/>
        <v/>
      </c>
      <c r="BX109" s="217" t="str">
        <f t="shared" si="83"/>
        <v/>
      </c>
      <c r="BY109" s="215" t="str">
        <f t="shared" si="84"/>
        <v/>
      </c>
      <c r="BZ109" s="217" t="str">
        <f t="shared" si="85"/>
        <v/>
      </c>
      <c r="CA109" s="217" t="str">
        <f t="shared" si="86"/>
        <v/>
      </c>
      <c r="CB109" s="215" t="str">
        <f t="shared" si="87"/>
        <v/>
      </c>
      <c r="CC109" s="217" t="str">
        <f t="shared" si="88"/>
        <v/>
      </c>
      <c r="CD109" s="217" t="str">
        <f t="shared" si="89"/>
        <v/>
      </c>
    </row>
    <row r="110" spans="1:82" x14ac:dyDescent="0.25">
      <c r="A110" s="48"/>
      <c r="B110" s="54"/>
      <c r="C110" s="54"/>
      <c r="D110" s="54"/>
      <c r="E110" s="54"/>
      <c r="F110" s="54"/>
      <c r="G110" s="54"/>
      <c r="H110" s="54"/>
      <c r="I110" s="54"/>
      <c r="J110" s="2"/>
      <c r="K110" s="2"/>
      <c r="L110" s="2"/>
      <c r="M110" s="2"/>
      <c r="N110" s="54"/>
      <c r="O110" s="54"/>
      <c r="P110" s="54"/>
      <c r="Q110" s="54"/>
      <c r="R110" s="54"/>
      <c r="S110" s="54"/>
      <c r="T110" s="54"/>
      <c r="U110" s="2"/>
      <c r="V110" s="2"/>
      <c r="W110" s="2"/>
      <c r="X110" s="2"/>
      <c r="Y110" s="259"/>
      <c r="Z110" s="2"/>
      <c r="AA110" s="264">
        <v>106</v>
      </c>
      <c r="AB110" s="16" t="str">
        <f t="shared" si="90"/>
        <v/>
      </c>
      <c r="AC110" s="16" t="str">
        <f t="shared" si="91"/>
        <v/>
      </c>
      <c r="AD110" s="16" t="str">
        <f t="shared" si="61"/>
        <v/>
      </c>
      <c r="AE110" s="16" t="str">
        <f t="shared" si="62"/>
        <v/>
      </c>
      <c r="AF110" s="16" t="str">
        <f t="shared" si="63"/>
        <v/>
      </c>
      <c r="AG110" s="16" t="str">
        <f t="shared" si="92"/>
        <v/>
      </c>
      <c r="AH110" s="16" t="str">
        <f t="shared" si="93"/>
        <v/>
      </c>
      <c r="AI110" s="29" t="str">
        <f t="shared" si="64"/>
        <v/>
      </c>
      <c r="AJ110" s="29" t="str">
        <f t="shared" si="65"/>
        <v/>
      </c>
      <c r="AK110" s="2"/>
      <c r="AL110" s="2"/>
      <c r="AM110" s="2"/>
      <c r="AN110" s="2"/>
      <c r="AO110" s="2"/>
      <c r="AP110" s="2"/>
      <c r="AQ110" s="2"/>
      <c r="AR110" s="2"/>
      <c r="AS110" s="2"/>
      <c r="AT110" s="2"/>
      <c r="AU110" s="2"/>
      <c r="AV110" s="2"/>
      <c r="AW110" s="2"/>
      <c r="AX110" s="2"/>
      <c r="AY110" s="2"/>
      <c r="AZ110" s="2"/>
      <c r="BA110" s="2"/>
      <c r="BB110" s="2"/>
      <c r="BC110" s="2"/>
      <c r="BF110" s="208"/>
      <c r="BG110" s="215" t="str">
        <f t="shared" si="66"/>
        <v/>
      </c>
      <c r="BH110" s="217" t="str">
        <f t="shared" si="67"/>
        <v/>
      </c>
      <c r="BI110" s="217" t="str">
        <f t="shared" si="68"/>
        <v/>
      </c>
      <c r="BJ110" s="215" t="str">
        <f t="shared" si="69"/>
        <v/>
      </c>
      <c r="BK110" s="217" t="str">
        <f t="shared" si="70"/>
        <v/>
      </c>
      <c r="BL110" s="217" t="str">
        <f t="shared" si="71"/>
        <v/>
      </c>
      <c r="BM110" s="215" t="str">
        <f t="shared" si="72"/>
        <v/>
      </c>
      <c r="BN110" s="217" t="str">
        <f t="shared" si="73"/>
        <v/>
      </c>
      <c r="BO110" s="217" t="str">
        <f t="shared" si="74"/>
        <v/>
      </c>
      <c r="BP110" s="215" t="str">
        <f t="shared" si="75"/>
        <v/>
      </c>
      <c r="BQ110" s="217" t="str">
        <f t="shared" si="76"/>
        <v/>
      </c>
      <c r="BR110" s="217" t="str">
        <f t="shared" si="77"/>
        <v/>
      </c>
      <c r="BS110" s="215" t="str">
        <f t="shared" si="78"/>
        <v/>
      </c>
      <c r="BT110" s="217" t="str">
        <f t="shared" si="79"/>
        <v/>
      </c>
      <c r="BU110" s="217" t="str">
        <f t="shared" si="80"/>
        <v/>
      </c>
      <c r="BV110" s="215" t="str">
        <f t="shared" si="81"/>
        <v/>
      </c>
      <c r="BW110" s="217" t="str">
        <f t="shared" si="82"/>
        <v/>
      </c>
      <c r="BX110" s="217" t="str">
        <f t="shared" si="83"/>
        <v/>
      </c>
      <c r="BY110" s="215" t="str">
        <f t="shared" si="84"/>
        <v/>
      </c>
      <c r="BZ110" s="217" t="str">
        <f t="shared" si="85"/>
        <v/>
      </c>
      <c r="CA110" s="217" t="str">
        <f t="shared" si="86"/>
        <v/>
      </c>
      <c r="CB110" s="215" t="str">
        <f t="shared" si="87"/>
        <v/>
      </c>
      <c r="CC110" s="217" t="str">
        <f t="shared" si="88"/>
        <v/>
      </c>
      <c r="CD110" s="217" t="str">
        <f t="shared" si="89"/>
        <v/>
      </c>
    </row>
    <row r="111" spans="1:82" x14ac:dyDescent="0.25">
      <c r="A111" s="48"/>
      <c r="B111" s="54"/>
      <c r="C111" s="54"/>
      <c r="D111" s="54"/>
      <c r="E111" s="54"/>
      <c r="F111" s="54"/>
      <c r="G111" s="54"/>
      <c r="H111" s="54"/>
      <c r="I111" s="54"/>
      <c r="J111" s="2"/>
      <c r="K111" s="2"/>
      <c r="L111" s="2"/>
      <c r="M111" s="2"/>
      <c r="N111" s="54"/>
      <c r="O111" s="54"/>
      <c r="P111" s="54"/>
      <c r="Q111" s="54"/>
      <c r="R111" s="54"/>
      <c r="S111" s="54"/>
      <c r="T111" s="54"/>
      <c r="U111" s="2"/>
      <c r="V111" s="2"/>
      <c r="W111" s="2"/>
      <c r="X111" s="2"/>
      <c r="Y111" s="259"/>
      <c r="Z111" s="2"/>
      <c r="AA111" s="264">
        <v>107</v>
      </c>
      <c r="AB111" s="16" t="str">
        <f t="shared" si="90"/>
        <v/>
      </c>
      <c r="AC111" s="16" t="str">
        <f t="shared" si="91"/>
        <v/>
      </c>
      <c r="AD111" s="16" t="str">
        <f t="shared" si="61"/>
        <v/>
      </c>
      <c r="AE111" s="16" t="str">
        <f t="shared" si="62"/>
        <v/>
      </c>
      <c r="AF111" s="16" t="str">
        <f t="shared" si="63"/>
        <v/>
      </c>
      <c r="AG111" s="16" t="str">
        <f t="shared" si="92"/>
        <v/>
      </c>
      <c r="AH111" s="16" t="str">
        <f t="shared" si="93"/>
        <v/>
      </c>
      <c r="AI111" s="29" t="str">
        <f t="shared" si="64"/>
        <v/>
      </c>
      <c r="AJ111" s="29" t="str">
        <f t="shared" si="65"/>
        <v/>
      </c>
      <c r="AK111" s="2"/>
      <c r="AL111" s="2"/>
      <c r="AM111" s="2"/>
      <c r="AN111" s="2"/>
      <c r="AO111" s="2"/>
      <c r="AP111" s="2"/>
      <c r="AQ111" s="2"/>
      <c r="AR111" s="2"/>
      <c r="AS111" s="2"/>
      <c r="AT111" s="2"/>
      <c r="AU111" s="2"/>
      <c r="AV111" s="2"/>
      <c r="AW111" s="2"/>
      <c r="AX111" s="2"/>
      <c r="AY111" s="2"/>
      <c r="AZ111" s="2"/>
      <c r="BA111" s="2"/>
      <c r="BB111" s="2"/>
      <c r="BC111" s="2"/>
      <c r="BF111" s="208"/>
      <c r="BG111" s="215" t="str">
        <f t="shared" si="66"/>
        <v/>
      </c>
      <c r="BH111" s="217" t="str">
        <f t="shared" si="67"/>
        <v/>
      </c>
      <c r="BI111" s="217" t="str">
        <f t="shared" si="68"/>
        <v/>
      </c>
      <c r="BJ111" s="215" t="str">
        <f t="shared" si="69"/>
        <v/>
      </c>
      <c r="BK111" s="217" t="str">
        <f t="shared" si="70"/>
        <v/>
      </c>
      <c r="BL111" s="217" t="str">
        <f t="shared" si="71"/>
        <v/>
      </c>
      <c r="BM111" s="215" t="str">
        <f t="shared" si="72"/>
        <v/>
      </c>
      <c r="BN111" s="217" t="str">
        <f t="shared" si="73"/>
        <v/>
      </c>
      <c r="BO111" s="217" t="str">
        <f t="shared" si="74"/>
        <v/>
      </c>
      <c r="BP111" s="215" t="str">
        <f t="shared" si="75"/>
        <v/>
      </c>
      <c r="BQ111" s="217" t="str">
        <f t="shared" si="76"/>
        <v/>
      </c>
      <c r="BR111" s="217" t="str">
        <f t="shared" si="77"/>
        <v/>
      </c>
      <c r="BS111" s="215" t="str">
        <f t="shared" si="78"/>
        <v/>
      </c>
      <c r="BT111" s="217" t="str">
        <f t="shared" si="79"/>
        <v/>
      </c>
      <c r="BU111" s="217" t="str">
        <f t="shared" si="80"/>
        <v/>
      </c>
      <c r="BV111" s="215" t="str">
        <f t="shared" si="81"/>
        <v/>
      </c>
      <c r="BW111" s="217" t="str">
        <f t="shared" si="82"/>
        <v/>
      </c>
      <c r="BX111" s="217" t="str">
        <f t="shared" si="83"/>
        <v/>
      </c>
      <c r="BY111" s="215" t="str">
        <f t="shared" si="84"/>
        <v/>
      </c>
      <c r="BZ111" s="217" t="str">
        <f t="shared" si="85"/>
        <v/>
      </c>
      <c r="CA111" s="217" t="str">
        <f t="shared" si="86"/>
        <v/>
      </c>
      <c r="CB111" s="215" t="str">
        <f t="shared" si="87"/>
        <v/>
      </c>
      <c r="CC111" s="217" t="str">
        <f t="shared" si="88"/>
        <v/>
      </c>
      <c r="CD111" s="217" t="str">
        <f t="shared" si="89"/>
        <v/>
      </c>
    </row>
    <row r="112" spans="1:82" x14ac:dyDescent="0.25">
      <c r="A112" s="48"/>
      <c r="B112" s="54"/>
      <c r="C112" s="54"/>
      <c r="D112" s="53"/>
      <c r="E112" s="54"/>
      <c r="F112" s="54"/>
      <c r="G112" s="54"/>
      <c r="H112" s="54"/>
      <c r="I112" s="54"/>
      <c r="J112" s="2"/>
      <c r="K112" s="2"/>
      <c r="L112" s="2"/>
      <c r="M112" s="2"/>
      <c r="N112" s="54"/>
      <c r="O112" s="54"/>
      <c r="P112" s="54"/>
      <c r="Q112" s="54"/>
      <c r="R112" s="54"/>
      <c r="S112" s="54"/>
      <c r="T112" s="54"/>
      <c r="U112" s="2"/>
      <c r="V112" s="2"/>
      <c r="W112" s="2"/>
      <c r="X112" s="2"/>
      <c r="Y112" s="259"/>
      <c r="Z112" s="2"/>
      <c r="AA112" s="264">
        <v>108</v>
      </c>
      <c r="AB112" s="16" t="str">
        <f t="shared" si="90"/>
        <v/>
      </c>
      <c r="AC112" s="16" t="str">
        <f t="shared" si="91"/>
        <v/>
      </c>
      <c r="AD112" s="16" t="str">
        <f t="shared" si="61"/>
        <v/>
      </c>
      <c r="AE112" s="16" t="str">
        <f t="shared" si="62"/>
        <v/>
      </c>
      <c r="AF112" s="16" t="str">
        <f t="shared" si="63"/>
        <v/>
      </c>
      <c r="AG112" s="16" t="str">
        <f t="shared" si="92"/>
        <v/>
      </c>
      <c r="AH112" s="16" t="str">
        <f t="shared" si="93"/>
        <v/>
      </c>
      <c r="AI112" s="29" t="str">
        <f t="shared" si="64"/>
        <v/>
      </c>
      <c r="AJ112" s="29" t="str">
        <f t="shared" si="65"/>
        <v/>
      </c>
      <c r="AK112" s="2"/>
      <c r="AL112" s="2"/>
      <c r="AM112" s="2"/>
      <c r="AN112" s="2"/>
      <c r="AO112" s="2"/>
      <c r="AP112" s="2"/>
      <c r="AQ112" s="2"/>
      <c r="AR112" s="2"/>
      <c r="AS112" s="2"/>
      <c r="AT112" s="2"/>
      <c r="AU112" s="2"/>
      <c r="AV112" s="2"/>
      <c r="AW112" s="2"/>
      <c r="AX112" s="2"/>
      <c r="AY112" s="2"/>
      <c r="AZ112" s="2"/>
      <c r="BA112" s="2"/>
      <c r="BB112" s="2"/>
      <c r="BC112" s="2"/>
      <c r="BF112" s="208"/>
      <c r="BG112" s="215" t="str">
        <f t="shared" si="66"/>
        <v/>
      </c>
      <c r="BH112" s="217" t="str">
        <f t="shared" si="67"/>
        <v/>
      </c>
      <c r="BI112" s="217" t="str">
        <f t="shared" si="68"/>
        <v/>
      </c>
      <c r="BJ112" s="215" t="str">
        <f t="shared" si="69"/>
        <v/>
      </c>
      <c r="BK112" s="217" t="str">
        <f t="shared" si="70"/>
        <v/>
      </c>
      <c r="BL112" s="217" t="str">
        <f t="shared" si="71"/>
        <v/>
      </c>
      <c r="BM112" s="215" t="str">
        <f t="shared" si="72"/>
        <v/>
      </c>
      <c r="BN112" s="217" t="str">
        <f t="shared" si="73"/>
        <v/>
      </c>
      <c r="BO112" s="217" t="str">
        <f t="shared" si="74"/>
        <v/>
      </c>
      <c r="BP112" s="215" t="str">
        <f t="shared" si="75"/>
        <v/>
      </c>
      <c r="BQ112" s="217" t="str">
        <f t="shared" si="76"/>
        <v/>
      </c>
      <c r="BR112" s="217" t="str">
        <f t="shared" si="77"/>
        <v/>
      </c>
      <c r="BS112" s="215" t="str">
        <f t="shared" si="78"/>
        <v/>
      </c>
      <c r="BT112" s="217" t="str">
        <f t="shared" si="79"/>
        <v/>
      </c>
      <c r="BU112" s="217" t="str">
        <f t="shared" si="80"/>
        <v/>
      </c>
      <c r="BV112" s="215" t="str">
        <f t="shared" si="81"/>
        <v/>
      </c>
      <c r="BW112" s="217" t="str">
        <f t="shared" si="82"/>
        <v/>
      </c>
      <c r="BX112" s="217" t="str">
        <f t="shared" si="83"/>
        <v/>
      </c>
      <c r="BY112" s="215" t="str">
        <f t="shared" si="84"/>
        <v/>
      </c>
      <c r="BZ112" s="217" t="str">
        <f t="shared" si="85"/>
        <v/>
      </c>
      <c r="CA112" s="217" t="str">
        <f t="shared" si="86"/>
        <v/>
      </c>
      <c r="CB112" s="215" t="str">
        <f t="shared" si="87"/>
        <v/>
      </c>
      <c r="CC112" s="217" t="str">
        <f t="shared" si="88"/>
        <v/>
      </c>
      <c r="CD112" s="217" t="str">
        <f t="shared" si="89"/>
        <v/>
      </c>
    </row>
    <row r="113" spans="1:82" x14ac:dyDescent="0.25">
      <c r="A113" s="48"/>
      <c r="B113" s="54"/>
      <c r="C113" s="54"/>
      <c r="D113" s="54"/>
      <c r="E113" s="54"/>
      <c r="F113" s="54"/>
      <c r="G113" s="54"/>
      <c r="H113" s="54"/>
      <c r="I113" s="54"/>
      <c r="J113" s="2"/>
      <c r="K113" s="2"/>
      <c r="L113" s="2"/>
      <c r="M113" s="2"/>
      <c r="N113" s="54"/>
      <c r="O113" s="54"/>
      <c r="P113" s="54"/>
      <c r="Q113" s="54"/>
      <c r="R113" s="54"/>
      <c r="S113" s="54"/>
      <c r="T113" s="54"/>
      <c r="U113" s="2"/>
      <c r="V113" s="2"/>
      <c r="W113" s="2"/>
      <c r="X113" s="2"/>
      <c r="Y113" s="259"/>
      <c r="Z113" s="2"/>
      <c r="AA113" s="264">
        <v>109</v>
      </c>
      <c r="AB113" s="16" t="str">
        <f t="shared" si="90"/>
        <v/>
      </c>
      <c r="AC113" s="16" t="str">
        <f t="shared" si="91"/>
        <v/>
      </c>
      <c r="AD113" s="16" t="str">
        <f t="shared" si="61"/>
        <v/>
      </c>
      <c r="AE113" s="16" t="str">
        <f t="shared" si="62"/>
        <v/>
      </c>
      <c r="AF113" s="16" t="str">
        <f t="shared" si="63"/>
        <v/>
      </c>
      <c r="AG113" s="16" t="str">
        <f t="shared" si="92"/>
        <v/>
      </c>
      <c r="AH113" s="16" t="str">
        <f t="shared" si="93"/>
        <v/>
      </c>
      <c r="AI113" s="29" t="str">
        <f t="shared" si="64"/>
        <v/>
      </c>
      <c r="AJ113" s="29" t="str">
        <f t="shared" si="65"/>
        <v/>
      </c>
      <c r="AK113" s="2"/>
      <c r="AL113" s="2"/>
      <c r="AM113" s="2"/>
      <c r="AN113" s="2"/>
      <c r="AO113" s="2"/>
      <c r="AP113" s="2"/>
      <c r="AQ113" s="2"/>
      <c r="AR113" s="2"/>
      <c r="AS113" s="2"/>
      <c r="AT113" s="2"/>
      <c r="AU113" s="2"/>
      <c r="AV113" s="2"/>
      <c r="AW113" s="2"/>
      <c r="AX113" s="2"/>
      <c r="AY113" s="2"/>
      <c r="AZ113" s="2"/>
      <c r="BA113" s="2"/>
      <c r="BB113" s="2"/>
      <c r="BC113" s="2"/>
      <c r="BF113" s="208"/>
      <c r="BG113" s="215" t="str">
        <f t="shared" si="66"/>
        <v/>
      </c>
      <c r="BH113" s="217" t="str">
        <f t="shared" si="67"/>
        <v/>
      </c>
      <c r="BI113" s="217" t="str">
        <f t="shared" si="68"/>
        <v/>
      </c>
      <c r="BJ113" s="215" t="str">
        <f t="shared" si="69"/>
        <v/>
      </c>
      <c r="BK113" s="217" t="str">
        <f t="shared" si="70"/>
        <v/>
      </c>
      <c r="BL113" s="217" t="str">
        <f t="shared" si="71"/>
        <v/>
      </c>
      <c r="BM113" s="215" t="str">
        <f t="shared" si="72"/>
        <v/>
      </c>
      <c r="BN113" s="217" t="str">
        <f t="shared" si="73"/>
        <v/>
      </c>
      <c r="BO113" s="217" t="str">
        <f t="shared" si="74"/>
        <v/>
      </c>
      <c r="BP113" s="215" t="str">
        <f t="shared" si="75"/>
        <v/>
      </c>
      <c r="BQ113" s="217" t="str">
        <f t="shared" si="76"/>
        <v/>
      </c>
      <c r="BR113" s="217" t="str">
        <f t="shared" si="77"/>
        <v/>
      </c>
      <c r="BS113" s="215" t="str">
        <f t="shared" si="78"/>
        <v/>
      </c>
      <c r="BT113" s="217" t="str">
        <f t="shared" si="79"/>
        <v/>
      </c>
      <c r="BU113" s="217" t="str">
        <f t="shared" si="80"/>
        <v/>
      </c>
      <c r="BV113" s="215" t="str">
        <f t="shared" si="81"/>
        <v/>
      </c>
      <c r="BW113" s="217" t="str">
        <f t="shared" si="82"/>
        <v/>
      </c>
      <c r="BX113" s="217" t="str">
        <f t="shared" si="83"/>
        <v/>
      </c>
      <c r="BY113" s="215" t="str">
        <f t="shared" si="84"/>
        <v/>
      </c>
      <c r="BZ113" s="217" t="str">
        <f t="shared" si="85"/>
        <v/>
      </c>
      <c r="CA113" s="217" t="str">
        <f t="shared" si="86"/>
        <v/>
      </c>
      <c r="CB113" s="215" t="str">
        <f t="shared" si="87"/>
        <v/>
      </c>
      <c r="CC113" s="217" t="str">
        <f t="shared" si="88"/>
        <v/>
      </c>
      <c r="CD113" s="217" t="str">
        <f t="shared" si="89"/>
        <v/>
      </c>
    </row>
    <row r="114" spans="1:82" x14ac:dyDescent="0.25">
      <c r="A114" s="48"/>
      <c r="B114" s="54"/>
      <c r="C114" s="54"/>
      <c r="D114" s="54"/>
      <c r="E114" s="54"/>
      <c r="F114" s="54"/>
      <c r="G114" s="54"/>
      <c r="H114" s="54"/>
      <c r="I114" s="54"/>
      <c r="J114" s="2"/>
      <c r="K114" s="2"/>
      <c r="L114" s="2"/>
      <c r="M114" s="2"/>
      <c r="N114" s="54"/>
      <c r="O114" s="54"/>
      <c r="P114" s="54"/>
      <c r="Q114" s="54"/>
      <c r="R114" s="54"/>
      <c r="S114" s="54"/>
      <c r="T114" s="54"/>
      <c r="U114" s="2"/>
      <c r="V114" s="2"/>
      <c r="W114" s="2"/>
      <c r="X114" s="2"/>
      <c r="Y114" s="259"/>
      <c r="Z114" s="2"/>
      <c r="AA114" s="264">
        <v>110</v>
      </c>
      <c r="AB114" s="16" t="str">
        <f t="shared" si="90"/>
        <v/>
      </c>
      <c r="AC114" s="16" t="str">
        <f t="shared" si="91"/>
        <v/>
      </c>
      <c r="AD114" s="16" t="str">
        <f t="shared" si="61"/>
        <v/>
      </c>
      <c r="AE114" s="16" t="str">
        <f t="shared" si="62"/>
        <v/>
      </c>
      <c r="AF114" s="16" t="str">
        <f t="shared" si="63"/>
        <v/>
      </c>
      <c r="AG114" s="16" t="str">
        <f t="shared" si="92"/>
        <v/>
      </c>
      <c r="AH114" s="16" t="str">
        <f t="shared" si="93"/>
        <v/>
      </c>
      <c r="AI114" s="29" t="str">
        <f t="shared" si="64"/>
        <v/>
      </c>
      <c r="AJ114" s="29" t="str">
        <f t="shared" si="65"/>
        <v/>
      </c>
      <c r="AK114" s="2"/>
      <c r="AL114" s="2"/>
      <c r="AM114" s="2"/>
      <c r="AN114" s="2"/>
      <c r="AO114" s="2"/>
      <c r="AP114" s="2"/>
      <c r="AQ114" s="2"/>
      <c r="AR114" s="2"/>
      <c r="AS114" s="2"/>
      <c r="AT114" s="2"/>
      <c r="AU114" s="2"/>
      <c r="AV114" s="2"/>
      <c r="AW114" s="2"/>
      <c r="AX114" s="2"/>
      <c r="AY114" s="2"/>
      <c r="AZ114" s="2"/>
      <c r="BA114" s="2"/>
      <c r="BB114" s="2"/>
      <c r="BC114" s="2"/>
      <c r="BF114" s="208"/>
      <c r="BG114" s="215" t="str">
        <f t="shared" si="66"/>
        <v/>
      </c>
      <c r="BH114" s="217" t="str">
        <f t="shared" si="67"/>
        <v/>
      </c>
      <c r="BI114" s="217" t="str">
        <f t="shared" si="68"/>
        <v/>
      </c>
      <c r="BJ114" s="215" t="str">
        <f t="shared" si="69"/>
        <v/>
      </c>
      <c r="BK114" s="217" t="str">
        <f t="shared" si="70"/>
        <v/>
      </c>
      <c r="BL114" s="217" t="str">
        <f t="shared" si="71"/>
        <v/>
      </c>
      <c r="BM114" s="215" t="str">
        <f t="shared" si="72"/>
        <v/>
      </c>
      <c r="BN114" s="217" t="str">
        <f t="shared" si="73"/>
        <v/>
      </c>
      <c r="BO114" s="217" t="str">
        <f t="shared" si="74"/>
        <v/>
      </c>
      <c r="BP114" s="215" t="str">
        <f t="shared" si="75"/>
        <v/>
      </c>
      <c r="BQ114" s="217" t="str">
        <f t="shared" si="76"/>
        <v/>
      </c>
      <c r="BR114" s="217" t="str">
        <f t="shared" si="77"/>
        <v/>
      </c>
      <c r="BS114" s="215" t="str">
        <f t="shared" si="78"/>
        <v/>
      </c>
      <c r="BT114" s="217" t="str">
        <f t="shared" si="79"/>
        <v/>
      </c>
      <c r="BU114" s="217" t="str">
        <f t="shared" si="80"/>
        <v/>
      </c>
      <c r="BV114" s="215" t="str">
        <f t="shared" si="81"/>
        <v/>
      </c>
      <c r="BW114" s="217" t="str">
        <f t="shared" si="82"/>
        <v/>
      </c>
      <c r="BX114" s="217" t="str">
        <f t="shared" si="83"/>
        <v/>
      </c>
      <c r="BY114" s="215" t="str">
        <f t="shared" si="84"/>
        <v/>
      </c>
      <c r="BZ114" s="217" t="str">
        <f t="shared" si="85"/>
        <v/>
      </c>
      <c r="CA114" s="217" t="str">
        <f t="shared" si="86"/>
        <v/>
      </c>
      <c r="CB114" s="215" t="str">
        <f t="shared" si="87"/>
        <v/>
      </c>
      <c r="CC114" s="217" t="str">
        <f t="shared" si="88"/>
        <v/>
      </c>
      <c r="CD114" s="217" t="str">
        <f t="shared" si="89"/>
        <v/>
      </c>
    </row>
    <row r="115" spans="1:82" x14ac:dyDescent="0.25">
      <c r="A115" s="48"/>
      <c r="B115" s="54"/>
      <c r="C115" s="54"/>
      <c r="D115" s="54"/>
      <c r="E115" s="54"/>
      <c r="F115" s="54"/>
      <c r="G115" s="54"/>
      <c r="H115" s="54"/>
      <c r="I115" s="54"/>
      <c r="J115" s="2"/>
      <c r="K115" s="2"/>
      <c r="L115" s="2"/>
      <c r="M115" s="2"/>
      <c r="N115" s="54"/>
      <c r="O115" s="54"/>
      <c r="P115" s="54"/>
      <c r="Q115" s="54"/>
      <c r="R115" s="54"/>
      <c r="S115" s="54"/>
      <c r="T115" s="54"/>
      <c r="U115" s="2"/>
      <c r="V115" s="2"/>
      <c r="W115" s="2"/>
      <c r="X115" s="2"/>
      <c r="Y115" s="259"/>
      <c r="Z115" s="2"/>
      <c r="AA115" s="264">
        <v>111</v>
      </c>
      <c r="AB115" s="16" t="str">
        <f t="shared" si="90"/>
        <v/>
      </c>
      <c r="AC115" s="16" t="str">
        <f t="shared" si="91"/>
        <v/>
      </c>
      <c r="AD115" s="16" t="str">
        <f t="shared" si="61"/>
        <v/>
      </c>
      <c r="AE115" s="16" t="str">
        <f t="shared" si="62"/>
        <v/>
      </c>
      <c r="AF115" s="16" t="str">
        <f t="shared" si="63"/>
        <v/>
      </c>
      <c r="AG115" s="16" t="str">
        <f t="shared" si="92"/>
        <v/>
      </c>
      <c r="AH115" s="16" t="str">
        <f t="shared" si="93"/>
        <v/>
      </c>
      <c r="AI115" s="29" t="str">
        <f t="shared" si="64"/>
        <v/>
      </c>
      <c r="AJ115" s="29" t="str">
        <f t="shared" si="65"/>
        <v/>
      </c>
      <c r="AK115" s="2"/>
      <c r="AL115" s="2"/>
      <c r="AM115" s="2"/>
      <c r="AN115" s="2"/>
      <c r="AO115" s="2"/>
      <c r="AP115" s="2"/>
      <c r="AQ115" s="2"/>
      <c r="AR115" s="2"/>
      <c r="AS115" s="2"/>
      <c r="AT115" s="2"/>
      <c r="AU115" s="2"/>
      <c r="AV115" s="2"/>
      <c r="AW115" s="2"/>
      <c r="AX115" s="2"/>
      <c r="AY115" s="2"/>
      <c r="AZ115" s="2"/>
      <c r="BA115" s="2"/>
      <c r="BB115" s="2"/>
      <c r="BC115" s="2"/>
      <c r="BF115" s="208"/>
      <c r="BG115" s="215" t="str">
        <f t="shared" si="66"/>
        <v/>
      </c>
      <c r="BH115" s="221" t="str">
        <f t="shared" si="67"/>
        <v/>
      </c>
      <c r="BI115" s="221" t="str">
        <f t="shared" si="68"/>
        <v/>
      </c>
      <c r="BJ115" s="215" t="str">
        <f t="shared" si="69"/>
        <v/>
      </c>
      <c r="BK115" s="221" t="str">
        <f t="shared" si="70"/>
        <v/>
      </c>
      <c r="BL115" s="221" t="str">
        <f t="shared" si="71"/>
        <v/>
      </c>
      <c r="BM115" s="215" t="str">
        <f t="shared" si="72"/>
        <v/>
      </c>
      <c r="BN115" s="221" t="str">
        <f t="shared" si="73"/>
        <v/>
      </c>
      <c r="BO115" s="221" t="str">
        <f t="shared" si="74"/>
        <v/>
      </c>
      <c r="BP115" s="215" t="str">
        <f t="shared" si="75"/>
        <v/>
      </c>
      <c r="BQ115" s="221" t="str">
        <f t="shared" si="76"/>
        <v/>
      </c>
      <c r="BR115" s="221" t="str">
        <f t="shared" si="77"/>
        <v/>
      </c>
      <c r="BS115" s="215" t="str">
        <f t="shared" si="78"/>
        <v/>
      </c>
      <c r="BT115" s="221" t="str">
        <f t="shared" si="79"/>
        <v/>
      </c>
      <c r="BU115" s="221" t="str">
        <f t="shared" si="80"/>
        <v/>
      </c>
      <c r="BV115" s="215" t="str">
        <f t="shared" si="81"/>
        <v/>
      </c>
      <c r="BW115" s="221" t="str">
        <f t="shared" si="82"/>
        <v/>
      </c>
      <c r="BX115" s="221" t="str">
        <f t="shared" si="83"/>
        <v/>
      </c>
      <c r="BY115" s="215" t="str">
        <f t="shared" si="84"/>
        <v/>
      </c>
      <c r="BZ115" s="221" t="str">
        <f t="shared" si="85"/>
        <v/>
      </c>
      <c r="CA115" s="221" t="str">
        <f t="shared" si="86"/>
        <v/>
      </c>
      <c r="CB115" s="215" t="str">
        <f t="shared" si="87"/>
        <v/>
      </c>
      <c r="CC115" s="221" t="str">
        <f t="shared" si="88"/>
        <v/>
      </c>
      <c r="CD115" s="221" t="str">
        <f t="shared" si="89"/>
        <v/>
      </c>
    </row>
    <row r="116" spans="1:82" x14ac:dyDescent="0.25">
      <c r="A116" s="48"/>
      <c r="B116" s="54"/>
      <c r="C116" s="54"/>
      <c r="D116" s="54"/>
      <c r="E116" s="54"/>
      <c r="F116" s="54"/>
      <c r="G116" s="54"/>
      <c r="H116" s="54"/>
      <c r="I116" s="54"/>
      <c r="J116" s="2"/>
      <c r="K116" s="2"/>
      <c r="L116" s="2"/>
      <c r="M116" s="2"/>
      <c r="N116" s="54"/>
      <c r="O116" s="54"/>
      <c r="P116" s="54"/>
      <c r="Q116" s="54"/>
      <c r="R116" s="54"/>
      <c r="S116" s="54"/>
      <c r="T116" s="54"/>
      <c r="U116" s="2"/>
      <c r="V116" s="2"/>
      <c r="W116" s="2"/>
      <c r="X116" s="2"/>
      <c r="Y116" s="259"/>
      <c r="Z116" s="2"/>
      <c r="AA116" s="264">
        <v>112</v>
      </c>
      <c r="AB116" s="16" t="str">
        <f t="shared" si="90"/>
        <v/>
      </c>
      <c r="AC116" s="16" t="str">
        <f t="shared" si="91"/>
        <v/>
      </c>
      <c r="AD116" s="16" t="str">
        <f t="shared" si="61"/>
        <v/>
      </c>
      <c r="AE116" s="16" t="str">
        <f t="shared" si="62"/>
        <v/>
      </c>
      <c r="AF116" s="16" t="str">
        <f t="shared" si="63"/>
        <v/>
      </c>
      <c r="AG116" s="16" t="str">
        <f t="shared" si="92"/>
        <v/>
      </c>
      <c r="AH116" s="16" t="str">
        <f t="shared" si="93"/>
        <v/>
      </c>
      <c r="AI116" s="29" t="str">
        <f t="shared" si="64"/>
        <v/>
      </c>
      <c r="AJ116" s="29" t="str">
        <f t="shared" si="65"/>
        <v/>
      </c>
      <c r="AK116" s="2"/>
      <c r="AL116" s="2"/>
      <c r="AM116" s="2"/>
      <c r="AN116" s="2"/>
      <c r="AO116" s="2"/>
      <c r="AP116" s="2"/>
      <c r="AQ116" s="2"/>
      <c r="AR116" s="2"/>
      <c r="AS116" s="2"/>
      <c r="AT116" s="2"/>
      <c r="AU116" s="2"/>
      <c r="AV116" s="2"/>
      <c r="AW116" s="2"/>
      <c r="AX116" s="2"/>
      <c r="AY116" s="2"/>
      <c r="AZ116" s="2"/>
      <c r="BA116" s="2"/>
      <c r="BB116" s="2"/>
      <c r="BC116" s="2"/>
      <c r="BF116" s="208"/>
      <c r="BG116" s="215" t="str">
        <f t="shared" si="66"/>
        <v/>
      </c>
      <c r="BH116" s="217" t="str">
        <f t="shared" si="67"/>
        <v/>
      </c>
      <c r="BI116" s="229" t="str">
        <f t="shared" si="68"/>
        <v/>
      </c>
      <c r="BJ116" s="215" t="str">
        <f t="shared" si="69"/>
        <v/>
      </c>
      <c r="BK116" s="217" t="str">
        <f t="shared" si="70"/>
        <v/>
      </c>
      <c r="BL116" s="229" t="str">
        <f t="shared" si="71"/>
        <v/>
      </c>
      <c r="BM116" s="215" t="str">
        <f t="shared" si="72"/>
        <v/>
      </c>
      <c r="BN116" s="217" t="str">
        <f t="shared" si="73"/>
        <v/>
      </c>
      <c r="BO116" s="229" t="str">
        <f t="shared" si="74"/>
        <v/>
      </c>
      <c r="BP116" s="215" t="str">
        <f t="shared" si="75"/>
        <v/>
      </c>
      <c r="BQ116" s="217" t="str">
        <f t="shared" si="76"/>
        <v/>
      </c>
      <c r="BR116" s="229" t="str">
        <f t="shared" si="77"/>
        <v/>
      </c>
      <c r="BS116" s="215" t="str">
        <f t="shared" si="78"/>
        <v/>
      </c>
      <c r="BT116" s="217" t="str">
        <f t="shared" si="79"/>
        <v/>
      </c>
      <c r="BU116" s="229" t="str">
        <f t="shared" si="80"/>
        <v/>
      </c>
      <c r="BV116" s="215" t="str">
        <f t="shared" si="81"/>
        <v/>
      </c>
      <c r="BW116" s="217" t="str">
        <f t="shared" si="82"/>
        <v/>
      </c>
      <c r="BX116" s="229" t="str">
        <f t="shared" si="83"/>
        <v/>
      </c>
      <c r="BY116" s="215" t="str">
        <f t="shared" si="84"/>
        <v/>
      </c>
      <c r="BZ116" s="217" t="str">
        <f t="shared" si="85"/>
        <v/>
      </c>
      <c r="CA116" s="229" t="str">
        <f t="shared" si="86"/>
        <v/>
      </c>
      <c r="CB116" s="215" t="str">
        <f t="shared" si="87"/>
        <v/>
      </c>
      <c r="CC116" s="217" t="str">
        <f t="shared" si="88"/>
        <v/>
      </c>
      <c r="CD116" s="229" t="str">
        <f t="shared" si="89"/>
        <v/>
      </c>
    </row>
    <row r="117" spans="1:82" x14ac:dyDescent="0.25">
      <c r="A117" s="48"/>
      <c r="B117" s="54"/>
      <c r="C117" s="54"/>
      <c r="D117" s="54"/>
      <c r="E117" s="54"/>
      <c r="F117" s="54"/>
      <c r="G117" s="54"/>
      <c r="H117" s="54"/>
      <c r="I117" s="54"/>
      <c r="J117" s="2"/>
      <c r="K117" s="2"/>
      <c r="L117" s="2"/>
      <c r="M117" s="2"/>
      <c r="N117" s="54"/>
      <c r="O117" s="54"/>
      <c r="P117" s="54"/>
      <c r="Q117" s="54"/>
      <c r="R117" s="54"/>
      <c r="S117" s="54"/>
      <c r="T117" s="54"/>
      <c r="U117" s="2"/>
      <c r="V117" s="2"/>
      <c r="W117" s="2"/>
      <c r="X117" s="2"/>
      <c r="Y117" s="259"/>
      <c r="Z117" s="2"/>
      <c r="AA117" s="264">
        <v>113</v>
      </c>
      <c r="AB117" s="16" t="str">
        <f t="shared" si="90"/>
        <v/>
      </c>
      <c r="AC117" s="16" t="str">
        <f t="shared" si="91"/>
        <v/>
      </c>
      <c r="AD117" s="16" t="str">
        <f t="shared" si="61"/>
        <v/>
      </c>
      <c r="AE117" s="16" t="str">
        <f t="shared" si="62"/>
        <v/>
      </c>
      <c r="AF117" s="16" t="str">
        <f t="shared" si="63"/>
        <v/>
      </c>
      <c r="AG117" s="16" t="str">
        <f t="shared" si="92"/>
        <v/>
      </c>
      <c r="AH117" s="16" t="str">
        <f t="shared" si="93"/>
        <v/>
      </c>
      <c r="AI117" s="29" t="str">
        <f t="shared" si="64"/>
        <v/>
      </c>
      <c r="AJ117" s="29" t="str">
        <f t="shared" si="65"/>
        <v/>
      </c>
      <c r="AK117" s="2"/>
      <c r="AL117" s="2"/>
      <c r="AM117" s="2"/>
      <c r="AN117" s="2"/>
      <c r="AO117" s="2"/>
      <c r="AP117" s="2"/>
      <c r="AQ117" s="2"/>
      <c r="AR117" s="2"/>
      <c r="AS117" s="2"/>
      <c r="AT117" s="2"/>
      <c r="AU117" s="2"/>
      <c r="AV117" s="2"/>
      <c r="AW117" s="2"/>
      <c r="AX117" s="2"/>
      <c r="AY117" s="2"/>
      <c r="AZ117" s="2"/>
      <c r="BA117" s="2"/>
      <c r="BB117" s="2"/>
      <c r="BC117" s="2"/>
      <c r="BF117" s="193"/>
      <c r="BG117" s="215" t="str">
        <f t="shared" si="66"/>
        <v/>
      </c>
      <c r="BH117" s="217" t="str">
        <f t="shared" si="67"/>
        <v/>
      </c>
      <c r="BI117" s="229" t="str">
        <f t="shared" si="68"/>
        <v/>
      </c>
      <c r="BJ117" s="215" t="str">
        <f t="shared" si="69"/>
        <v/>
      </c>
      <c r="BK117" s="217" t="str">
        <f t="shared" si="70"/>
        <v/>
      </c>
      <c r="BL117" s="229" t="str">
        <f t="shared" si="71"/>
        <v/>
      </c>
      <c r="BM117" s="215" t="str">
        <f t="shared" si="72"/>
        <v/>
      </c>
      <c r="BN117" s="217" t="str">
        <f t="shared" si="73"/>
        <v/>
      </c>
      <c r="BO117" s="229" t="str">
        <f t="shared" si="74"/>
        <v/>
      </c>
      <c r="BP117" s="215" t="str">
        <f t="shared" si="75"/>
        <v/>
      </c>
      <c r="BQ117" s="217" t="str">
        <f t="shared" si="76"/>
        <v/>
      </c>
      <c r="BR117" s="229" t="str">
        <f t="shared" si="77"/>
        <v/>
      </c>
      <c r="BS117" s="215" t="str">
        <f t="shared" si="78"/>
        <v/>
      </c>
      <c r="BT117" s="217" t="str">
        <f t="shared" si="79"/>
        <v/>
      </c>
      <c r="BU117" s="229" t="str">
        <f t="shared" si="80"/>
        <v/>
      </c>
      <c r="BV117" s="215" t="str">
        <f t="shared" si="81"/>
        <v/>
      </c>
      <c r="BW117" s="217" t="str">
        <f t="shared" si="82"/>
        <v/>
      </c>
      <c r="BX117" s="229" t="str">
        <f t="shared" si="83"/>
        <v/>
      </c>
      <c r="BY117" s="215" t="str">
        <f t="shared" si="84"/>
        <v/>
      </c>
      <c r="BZ117" s="217" t="str">
        <f t="shared" si="85"/>
        <v/>
      </c>
      <c r="CA117" s="229" t="str">
        <f t="shared" si="86"/>
        <v/>
      </c>
      <c r="CB117" s="215" t="str">
        <f t="shared" si="87"/>
        <v/>
      </c>
      <c r="CC117" s="217" t="str">
        <f t="shared" si="88"/>
        <v/>
      </c>
      <c r="CD117" s="229" t="str">
        <f t="shared" si="89"/>
        <v/>
      </c>
    </row>
    <row r="118" spans="1:82" x14ac:dyDescent="0.25">
      <c r="A118" s="48"/>
      <c r="B118" s="54"/>
      <c r="C118" s="54"/>
      <c r="D118" s="54"/>
      <c r="E118" s="54"/>
      <c r="F118" s="54"/>
      <c r="G118" s="54"/>
      <c r="H118" s="54"/>
      <c r="I118" s="54"/>
      <c r="J118" s="2"/>
      <c r="K118" s="2"/>
      <c r="L118" s="2"/>
      <c r="M118" s="2"/>
      <c r="N118" s="54"/>
      <c r="O118" s="54"/>
      <c r="P118" s="54"/>
      <c r="Q118" s="54"/>
      <c r="R118" s="54"/>
      <c r="S118" s="54"/>
      <c r="T118" s="54"/>
      <c r="U118" s="2"/>
      <c r="V118" s="2"/>
      <c r="W118" s="2"/>
      <c r="X118" s="2"/>
      <c r="Y118" s="259"/>
      <c r="Z118" s="2"/>
      <c r="AA118" s="264">
        <v>114</v>
      </c>
      <c r="AB118" s="16" t="str">
        <f t="shared" si="90"/>
        <v/>
      </c>
      <c r="AC118" s="16" t="str">
        <f t="shared" si="91"/>
        <v/>
      </c>
      <c r="AD118" s="16" t="str">
        <f t="shared" si="61"/>
        <v/>
      </c>
      <c r="AE118" s="16" t="str">
        <f t="shared" si="62"/>
        <v/>
      </c>
      <c r="AF118" s="16" t="str">
        <f t="shared" si="63"/>
        <v/>
      </c>
      <c r="AG118" s="16" t="str">
        <f t="shared" si="92"/>
        <v/>
      </c>
      <c r="AH118" s="16" t="str">
        <f t="shared" si="93"/>
        <v/>
      </c>
      <c r="AI118" s="29" t="str">
        <f t="shared" si="64"/>
        <v/>
      </c>
      <c r="AJ118" s="29" t="str">
        <f t="shared" si="65"/>
        <v/>
      </c>
      <c r="AK118" s="2"/>
      <c r="AL118" s="2"/>
      <c r="AM118" s="2"/>
      <c r="AN118" s="2"/>
      <c r="AO118" s="2"/>
      <c r="AP118" s="2"/>
      <c r="AQ118" s="2"/>
      <c r="AR118" s="2"/>
      <c r="AS118" s="2"/>
      <c r="AT118" s="2"/>
      <c r="AU118" s="2"/>
      <c r="AV118" s="2"/>
      <c r="AW118" s="2"/>
      <c r="AX118" s="2"/>
      <c r="AY118" s="2"/>
      <c r="AZ118" s="2"/>
      <c r="BA118" s="2"/>
      <c r="BB118" s="2"/>
      <c r="BC118" s="2"/>
      <c r="BG118" s="215" t="str">
        <f t="shared" si="66"/>
        <v/>
      </c>
      <c r="BH118" s="217" t="str">
        <f t="shared" si="67"/>
        <v/>
      </c>
      <c r="BI118" s="217" t="str">
        <f t="shared" si="68"/>
        <v/>
      </c>
      <c r="BJ118" s="215" t="str">
        <f t="shared" si="69"/>
        <v/>
      </c>
      <c r="BK118" s="217" t="str">
        <f t="shared" si="70"/>
        <v/>
      </c>
      <c r="BL118" s="217" t="str">
        <f t="shared" si="71"/>
        <v/>
      </c>
      <c r="BM118" s="215" t="str">
        <f t="shared" si="72"/>
        <v/>
      </c>
      <c r="BN118" s="217" t="str">
        <f t="shared" si="73"/>
        <v/>
      </c>
      <c r="BO118" s="217" t="str">
        <f t="shared" si="74"/>
        <v/>
      </c>
      <c r="BP118" s="215" t="str">
        <f t="shared" si="75"/>
        <v/>
      </c>
      <c r="BQ118" s="217" t="str">
        <f t="shared" si="76"/>
        <v/>
      </c>
      <c r="BR118" s="217" t="str">
        <f t="shared" si="77"/>
        <v/>
      </c>
      <c r="BS118" s="215" t="str">
        <f t="shared" si="78"/>
        <v/>
      </c>
      <c r="BT118" s="217" t="str">
        <f t="shared" si="79"/>
        <v/>
      </c>
      <c r="BU118" s="217" t="str">
        <f t="shared" si="80"/>
        <v/>
      </c>
      <c r="BV118" s="215" t="str">
        <f t="shared" si="81"/>
        <v/>
      </c>
      <c r="BW118" s="217" t="str">
        <f t="shared" si="82"/>
        <v/>
      </c>
      <c r="BX118" s="217" t="str">
        <f t="shared" si="83"/>
        <v/>
      </c>
      <c r="BY118" s="215" t="str">
        <f t="shared" si="84"/>
        <v/>
      </c>
      <c r="BZ118" s="217" t="str">
        <f t="shared" si="85"/>
        <v/>
      </c>
      <c r="CA118" s="217" t="str">
        <f t="shared" si="86"/>
        <v/>
      </c>
      <c r="CB118" s="215" t="str">
        <f t="shared" si="87"/>
        <v/>
      </c>
      <c r="CC118" s="217" t="str">
        <f t="shared" si="88"/>
        <v/>
      </c>
      <c r="CD118" s="217" t="str">
        <f t="shared" si="89"/>
        <v/>
      </c>
    </row>
    <row r="119" spans="1:82" x14ac:dyDescent="0.25">
      <c r="A119" s="48"/>
      <c r="B119" s="54"/>
      <c r="C119" s="54"/>
      <c r="D119" s="54"/>
      <c r="E119" s="54"/>
      <c r="F119" s="54"/>
      <c r="G119" s="54"/>
      <c r="H119" s="54"/>
      <c r="I119" s="54"/>
      <c r="J119" s="2"/>
      <c r="K119" s="2"/>
      <c r="L119" s="2"/>
      <c r="M119" s="2"/>
      <c r="N119" s="54"/>
      <c r="O119" s="54"/>
      <c r="P119" s="54"/>
      <c r="Q119" s="54"/>
      <c r="R119" s="54"/>
      <c r="S119" s="54"/>
      <c r="T119" s="54"/>
      <c r="U119" s="2"/>
      <c r="V119" s="2"/>
      <c r="W119" s="2"/>
      <c r="X119" s="2"/>
      <c r="Y119" s="259"/>
      <c r="Z119" s="2"/>
      <c r="AA119" s="264">
        <v>115</v>
      </c>
      <c r="AB119" s="16" t="str">
        <f t="shared" si="90"/>
        <v/>
      </c>
      <c r="AC119" s="16" t="str">
        <f t="shared" si="91"/>
        <v/>
      </c>
      <c r="AD119" s="16" t="str">
        <f t="shared" si="61"/>
        <v/>
      </c>
      <c r="AE119" s="16" t="str">
        <f t="shared" si="62"/>
        <v/>
      </c>
      <c r="AF119" s="16" t="str">
        <f t="shared" si="63"/>
        <v/>
      </c>
      <c r="AG119" s="16" t="str">
        <f t="shared" si="92"/>
        <v/>
      </c>
      <c r="AH119" s="16" t="str">
        <f t="shared" si="93"/>
        <v/>
      </c>
      <c r="AI119" s="29" t="str">
        <f t="shared" si="64"/>
        <v/>
      </c>
      <c r="AJ119" s="29" t="str">
        <f t="shared" si="65"/>
        <v/>
      </c>
      <c r="AK119" s="2"/>
      <c r="AL119" s="2"/>
      <c r="AM119" s="2"/>
      <c r="AN119" s="2"/>
      <c r="AO119" s="2"/>
      <c r="AP119" s="2"/>
      <c r="AQ119" s="2"/>
      <c r="AR119" s="2"/>
      <c r="AS119" s="2"/>
      <c r="AT119" s="2"/>
      <c r="AU119" s="2"/>
      <c r="AV119" s="2"/>
      <c r="AW119" s="2"/>
      <c r="AX119" s="2"/>
      <c r="AY119" s="2"/>
      <c r="AZ119" s="2"/>
      <c r="BA119" s="2"/>
      <c r="BB119" s="2"/>
      <c r="BC119" s="2"/>
      <c r="BG119" s="215" t="str">
        <f t="shared" si="66"/>
        <v/>
      </c>
      <c r="BH119" s="217" t="str">
        <f t="shared" si="67"/>
        <v/>
      </c>
      <c r="BI119" s="217" t="str">
        <f t="shared" si="68"/>
        <v/>
      </c>
      <c r="BJ119" s="215" t="str">
        <f t="shared" si="69"/>
        <v/>
      </c>
      <c r="BK119" s="217" t="str">
        <f t="shared" si="70"/>
        <v/>
      </c>
      <c r="BL119" s="217" t="str">
        <f t="shared" si="71"/>
        <v/>
      </c>
      <c r="BM119" s="215" t="str">
        <f t="shared" si="72"/>
        <v/>
      </c>
      <c r="BN119" s="217" t="str">
        <f t="shared" si="73"/>
        <v/>
      </c>
      <c r="BO119" s="217" t="str">
        <f t="shared" si="74"/>
        <v/>
      </c>
      <c r="BP119" s="215" t="str">
        <f t="shared" si="75"/>
        <v/>
      </c>
      <c r="BQ119" s="217" t="str">
        <f t="shared" si="76"/>
        <v/>
      </c>
      <c r="BR119" s="217" t="str">
        <f t="shared" si="77"/>
        <v/>
      </c>
      <c r="BS119" s="215" t="str">
        <f t="shared" si="78"/>
        <v/>
      </c>
      <c r="BT119" s="217" t="str">
        <f t="shared" si="79"/>
        <v/>
      </c>
      <c r="BU119" s="217" t="str">
        <f t="shared" si="80"/>
        <v/>
      </c>
      <c r="BV119" s="215" t="str">
        <f t="shared" si="81"/>
        <v/>
      </c>
      <c r="BW119" s="217" t="str">
        <f t="shared" si="82"/>
        <v/>
      </c>
      <c r="BX119" s="217" t="str">
        <f t="shared" si="83"/>
        <v/>
      </c>
      <c r="BY119" s="215" t="str">
        <f t="shared" si="84"/>
        <v/>
      </c>
      <c r="BZ119" s="217" t="str">
        <f t="shared" si="85"/>
        <v/>
      </c>
      <c r="CA119" s="217" t="str">
        <f t="shared" si="86"/>
        <v/>
      </c>
      <c r="CB119" s="215" t="str">
        <f t="shared" si="87"/>
        <v/>
      </c>
      <c r="CC119" s="217" t="str">
        <f t="shared" si="88"/>
        <v/>
      </c>
      <c r="CD119" s="217" t="str">
        <f t="shared" si="89"/>
        <v/>
      </c>
    </row>
    <row r="120" spans="1:82" x14ac:dyDescent="0.25">
      <c r="A120" s="48"/>
      <c r="B120" s="54"/>
      <c r="C120" s="54"/>
      <c r="D120" s="54"/>
      <c r="E120" s="54"/>
      <c r="F120" s="54"/>
      <c r="G120" s="54"/>
      <c r="H120" s="54"/>
      <c r="I120" s="54"/>
      <c r="J120" s="2"/>
      <c r="K120" s="2"/>
      <c r="L120" s="2"/>
      <c r="M120" s="2"/>
      <c r="N120" s="2"/>
      <c r="O120" s="2"/>
      <c r="P120" s="2"/>
      <c r="Q120" s="2"/>
      <c r="R120" s="2"/>
      <c r="S120" s="2"/>
      <c r="T120" s="2"/>
      <c r="U120" s="2"/>
      <c r="V120" s="2"/>
      <c r="W120" s="2"/>
      <c r="X120" s="2"/>
      <c r="Y120" s="259"/>
      <c r="Z120" s="2"/>
      <c r="AA120" s="264">
        <v>116</v>
      </c>
      <c r="AB120" s="16" t="str">
        <f t="shared" si="90"/>
        <v/>
      </c>
      <c r="AC120" s="16" t="str">
        <f t="shared" si="91"/>
        <v/>
      </c>
      <c r="AD120" s="16" t="str">
        <f t="shared" si="61"/>
        <v/>
      </c>
      <c r="AE120" s="16" t="str">
        <f t="shared" si="62"/>
        <v/>
      </c>
      <c r="AF120" s="16" t="str">
        <f t="shared" si="63"/>
        <v/>
      </c>
      <c r="AG120" s="16" t="str">
        <f t="shared" si="92"/>
        <v/>
      </c>
      <c r="AH120" s="16" t="str">
        <f t="shared" si="93"/>
        <v/>
      </c>
      <c r="AI120" s="29" t="str">
        <f t="shared" si="64"/>
        <v/>
      </c>
      <c r="AJ120" s="29" t="str">
        <f t="shared" si="65"/>
        <v/>
      </c>
      <c r="AK120" s="2"/>
      <c r="AL120" s="2"/>
      <c r="AM120" s="2"/>
      <c r="AN120" s="2"/>
      <c r="AO120" s="2"/>
      <c r="AP120" s="2"/>
      <c r="AQ120" s="2"/>
      <c r="AR120" s="2"/>
      <c r="AS120" s="2"/>
      <c r="AT120" s="2"/>
      <c r="AU120" s="2"/>
      <c r="AV120" s="2"/>
      <c r="AW120" s="2"/>
      <c r="AX120" s="2"/>
      <c r="AY120" s="2"/>
      <c r="AZ120" s="2"/>
      <c r="BA120" s="2"/>
      <c r="BB120" s="2"/>
      <c r="BC120" s="2"/>
      <c r="BG120" s="215" t="str">
        <f t="shared" si="66"/>
        <v/>
      </c>
      <c r="BH120" s="217" t="str">
        <f t="shared" si="67"/>
        <v/>
      </c>
      <c r="BI120" s="217" t="str">
        <f t="shared" si="68"/>
        <v/>
      </c>
      <c r="BJ120" s="215" t="str">
        <f t="shared" si="69"/>
        <v/>
      </c>
      <c r="BK120" s="217" t="str">
        <f t="shared" si="70"/>
        <v/>
      </c>
      <c r="BL120" s="217" t="str">
        <f t="shared" si="71"/>
        <v/>
      </c>
      <c r="BM120" s="215" t="str">
        <f t="shared" si="72"/>
        <v/>
      </c>
      <c r="BN120" s="217" t="str">
        <f t="shared" si="73"/>
        <v/>
      </c>
      <c r="BO120" s="217" t="str">
        <f t="shared" si="74"/>
        <v/>
      </c>
      <c r="BP120" s="215" t="str">
        <f t="shared" si="75"/>
        <v/>
      </c>
      <c r="BQ120" s="217" t="str">
        <f t="shared" si="76"/>
        <v/>
      </c>
      <c r="BR120" s="217" t="str">
        <f t="shared" si="77"/>
        <v/>
      </c>
      <c r="BS120" s="215" t="str">
        <f t="shared" si="78"/>
        <v/>
      </c>
      <c r="BT120" s="217" t="str">
        <f t="shared" si="79"/>
        <v/>
      </c>
      <c r="BU120" s="217" t="str">
        <f t="shared" si="80"/>
        <v/>
      </c>
      <c r="BV120" s="215" t="str">
        <f t="shared" si="81"/>
        <v/>
      </c>
      <c r="BW120" s="217" t="str">
        <f t="shared" si="82"/>
        <v/>
      </c>
      <c r="BX120" s="217" t="str">
        <f t="shared" si="83"/>
        <v/>
      </c>
      <c r="BY120" s="215" t="str">
        <f t="shared" si="84"/>
        <v/>
      </c>
      <c r="BZ120" s="217" t="str">
        <f t="shared" si="85"/>
        <v/>
      </c>
      <c r="CA120" s="217" t="str">
        <f t="shared" si="86"/>
        <v/>
      </c>
      <c r="CB120" s="215" t="str">
        <f t="shared" si="87"/>
        <v/>
      </c>
      <c r="CC120" s="217" t="str">
        <f t="shared" si="88"/>
        <v/>
      </c>
      <c r="CD120" s="217" t="str">
        <f t="shared" si="89"/>
        <v/>
      </c>
    </row>
    <row r="121" spans="1:82" x14ac:dyDescent="0.25">
      <c r="A121" s="48"/>
      <c r="B121" s="54"/>
      <c r="C121" s="54"/>
      <c r="D121" s="54"/>
      <c r="E121" s="54"/>
      <c r="F121" s="54"/>
      <c r="G121" s="54"/>
      <c r="H121" s="54"/>
      <c r="I121" s="54"/>
      <c r="J121" s="2"/>
      <c r="K121" s="2"/>
      <c r="L121" s="2"/>
      <c r="M121" s="2"/>
      <c r="N121" s="2"/>
      <c r="O121" s="2"/>
      <c r="P121" s="2"/>
      <c r="Q121" s="2"/>
      <c r="R121" s="2"/>
      <c r="S121" s="2"/>
      <c r="T121" s="2"/>
      <c r="U121" s="2"/>
      <c r="V121" s="2"/>
      <c r="W121" s="2"/>
      <c r="X121" s="2"/>
      <c r="Y121" s="259"/>
      <c r="Z121" s="2"/>
      <c r="AA121" s="264">
        <v>117</v>
      </c>
      <c r="AB121" s="16" t="str">
        <f t="shared" si="90"/>
        <v/>
      </c>
      <c r="AC121" s="16" t="str">
        <f t="shared" si="91"/>
        <v/>
      </c>
      <c r="AD121" s="16" t="str">
        <f t="shared" si="61"/>
        <v/>
      </c>
      <c r="AE121" s="16" t="str">
        <f t="shared" si="62"/>
        <v/>
      </c>
      <c r="AF121" s="16" t="str">
        <f t="shared" si="63"/>
        <v/>
      </c>
      <c r="AG121" s="16" t="str">
        <f t="shared" si="92"/>
        <v/>
      </c>
      <c r="AH121" s="16" t="str">
        <f t="shared" si="93"/>
        <v/>
      </c>
      <c r="AI121" s="29" t="str">
        <f t="shared" si="64"/>
        <v/>
      </c>
      <c r="AJ121" s="29" t="str">
        <f t="shared" si="65"/>
        <v/>
      </c>
      <c r="AK121" s="2"/>
      <c r="AL121" s="2"/>
      <c r="AM121" s="2"/>
      <c r="AN121" s="2"/>
      <c r="AO121" s="2"/>
      <c r="AP121" s="2"/>
      <c r="AQ121" s="2"/>
      <c r="AR121" s="2"/>
      <c r="AS121" s="2"/>
      <c r="AT121" s="2"/>
      <c r="AU121" s="2"/>
      <c r="AV121" s="2"/>
      <c r="AW121" s="2"/>
      <c r="AX121" s="2"/>
      <c r="AY121" s="2"/>
      <c r="AZ121" s="2"/>
      <c r="BA121" s="2"/>
      <c r="BB121" s="2"/>
      <c r="BC121" s="2"/>
      <c r="BG121" s="215" t="str">
        <f t="shared" si="66"/>
        <v/>
      </c>
      <c r="BH121" s="217" t="str">
        <f t="shared" si="67"/>
        <v/>
      </c>
      <c r="BI121" s="217" t="str">
        <f t="shared" si="68"/>
        <v/>
      </c>
      <c r="BJ121" s="215" t="str">
        <f t="shared" si="69"/>
        <v/>
      </c>
      <c r="BK121" s="217" t="str">
        <f t="shared" si="70"/>
        <v/>
      </c>
      <c r="BL121" s="217" t="str">
        <f t="shared" si="71"/>
        <v/>
      </c>
      <c r="BM121" s="215" t="str">
        <f t="shared" si="72"/>
        <v/>
      </c>
      <c r="BN121" s="217" t="str">
        <f t="shared" si="73"/>
        <v/>
      </c>
      <c r="BO121" s="217" t="str">
        <f t="shared" si="74"/>
        <v/>
      </c>
      <c r="BP121" s="215" t="str">
        <f t="shared" si="75"/>
        <v/>
      </c>
      <c r="BQ121" s="217" t="str">
        <f t="shared" si="76"/>
        <v/>
      </c>
      <c r="BR121" s="217" t="str">
        <f t="shared" si="77"/>
        <v/>
      </c>
      <c r="BS121" s="215" t="str">
        <f t="shared" si="78"/>
        <v/>
      </c>
      <c r="BT121" s="217" t="str">
        <f t="shared" si="79"/>
        <v/>
      </c>
      <c r="BU121" s="217" t="str">
        <f t="shared" si="80"/>
        <v/>
      </c>
      <c r="BV121" s="215" t="str">
        <f t="shared" si="81"/>
        <v/>
      </c>
      <c r="BW121" s="217" t="str">
        <f t="shared" si="82"/>
        <v/>
      </c>
      <c r="BX121" s="217" t="str">
        <f t="shared" si="83"/>
        <v/>
      </c>
      <c r="BY121" s="215" t="str">
        <f t="shared" si="84"/>
        <v/>
      </c>
      <c r="BZ121" s="217" t="str">
        <f t="shared" si="85"/>
        <v/>
      </c>
      <c r="CA121" s="217" t="str">
        <f t="shared" si="86"/>
        <v/>
      </c>
      <c r="CB121" s="215" t="str">
        <f t="shared" si="87"/>
        <v/>
      </c>
      <c r="CC121" s="217" t="str">
        <f t="shared" si="88"/>
        <v/>
      </c>
      <c r="CD121" s="217" t="str">
        <f t="shared" si="89"/>
        <v/>
      </c>
    </row>
    <row r="122" spans="1:82" x14ac:dyDescent="0.25">
      <c r="A122" s="48"/>
      <c r="B122" s="54"/>
      <c r="C122" s="54"/>
      <c r="D122" s="54"/>
      <c r="E122" s="54"/>
      <c r="F122" s="54"/>
      <c r="G122" s="54"/>
      <c r="H122" s="54"/>
      <c r="I122" s="54"/>
      <c r="J122" s="2"/>
      <c r="K122" s="2"/>
      <c r="L122" s="2"/>
      <c r="M122" s="2"/>
      <c r="N122" s="2"/>
      <c r="O122" s="2"/>
      <c r="P122" s="2"/>
      <c r="Q122" s="2"/>
      <c r="R122" s="2"/>
      <c r="S122" s="2"/>
      <c r="T122" s="2"/>
      <c r="U122" s="2"/>
      <c r="V122" s="2"/>
      <c r="W122" s="2"/>
      <c r="X122" s="2"/>
      <c r="Y122" s="259"/>
      <c r="Z122" s="2"/>
      <c r="AA122" s="264">
        <v>118</v>
      </c>
      <c r="AB122" s="16" t="str">
        <f t="shared" si="90"/>
        <v/>
      </c>
      <c r="AC122" s="16" t="str">
        <f t="shared" si="91"/>
        <v/>
      </c>
      <c r="AD122" s="16" t="str">
        <f t="shared" si="61"/>
        <v/>
      </c>
      <c r="AE122" s="16" t="str">
        <f t="shared" si="62"/>
        <v/>
      </c>
      <c r="AF122" s="16" t="str">
        <f t="shared" si="63"/>
        <v/>
      </c>
      <c r="AG122" s="16" t="str">
        <f t="shared" si="92"/>
        <v/>
      </c>
      <c r="AH122" s="16" t="str">
        <f t="shared" si="93"/>
        <v/>
      </c>
      <c r="AI122" s="29" t="str">
        <f t="shared" si="64"/>
        <v/>
      </c>
      <c r="AJ122" s="29" t="str">
        <f t="shared" si="65"/>
        <v/>
      </c>
      <c r="AK122" s="2"/>
      <c r="AL122" s="2"/>
      <c r="AM122" s="2"/>
      <c r="AN122" s="2"/>
      <c r="AO122" s="2"/>
      <c r="AP122" s="2"/>
      <c r="AQ122" s="2"/>
      <c r="AR122" s="2"/>
      <c r="AS122" s="2"/>
      <c r="AT122" s="2"/>
      <c r="AU122" s="2"/>
      <c r="AV122" s="2"/>
      <c r="AW122" s="2"/>
      <c r="AX122" s="2"/>
      <c r="AY122" s="2"/>
      <c r="AZ122" s="2"/>
      <c r="BA122" s="2"/>
      <c r="BB122" s="2"/>
      <c r="BC122" s="2"/>
      <c r="BG122" s="215" t="str">
        <f t="shared" si="66"/>
        <v/>
      </c>
      <c r="BH122" s="217" t="str">
        <f t="shared" si="67"/>
        <v/>
      </c>
      <c r="BI122" s="217" t="str">
        <f t="shared" si="68"/>
        <v/>
      </c>
      <c r="BJ122" s="215" t="str">
        <f t="shared" si="69"/>
        <v/>
      </c>
      <c r="BK122" s="217" t="str">
        <f t="shared" si="70"/>
        <v/>
      </c>
      <c r="BL122" s="217" t="str">
        <f t="shared" si="71"/>
        <v/>
      </c>
      <c r="BM122" s="215" t="str">
        <f t="shared" si="72"/>
        <v/>
      </c>
      <c r="BN122" s="217" t="str">
        <f t="shared" si="73"/>
        <v/>
      </c>
      <c r="BO122" s="217" t="str">
        <f t="shared" si="74"/>
        <v/>
      </c>
      <c r="BP122" s="215" t="str">
        <f t="shared" si="75"/>
        <v/>
      </c>
      <c r="BQ122" s="217" t="str">
        <f t="shared" si="76"/>
        <v/>
      </c>
      <c r="BR122" s="217" t="str">
        <f t="shared" si="77"/>
        <v/>
      </c>
      <c r="BS122" s="215" t="str">
        <f t="shared" si="78"/>
        <v/>
      </c>
      <c r="BT122" s="217" t="str">
        <f t="shared" si="79"/>
        <v/>
      </c>
      <c r="BU122" s="217" t="str">
        <f t="shared" si="80"/>
        <v/>
      </c>
      <c r="BV122" s="215" t="str">
        <f t="shared" si="81"/>
        <v/>
      </c>
      <c r="BW122" s="217" t="str">
        <f t="shared" si="82"/>
        <v/>
      </c>
      <c r="BX122" s="217" t="str">
        <f t="shared" si="83"/>
        <v/>
      </c>
      <c r="BY122" s="215" t="str">
        <f t="shared" si="84"/>
        <v/>
      </c>
      <c r="BZ122" s="217" t="str">
        <f t="shared" si="85"/>
        <v/>
      </c>
      <c r="CA122" s="217" t="str">
        <f t="shared" si="86"/>
        <v/>
      </c>
      <c r="CB122" s="215" t="str">
        <f t="shared" si="87"/>
        <v/>
      </c>
      <c r="CC122" s="217" t="str">
        <f t="shared" si="88"/>
        <v/>
      </c>
      <c r="CD122" s="217" t="str">
        <f t="shared" si="89"/>
        <v/>
      </c>
    </row>
    <row r="123" spans="1:82" x14ac:dyDescent="0.25">
      <c r="A123" s="48"/>
      <c r="B123" s="54"/>
      <c r="C123" s="54"/>
      <c r="D123" s="54"/>
      <c r="E123" s="54"/>
      <c r="F123" s="54"/>
      <c r="G123" s="54"/>
      <c r="H123" s="54"/>
      <c r="I123" s="54"/>
      <c r="J123" s="2"/>
      <c r="K123" s="2"/>
      <c r="L123" s="2"/>
      <c r="M123" s="2"/>
      <c r="N123" s="2"/>
      <c r="O123" s="2"/>
      <c r="P123" s="2"/>
      <c r="Q123" s="2"/>
      <c r="R123" s="2"/>
      <c r="S123" s="2"/>
      <c r="T123" s="2"/>
      <c r="U123" s="2"/>
      <c r="V123" s="2"/>
      <c r="W123" s="2"/>
      <c r="X123" s="2"/>
      <c r="Y123" s="259"/>
      <c r="Z123" s="2"/>
      <c r="AA123" s="264">
        <v>119</v>
      </c>
      <c r="AB123" s="16" t="str">
        <f t="shared" si="90"/>
        <v/>
      </c>
      <c r="AC123" s="16" t="str">
        <f t="shared" si="91"/>
        <v/>
      </c>
      <c r="AD123" s="16" t="str">
        <f t="shared" si="61"/>
        <v/>
      </c>
      <c r="AE123" s="16" t="str">
        <f t="shared" si="62"/>
        <v/>
      </c>
      <c r="AF123" s="16" t="str">
        <f t="shared" si="63"/>
        <v/>
      </c>
      <c r="AG123" s="16" t="str">
        <f t="shared" si="92"/>
        <v/>
      </c>
      <c r="AH123" s="16" t="str">
        <f t="shared" si="93"/>
        <v/>
      </c>
      <c r="AI123" s="29" t="str">
        <f t="shared" si="64"/>
        <v/>
      </c>
      <c r="AJ123" s="29" t="str">
        <f t="shared" si="65"/>
        <v/>
      </c>
      <c r="AK123" s="2"/>
      <c r="AL123" s="2"/>
      <c r="AM123" s="2"/>
      <c r="AN123" s="2"/>
      <c r="AO123" s="2"/>
      <c r="AP123" s="2"/>
      <c r="AQ123" s="2"/>
      <c r="AR123" s="2"/>
      <c r="AS123" s="2"/>
      <c r="AT123" s="2"/>
      <c r="AU123" s="2"/>
      <c r="AV123" s="2"/>
      <c r="AW123" s="2"/>
      <c r="AX123" s="2"/>
      <c r="AY123" s="2"/>
      <c r="AZ123" s="2"/>
      <c r="BA123" s="2"/>
      <c r="BB123" s="2"/>
      <c r="BC123" s="2"/>
      <c r="BG123" s="215" t="str">
        <f t="shared" si="66"/>
        <v/>
      </c>
      <c r="BH123" s="217" t="str">
        <f t="shared" si="67"/>
        <v/>
      </c>
      <c r="BI123" s="217" t="str">
        <f t="shared" si="68"/>
        <v/>
      </c>
      <c r="BJ123" s="215" t="str">
        <f t="shared" si="69"/>
        <v/>
      </c>
      <c r="BK123" s="217" t="str">
        <f t="shared" si="70"/>
        <v/>
      </c>
      <c r="BL123" s="217" t="str">
        <f t="shared" si="71"/>
        <v/>
      </c>
      <c r="BM123" s="215" t="str">
        <f t="shared" si="72"/>
        <v/>
      </c>
      <c r="BN123" s="217" t="str">
        <f t="shared" si="73"/>
        <v/>
      </c>
      <c r="BO123" s="217" t="str">
        <f t="shared" si="74"/>
        <v/>
      </c>
      <c r="BP123" s="215" t="str">
        <f t="shared" si="75"/>
        <v/>
      </c>
      <c r="BQ123" s="217" t="str">
        <f t="shared" si="76"/>
        <v/>
      </c>
      <c r="BR123" s="217" t="str">
        <f t="shared" si="77"/>
        <v/>
      </c>
      <c r="BS123" s="215" t="str">
        <f t="shared" si="78"/>
        <v/>
      </c>
      <c r="BT123" s="217" t="str">
        <f t="shared" si="79"/>
        <v/>
      </c>
      <c r="BU123" s="217" t="str">
        <f t="shared" si="80"/>
        <v/>
      </c>
      <c r="BV123" s="215" t="str">
        <f t="shared" si="81"/>
        <v/>
      </c>
      <c r="BW123" s="217" t="str">
        <f t="shared" si="82"/>
        <v/>
      </c>
      <c r="BX123" s="217" t="str">
        <f t="shared" si="83"/>
        <v/>
      </c>
      <c r="BY123" s="215" t="str">
        <f t="shared" si="84"/>
        <v/>
      </c>
      <c r="BZ123" s="217" t="str">
        <f t="shared" si="85"/>
        <v/>
      </c>
      <c r="CA123" s="217" t="str">
        <f t="shared" si="86"/>
        <v/>
      </c>
      <c r="CB123" s="215" t="str">
        <f t="shared" si="87"/>
        <v/>
      </c>
      <c r="CC123" s="217" t="str">
        <f t="shared" si="88"/>
        <v/>
      </c>
      <c r="CD123" s="217" t="str">
        <f t="shared" si="89"/>
        <v/>
      </c>
    </row>
    <row r="124" spans="1:82" x14ac:dyDescent="0.25">
      <c r="A124" s="48"/>
      <c r="B124" s="54"/>
      <c r="C124" s="54"/>
      <c r="D124" s="54"/>
      <c r="E124" s="54"/>
      <c r="F124" s="54"/>
      <c r="G124" s="54"/>
      <c r="H124" s="54"/>
      <c r="I124" s="54"/>
      <c r="J124" s="2"/>
      <c r="K124" s="2"/>
      <c r="L124" s="2"/>
      <c r="M124" s="2"/>
      <c r="N124" s="2"/>
      <c r="O124" s="2"/>
      <c r="P124" s="2"/>
      <c r="Q124" s="2"/>
      <c r="R124" s="2"/>
      <c r="S124" s="2"/>
      <c r="T124" s="2"/>
      <c r="U124" s="2"/>
      <c r="V124" s="2"/>
      <c r="W124" s="2"/>
      <c r="X124" s="2"/>
      <c r="Y124" s="259"/>
      <c r="Z124" s="2"/>
      <c r="AA124" s="264">
        <v>120</v>
      </c>
      <c r="AB124" s="16" t="str">
        <f t="shared" si="90"/>
        <v/>
      </c>
      <c r="AC124" s="16" t="str">
        <f t="shared" si="91"/>
        <v/>
      </c>
      <c r="AD124" s="16" t="str">
        <f t="shared" si="61"/>
        <v/>
      </c>
      <c r="AE124" s="16" t="str">
        <f t="shared" si="62"/>
        <v/>
      </c>
      <c r="AF124" s="16" t="str">
        <f t="shared" si="63"/>
        <v/>
      </c>
      <c r="AG124" s="16" t="str">
        <f t="shared" si="92"/>
        <v/>
      </c>
      <c r="AH124" s="16" t="str">
        <f t="shared" si="93"/>
        <v/>
      </c>
      <c r="AI124" s="29" t="str">
        <f t="shared" si="64"/>
        <v/>
      </c>
      <c r="AJ124" s="29" t="str">
        <f t="shared" si="65"/>
        <v/>
      </c>
      <c r="AK124" s="2"/>
      <c r="AL124" s="2"/>
      <c r="AM124" s="2"/>
      <c r="AN124" s="2"/>
      <c r="AO124" s="2"/>
      <c r="AP124" s="2"/>
      <c r="AQ124" s="2"/>
      <c r="AR124" s="2"/>
      <c r="AS124" s="2"/>
      <c r="AT124" s="2"/>
      <c r="AU124" s="2"/>
      <c r="AV124" s="2"/>
      <c r="AW124" s="2"/>
      <c r="AX124" s="2"/>
      <c r="AY124" s="2"/>
      <c r="AZ124" s="2"/>
      <c r="BA124" s="2"/>
      <c r="BB124" s="2"/>
      <c r="BC124" s="2"/>
      <c r="BG124" s="215" t="str">
        <f t="shared" ref="BG124:BG141" si="94">IF($BI$84&gt;=$AA37,$AA37,"")</f>
        <v/>
      </c>
      <c r="BH124" s="217" t="str">
        <f t="shared" ref="BH124:BH141" si="95">IF($BG124&lt;&gt;"",$BI$86+($BI$85)*COS( PI()/180*($BI$88+($BG124-1)*360/$BI$84))/2,"")</f>
        <v/>
      </c>
      <c r="BI124" s="217" t="str">
        <f t="shared" ref="BI124:BI141" si="96">IF($BG124&lt;&gt;"",$BI$87+($BI$85)*SIN( PI()/180*($BI$88+($BG124-1)*360/$BI$84))/2,"")</f>
        <v/>
      </c>
      <c r="BJ124" s="215" t="str">
        <f t="shared" ref="BJ124:BJ141" si="97">IF($BI$84&gt;=$AA87,$AA87,"")</f>
        <v/>
      </c>
      <c r="BK124" s="217" t="str">
        <f t="shared" ref="BK124:BK141" si="98">IF($BJ124&lt;&gt;"",$BI$86+($BI$85)*COS( PI()/180*($BI$88+($BJ124-1)*360/$BI$84))/2,"")</f>
        <v/>
      </c>
      <c r="BL124" s="217" t="str">
        <f t="shared" ref="BL124:BL141" si="99">IF($BJ124&lt;&gt;"",$BI$87+($BI$85)*SIN( PI()/180*($BI$88+($BJ124-1)*360/$BI$84))/2,"")</f>
        <v/>
      </c>
      <c r="BM124" s="215" t="str">
        <f t="shared" ref="BM124:BM141" si="100">IF($BI$84&gt;=$AA137,$AA137,"")</f>
        <v/>
      </c>
      <c r="BN124" s="217" t="str">
        <f t="shared" ref="BN124:BN141" si="101">IF($BM124&lt;&gt;"",$BI$86+($BI$85)*COS( PI()/180*($BI$88+($BM124-1)*360/$BI$84))/2,"")</f>
        <v/>
      </c>
      <c r="BO124" s="217" t="str">
        <f t="shared" ref="BO124:BO141" si="102">IF($BM124&lt;&gt;"",$BI$87+($BI$85)*SIN( PI()/180*($BI$88+($BM124-1)*360/$BI$84))/2,"")</f>
        <v/>
      </c>
      <c r="BP124" s="215" t="str">
        <f t="shared" ref="BP124:BP141" si="103">IF($BI$84&gt;=$AA187,$AA187,"")</f>
        <v/>
      </c>
      <c r="BQ124" s="217" t="str">
        <f t="shared" ref="BQ124:BQ141" si="104">IF($BP124&lt;&gt;"",$BI$86+($BI$85)*COS( PI()/180*($BI$88+($BP124-1)*360/$BI$84))/2,"")</f>
        <v/>
      </c>
      <c r="BR124" s="217" t="str">
        <f t="shared" ref="BR124:BR141" si="105">IF($BP124&lt;&gt;"",$BI$87+($BI$85)*SIN( PI()/180*($BI$88+($BP124-1)*360/$BI$84))/2,"")</f>
        <v/>
      </c>
      <c r="BS124" s="215" t="str">
        <f t="shared" ref="BS124:BS141" si="106">IF($BI$84&gt;=$AA237,$AA237,"")</f>
        <v/>
      </c>
      <c r="BT124" s="217" t="str">
        <f t="shared" ref="BT124:BT141" si="107">IF($BS124&lt;&gt;"",$BI$86+($BI$85)*COS( PI()/180*($BI$88+($BS124-1)*360/$BI$84))/2,"")</f>
        <v/>
      </c>
      <c r="BU124" s="217" t="str">
        <f t="shared" ref="BU124:BU141" si="108">IF($BS124&lt;&gt;"",$BI$87+($BI$85)*SIN( PI()/180*($BI$88+($BS124-1)*360/$BI$84))/2,"")</f>
        <v/>
      </c>
      <c r="BV124" s="215" t="str">
        <f t="shared" ref="BV124:BV141" si="109">IF($BI$84&gt;=$AA287,$AA287,"")</f>
        <v/>
      </c>
      <c r="BW124" s="217" t="str">
        <f t="shared" ref="BW124:BW141" si="110">IF($BV124&lt;&gt;"",$BI$86+($BI$85)*COS( PI()/180*($BI$88+($BV124-1)*360/$BI$84))/2,"")</f>
        <v/>
      </c>
      <c r="BX124" s="217" t="str">
        <f t="shared" ref="BX124:BX141" si="111">IF($BV124&lt;&gt;"",$BI$87+($BI$85)*SIN( PI()/180*($BI$88+($BV124-1)*360/$BI$84))/2,"")</f>
        <v/>
      </c>
      <c r="BY124" s="215" t="str">
        <f t="shared" ref="BY124:BY141" si="112">IF($BI$84&gt;=$AA337,$AA337,"")</f>
        <v/>
      </c>
      <c r="BZ124" s="217" t="str">
        <f t="shared" ref="BZ124:BZ141" si="113">IF($BY124&lt;&gt;"",$BI$86+($BI$85)*COS( PI()/180*($BI$88+($BY124-1)*360/$BI$84))/2,"")</f>
        <v/>
      </c>
      <c r="CA124" s="217" t="str">
        <f t="shared" ref="CA124:CA141" si="114">IF($BY124&lt;&gt;"",$BI$87+($BI$85)*SIN( PI()/180*($BI$88+($BY124-1)*360/$BI$84))/2,"")</f>
        <v/>
      </c>
      <c r="CB124" s="215" t="str">
        <f t="shared" ref="CB124:CB141" si="115">IF($BI$84&gt;=$AA387,$AA387,"")</f>
        <v/>
      </c>
      <c r="CC124" s="217" t="str">
        <f t="shared" ref="CC124:CC141" si="116">IF($CB124&lt;&gt;"",$BI$86+($BI$85)*COS( PI()/180*($BI$88+($CB124-1)*360/$BI$84))/2,"")</f>
        <v/>
      </c>
      <c r="CD124" s="217" t="str">
        <f t="shared" ref="CD124:CD141" si="117">IF($CB124&lt;&gt;"",$BI$87+($BI$85)*SIN( PI()/180*($BI$88+($CB124-1)*360/$BI$84))/2,"")</f>
        <v/>
      </c>
    </row>
    <row r="125" spans="1:82" x14ac:dyDescent="0.25">
      <c r="A125" s="48"/>
      <c r="B125" s="54"/>
      <c r="C125" s="54"/>
      <c r="D125" s="54"/>
      <c r="E125" s="54"/>
      <c r="F125" s="54"/>
      <c r="G125" s="54"/>
      <c r="H125" s="54"/>
      <c r="I125" s="54"/>
      <c r="J125" s="2"/>
      <c r="K125" s="2"/>
      <c r="L125" s="2"/>
      <c r="M125" s="2"/>
      <c r="N125" s="2"/>
      <c r="O125" s="2"/>
      <c r="P125" s="2"/>
      <c r="Q125" s="2"/>
      <c r="R125" s="2"/>
      <c r="S125" s="2"/>
      <c r="T125" s="2"/>
      <c r="U125" s="2"/>
      <c r="V125" s="2"/>
      <c r="W125" s="2"/>
      <c r="X125" s="2"/>
      <c r="Y125" s="259"/>
      <c r="Z125" s="2"/>
      <c r="AA125" s="264">
        <v>121</v>
      </c>
      <c r="AB125" s="16" t="str">
        <f t="shared" si="90"/>
        <v/>
      </c>
      <c r="AC125" s="16" t="str">
        <f t="shared" si="91"/>
        <v/>
      </c>
      <c r="AD125" s="16" t="str">
        <f t="shared" si="61"/>
        <v/>
      </c>
      <c r="AE125" s="16" t="str">
        <f t="shared" si="62"/>
        <v/>
      </c>
      <c r="AF125" s="16" t="str">
        <f t="shared" si="63"/>
        <v/>
      </c>
      <c r="AG125" s="16" t="str">
        <f t="shared" si="92"/>
        <v/>
      </c>
      <c r="AH125" s="16" t="str">
        <f t="shared" si="93"/>
        <v/>
      </c>
      <c r="AI125" s="29" t="str">
        <f t="shared" si="64"/>
        <v/>
      </c>
      <c r="AJ125" s="29" t="str">
        <f t="shared" si="65"/>
        <v/>
      </c>
      <c r="AK125" s="2"/>
      <c r="AL125" s="2"/>
      <c r="AM125" s="2"/>
      <c r="AN125" s="2"/>
      <c r="AO125" s="2"/>
      <c r="AP125" s="2"/>
      <c r="AQ125" s="2"/>
      <c r="AR125" s="2"/>
      <c r="AS125" s="2"/>
      <c r="AT125" s="2"/>
      <c r="AU125" s="2"/>
      <c r="AV125" s="2"/>
      <c r="AW125" s="2"/>
      <c r="AX125" s="2"/>
      <c r="AY125" s="2"/>
      <c r="AZ125" s="2"/>
      <c r="BA125" s="2"/>
      <c r="BB125" s="2"/>
      <c r="BC125" s="2"/>
      <c r="BG125" s="215" t="str">
        <f t="shared" si="94"/>
        <v/>
      </c>
      <c r="BH125" s="217" t="str">
        <f t="shared" si="95"/>
        <v/>
      </c>
      <c r="BI125" s="217" t="str">
        <f t="shared" si="96"/>
        <v/>
      </c>
      <c r="BJ125" s="215" t="str">
        <f t="shared" si="97"/>
        <v/>
      </c>
      <c r="BK125" s="217" t="str">
        <f t="shared" si="98"/>
        <v/>
      </c>
      <c r="BL125" s="217" t="str">
        <f t="shared" si="99"/>
        <v/>
      </c>
      <c r="BM125" s="215" t="str">
        <f t="shared" si="100"/>
        <v/>
      </c>
      <c r="BN125" s="217" t="str">
        <f t="shared" si="101"/>
        <v/>
      </c>
      <c r="BO125" s="217" t="str">
        <f t="shared" si="102"/>
        <v/>
      </c>
      <c r="BP125" s="215" t="str">
        <f t="shared" si="103"/>
        <v/>
      </c>
      <c r="BQ125" s="217" t="str">
        <f t="shared" si="104"/>
        <v/>
      </c>
      <c r="BR125" s="217" t="str">
        <f t="shared" si="105"/>
        <v/>
      </c>
      <c r="BS125" s="215" t="str">
        <f t="shared" si="106"/>
        <v/>
      </c>
      <c r="BT125" s="217" t="str">
        <f t="shared" si="107"/>
        <v/>
      </c>
      <c r="BU125" s="217" t="str">
        <f t="shared" si="108"/>
        <v/>
      </c>
      <c r="BV125" s="215" t="str">
        <f t="shared" si="109"/>
        <v/>
      </c>
      <c r="BW125" s="217" t="str">
        <f t="shared" si="110"/>
        <v/>
      </c>
      <c r="BX125" s="217" t="str">
        <f t="shared" si="111"/>
        <v/>
      </c>
      <c r="BY125" s="215" t="str">
        <f t="shared" si="112"/>
        <v/>
      </c>
      <c r="BZ125" s="217" t="str">
        <f t="shared" si="113"/>
        <v/>
      </c>
      <c r="CA125" s="217" t="str">
        <f t="shared" si="114"/>
        <v/>
      </c>
      <c r="CB125" s="215" t="str">
        <f t="shared" si="115"/>
        <v/>
      </c>
      <c r="CC125" s="217" t="str">
        <f t="shared" si="116"/>
        <v/>
      </c>
      <c r="CD125" s="217" t="str">
        <f t="shared" si="117"/>
        <v/>
      </c>
    </row>
    <row r="126" spans="1:82" x14ac:dyDescent="0.25">
      <c r="A126" s="48"/>
      <c r="B126" s="54"/>
      <c r="C126" s="54"/>
      <c r="D126" s="54"/>
      <c r="E126" s="54"/>
      <c r="F126" s="54"/>
      <c r="G126" s="54"/>
      <c r="H126" s="54"/>
      <c r="I126" s="54"/>
      <c r="J126" s="2"/>
      <c r="K126" s="2"/>
      <c r="L126" s="2"/>
      <c r="M126" s="2"/>
      <c r="N126" s="2"/>
      <c r="O126" s="2"/>
      <c r="P126" s="2"/>
      <c r="Q126" s="2"/>
      <c r="R126" s="2"/>
      <c r="S126" s="2"/>
      <c r="T126" s="2"/>
      <c r="U126" s="2"/>
      <c r="V126" s="2"/>
      <c r="W126" s="2"/>
      <c r="X126" s="2"/>
      <c r="Y126" s="259"/>
      <c r="Z126" s="2"/>
      <c r="AA126" s="264">
        <v>122</v>
      </c>
      <c r="AB126" s="16" t="str">
        <f t="shared" si="90"/>
        <v/>
      </c>
      <c r="AC126" s="16" t="str">
        <f t="shared" si="91"/>
        <v/>
      </c>
      <c r="AD126" s="16" t="str">
        <f t="shared" si="61"/>
        <v/>
      </c>
      <c r="AE126" s="16" t="str">
        <f t="shared" si="62"/>
        <v/>
      </c>
      <c r="AF126" s="16" t="str">
        <f t="shared" si="63"/>
        <v/>
      </c>
      <c r="AG126" s="16" t="str">
        <f t="shared" si="92"/>
        <v/>
      </c>
      <c r="AH126" s="16" t="str">
        <f t="shared" si="93"/>
        <v/>
      </c>
      <c r="AI126" s="29" t="str">
        <f t="shared" si="64"/>
        <v/>
      </c>
      <c r="AJ126" s="29" t="str">
        <f t="shared" si="65"/>
        <v/>
      </c>
      <c r="AK126" s="2"/>
      <c r="AL126" s="2"/>
      <c r="AM126" s="2"/>
      <c r="AN126" s="2"/>
      <c r="AO126" s="2"/>
      <c r="AP126" s="2"/>
      <c r="AQ126" s="2"/>
      <c r="AR126" s="2"/>
      <c r="AS126" s="2"/>
      <c r="AT126" s="2"/>
      <c r="AU126" s="2"/>
      <c r="AV126" s="2"/>
      <c r="AW126" s="2"/>
      <c r="AX126" s="2"/>
      <c r="AY126" s="2"/>
      <c r="AZ126" s="2"/>
      <c r="BA126" s="2"/>
      <c r="BB126" s="2"/>
      <c r="BC126" s="2"/>
      <c r="BG126" s="215" t="str">
        <f t="shared" si="94"/>
        <v/>
      </c>
      <c r="BH126" s="217" t="str">
        <f t="shared" si="95"/>
        <v/>
      </c>
      <c r="BI126" s="217" t="str">
        <f t="shared" si="96"/>
        <v/>
      </c>
      <c r="BJ126" s="215" t="str">
        <f t="shared" si="97"/>
        <v/>
      </c>
      <c r="BK126" s="217" t="str">
        <f t="shared" si="98"/>
        <v/>
      </c>
      <c r="BL126" s="217" t="str">
        <f t="shared" si="99"/>
        <v/>
      </c>
      <c r="BM126" s="215" t="str">
        <f t="shared" si="100"/>
        <v/>
      </c>
      <c r="BN126" s="217" t="str">
        <f t="shared" si="101"/>
        <v/>
      </c>
      <c r="BO126" s="217" t="str">
        <f t="shared" si="102"/>
        <v/>
      </c>
      <c r="BP126" s="215" t="str">
        <f t="shared" si="103"/>
        <v/>
      </c>
      <c r="BQ126" s="217" t="str">
        <f t="shared" si="104"/>
        <v/>
      </c>
      <c r="BR126" s="217" t="str">
        <f t="shared" si="105"/>
        <v/>
      </c>
      <c r="BS126" s="215" t="str">
        <f t="shared" si="106"/>
        <v/>
      </c>
      <c r="BT126" s="217" t="str">
        <f t="shared" si="107"/>
        <v/>
      </c>
      <c r="BU126" s="217" t="str">
        <f t="shared" si="108"/>
        <v/>
      </c>
      <c r="BV126" s="215" t="str">
        <f t="shared" si="109"/>
        <v/>
      </c>
      <c r="BW126" s="217" t="str">
        <f t="shared" si="110"/>
        <v/>
      </c>
      <c r="BX126" s="217" t="str">
        <f t="shared" si="111"/>
        <v/>
      </c>
      <c r="BY126" s="215" t="str">
        <f t="shared" si="112"/>
        <v/>
      </c>
      <c r="BZ126" s="217" t="str">
        <f t="shared" si="113"/>
        <v/>
      </c>
      <c r="CA126" s="217" t="str">
        <f t="shared" si="114"/>
        <v/>
      </c>
      <c r="CB126" s="215" t="str">
        <f t="shared" si="115"/>
        <v/>
      </c>
      <c r="CC126" s="217" t="str">
        <f t="shared" si="116"/>
        <v/>
      </c>
      <c r="CD126" s="217" t="str">
        <f t="shared" si="117"/>
        <v/>
      </c>
    </row>
    <row r="127" spans="1:82" x14ac:dyDescent="0.25">
      <c r="A127" s="48"/>
      <c r="B127" s="54"/>
      <c r="C127" s="54"/>
      <c r="D127" s="54"/>
      <c r="E127" s="54"/>
      <c r="F127" s="54"/>
      <c r="G127" s="54"/>
      <c r="H127" s="54"/>
      <c r="I127" s="54"/>
      <c r="J127" s="2"/>
      <c r="K127" s="2"/>
      <c r="L127" s="2"/>
      <c r="M127" s="2"/>
      <c r="N127" s="2"/>
      <c r="O127" s="2"/>
      <c r="P127" s="2"/>
      <c r="Q127" s="2"/>
      <c r="R127" s="2"/>
      <c r="S127" s="2"/>
      <c r="T127" s="2"/>
      <c r="U127" s="2"/>
      <c r="V127" s="2"/>
      <c r="W127" s="2"/>
      <c r="X127" s="2"/>
      <c r="Y127" s="259"/>
      <c r="Z127" s="2"/>
      <c r="AA127" s="264">
        <v>123</v>
      </c>
      <c r="AB127" s="16" t="str">
        <f t="shared" si="90"/>
        <v/>
      </c>
      <c r="AC127" s="16" t="str">
        <f t="shared" si="91"/>
        <v/>
      </c>
      <c r="AD127" s="16" t="str">
        <f t="shared" si="61"/>
        <v/>
      </c>
      <c r="AE127" s="16" t="str">
        <f t="shared" si="62"/>
        <v/>
      </c>
      <c r="AF127" s="16" t="str">
        <f t="shared" si="63"/>
        <v/>
      </c>
      <c r="AG127" s="16" t="str">
        <f t="shared" si="92"/>
        <v/>
      </c>
      <c r="AH127" s="16" t="str">
        <f t="shared" si="93"/>
        <v/>
      </c>
      <c r="AI127" s="29" t="str">
        <f t="shared" si="64"/>
        <v/>
      </c>
      <c r="AJ127" s="29" t="str">
        <f t="shared" si="65"/>
        <v/>
      </c>
      <c r="AK127" s="2"/>
      <c r="AL127" s="2"/>
      <c r="AM127" s="2"/>
      <c r="AN127" s="2"/>
      <c r="AO127" s="2"/>
      <c r="AP127" s="2"/>
      <c r="AQ127" s="2"/>
      <c r="AR127" s="2"/>
      <c r="AS127" s="2"/>
      <c r="AT127" s="2"/>
      <c r="AU127" s="2"/>
      <c r="AV127" s="2"/>
      <c r="AW127" s="2"/>
      <c r="AX127" s="2"/>
      <c r="AY127" s="2"/>
      <c r="AZ127" s="2"/>
      <c r="BA127" s="2"/>
      <c r="BB127" s="2"/>
      <c r="BC127" s="2"/>
      <c r="BG127" s="215" t="str">
        <f t="shared" si="94"/>
        <v/>
      </c>
      <c r="BH127" s="217" t="str">
        <f t="shared" si="95"/>
        <v/>
      </c>
      <c r="BI127" s="217" t="str">
        <f t="shared" si="96"/>
        <v/>
      </c>
      <c r="BJ127" s="215" t="str">
        <f t="shared" si="97"/>
        <v/>
      </c>
      <c r="BK127" s="217" t="str">
        <f t="shared" si="98"/>
        <v/>
      </c>
      <c r="BL127" s="217" t="str">
        <f t="shared" si="99"/>
        <v/>
      </c>
      <c r="BM127" s="215" t="str">
        <f t="shared" si="100"/>
        <v/>
      </c>
      <c r="BN127" s="217" t="str">
        <f t="shared" si="101"/>
        <v/>
      </c>
      <c r="BO127" s="217" t="str">
        <f t="shared" si="102"/>
        <v/>
      </c>
      <c r="BP127" s="215" t="str">
        <f t="shared" si="103"/>
        <v/>
      </c>
      <c r="BQ127" s="217" t="str">
        <f t="shared" si="104"/>
        <v/>
      </c>
      <c r="BR127" s="217" t="str">
        <f t="shared" si="105"/>
        <v/>
      </c>
      <c r="BS127" s="215" t="str">
        <f t="shared" si="106"/>
        <v/>
      </c>
      <c r="BT127" s="217" t="str">
        <f t="shared" si="107"/>
        <v/>
      </c>
      <c r="BU127" s="217" t="str">
        <f t="shared" si="108"/>
        <v/>
      </c>
      <c r="BV127" s="215" t="str">
        <f t="shared" si="109"/>
        <v/>
      </c>
      <c r="BW127" s="217" t="str">
        <f t="shared" si="110"/>
        <v/>
      </c>
      <c r="BX127" s="217" t="str">
        <f t="shared" si="111"/>
        <v/>
      </c>
      <c r="BY127" s="215" t="str">
        <f t="shared" si="112"/>
        <v/>
      </c>
      <c r="BZ127" s="217" t="str">
        <f t="shared" si="113"/>
        <v/>
      </c>
      <c r="CA127" s="217" t="str">
        <f t="shared" si="114"/>
        <v/>
      </c>
      <c r="CB127" s="215" t="str">
        <f t="shared" si="115"/>
        <v/>
      </c>
      <c r="CC127" s="217" t="str">
        <f t="shared" si="116"/>
        <v/>
      </c>
      <c r="CD127" s="217" t="str">
        <f t="shared" si="117"/>
        <v/>
      </c>
    </row>
    <row r="128" spans="1:82" x14ac:dyDescent="0.25">
      <c r="A128" s="48"/>
      <c r="B128" s="54"/>
      <c r="C128" s="54"/>
      <c r="D128" s="54"/>
      <c r="E128" s="54"/>
      <c r="F128" s="54"/>
      <c r="G128" s="54"/>
      <c r="H128" s="54"/>
      <c r="I128" s="54"/>
      <c r="J128" s="2"/>
      <c r="K128" s="2"/>
      <c r="L128" s="2"/>
      <c r="M128" s="2"/>
      <c r="N128" s="2"/>
      <c r="O128" s="2"/>
      <c r="P128" s="2"/>
      <c r="Q128" s="2"/>
      <c r="R128" s="2"/>
      <c r="S128" s="2"/>
      <c r="T128" s="2"/>
      <c r="U128" s="2"/>
      <c r="V128" s="2"/>
      <c r="W128" s="2"/>
      <c r="X128" s="2"/>
      <c r="Y128" s="259"/>
      <c r="Z128" s="2"/>
      <c r="AA128" s="264">
        <v>124</v>
      </c>
      <c r="AB128" s="16" t="str">
        <f t="shared" si="90"/>
        <v/>
      </c>
      <c r="AC128" s="16" t="str">
        <f t="shared" si="91"/>
        <v/>
      </c>
      <c r="AD128" s="16" t="str">
        <f t="shared" si="61"/>
        <v/>
      </c>
      <c r="AE128" s="16" t="str">
        <f t="shared" si="62"/>
        <v/>
      </c>
      <c r="AF128" s="16" t="str">
        <f t="shared" si="63"/>
        <v/>
      </c>
      <c r="AG128" s="16" t="str">
        <f t="shared" si="92"/>
        <v/>
      </c>
      <c r="AH128" s="16" t="str">
        <f t="shared" si="93"/>
        <v/>
      </c>
      <c r="AI128" s="29" t="str">
        <f t="shared" si="64"/>
        <v/>
      </c>
      <c r="AJ128" s="29" t="str">
        <f t="shared" si="65"/>
        <v/>
      </c>
      <c r="AK128" s="2"/>
      <c r="AL128" s="2"/>
      <c r="AM128" s="2"/>
      <c r="AN128" s="2"/>
      <c r="AO128" s="2"/>
      <c r="AP128" s="2"/>
      <c r="AQ128" s="2"/>
      <c r="AR128" s="2"/>
      <c r="AS128" s="2"/>
      <c r="AT128" s="2"/>
      <c r="AU128" s="2"/>
      <c r="AV128" s="2"/>
      <c r="AW128" s="2"/>
      <c r="AX128" s="2"/>
      <c r="AY128" s="2"/>
      <c r="AZ128" s="2"/>
      <c r="BA128" s="2"/>
      <c r="BB128" s="2"/>
      <c r="BC128" s="2"/>
      <c r="BG128" s="215" t="str">
        <f t="shared" si="94"/>
        <v/>
      </c>
      <c r="BH128" s="217" t="str">
        <f t="shared" si="95"/>
        <v/>
      </c>
      <c r="BI128" s="217" t="str">
        <f t="shared" si="96"/>
        <v/>
      </c>
      <c r="BJ128" s="215" t="str">
        <f t="shared" si="97"/>
        <v/>
      </c>
      <c r="BK128" s="217" t="str">
        <f t="shared" si="98"/>
        <v/>
      </c>
      <c r="BL128" s="217" t="str">
        <f t="shared" si="99"/>
        <v/>
      </c>
      <c r="BM128" s="215" t="str">
        <f t="shared" si="100"/>
        <v/>
      </c>
      <c r="BN128" s="217" t="str">
        <f t="shared" si="101"/>
        <v/>
      </c>
      <c r="BO128" s="217" t="str">
        <f t="shared" si="102"/>
        <v/>
      </c>
      <c r="BP128" s="215" t="str">
        <f t="shared" si="103"/>
        <v/>
      </c>
      <c r="BQ128" s="217" t="str">
        <f t="shared" si="104"/>
        <v/>
      </c>
      <c r="BR128" s="217" t="str">
        <f t="shared" si="105"/>
        <v/>
      </c>
      <c r="BS128" s="215" t="str">
        <f t="shared" si="106"/>
        <v/>
      </c>
      <c r="BT128" s="217" t="str">
        <f t="shared" si="107"/>
        <v/>
      </c>
      <c r="BU128" s="217" t="str">
        <f t="shared" si="108"/>
        <v/>
      </c>
      <c r="BV128" s="215" t="str">
        <f t="shared" si="109"/>
        <v/>
      </c>
      <c r="BW128" s="217" t="str">
        <f t="shared" si="110"/>
        <v/>
      </c>
      <c r="BX128" s="217" t="str">
        <f t="shared" si="111"/>
        <v/>
      </c>
      <c r="BY128" s="215" t="str">
        <f t="shared" si="112"/>
        <v/>
      </c>
      <c r="BZ128" s="217" t="str">
        <f t="shared" si="113"/>
        <v/>
      </c>
      <c r="CA128" s="217" t="str">
        <f t="shared" si="114"/>
        <v/>
      </c>
      <c r="CB128" s="215" t="str">
        <f t="shared" si="115"/>
        <v/>
      </c>
      <c r="CC128" s="217" t="str">
        <f t="shared" si="116"/>
        <v/>
      </c>
      <c r="CD128" s="217" t="str">
        <f t="shared" si="117"/>
        <v/>
      </c>
    </row>
    <row r="129" spans="1:82" x14ac:dyDescent="0.25">
      <c r="A129" s="48"/>
      <c r="B129" s="54"/>
      <c r="C129" s="54"/>
      <c r="D129" s="54"/>
      <c r="E129" s="54"/>
      <c r="F129" s="54"/>
      <c r="G129" s="54"/>
      <c r="H129" s="54"/>
      <c r="I129" s="54"/>
      <c r="J129" s="2"/>
      <c r="K129" s="2"/>
      <c r="L129" s="2"/>
      <c r="M129" s="2"/>
      <c r="N129" s="2"/>
      <c r="O129" s="2"/>
      <c r="P129" s="2"/>
      <c r="Q129" s="2"/>
      <c r="R129" s="2"/>
      <c r="S129" s="2"/>
      <c r="T129" s="2"/>
      <c r="U129" s="2"/>
      <c r="V129" s="2"/>
      <c r="W129" s="2"/>
      <c r="X129" s="2"/>
      <c r="Y129" s="259"/>
      <c r="Z129" s="2"/>
      <c r="AA129" s="264">
        <v>125</v>
      </c>
      <c r="AB129" s="16" t="str">
        <f t="shared" si="90"/>
        <v/>
      </c>
      <c r="AC129" s="16" t="str">
        <f t="shared" si="91"/>
        <v/>
      </c>
      <c r="AD129" s="16" t="str">
        <f t="shared" si="61"/>
        <v/>
      </c>
      <c r="AE129" s="16" t="str">
        <f t="shared" si="62"/>
        <v/>
      </c>
      <c r="AF129" s="16" t="str">
        <f t="shared" si="63"/>
        <v/>
      </c>
      <c r="AG129" s="16" t="str">
        <f t="shared" si="92"/>
        <v/>
      </c>
      <c r="AH129" s="16" t="str">
        <f t="shared" si="93"/>
        <v/>
      </c>
      <c r="AI129" s="29" t="str">
        <f t="shared" si="64"/>
        <v/>
      </c>
      <c r="AJ129" s="29" t="str">
        <f t="shared" si="65"/>
        <v/>
      </c>
      <c r="AK129" s="2"/>
      <c r="AL129" s="2"/>
      <c r="AM129" s="2"/>
      <c r="AN129" s="2"/>
      <c r="AO129" s="2"/>
      <c r="AP129" s="2"/>
      <c r="AQ129" s="2"/>
      <c r="AR129" s="2"/>
      <c r="AS129" s="2"/>
      <c r="AT129" s="2"/>
      <c r="AU129" s="2"/>
      <c r="AV129" s="2"/>
      <c r="AW129" s="2"/>
      <c r="AX129" s="2"/>
      <c r="AY129" s="2"/>
      <c r="AZ129" s="2"/>
      <c r="BA129" s="2"/>
      <c r="BB129" s="2"/>
      <c r="BC129" s="2"/>
      <c r="BG129" s="215" t="str">
        <f t="shared" si="94"/>
        <v/>
      </c>
      <c r="BH129" s="217" t="str">
        <f t="shared" si="95"/>
        <v/>
      </c>
      <c r="BI129" s="217" t="str">
        <f t="shared" si="96"/>
        <v/>
      </c>
      <c r="BJ129" s="215" t="str">
        <f t="shared" si="97"/>
        <v/>
      </c>
      <c r="BK129" s="217" t="str">
        <f t="shared" si="98"/>
        <v/>
      </c>
      <c r="BL129" s="217" t="str">
        <f t="shared" si="99"/>
        <v/>
      </c>
      <c r="BM129" s="215" t="str">
        <f t="shared" si="100"/>
        <v/>
      </c>
      <c r="BN129" s="217" t="str">
        <f t="shared" si="101"/>
        <v/>
      </c>
      <c r="BO129" s="217" t="str">
        <f t="shared" si="102"/>
        <v/>
      </c>
      <c r="BP129" s="215" t="str">
        <f t="shared" si="103"/>
        <v/>
      </c>
      <c r="BQ129" s="217" t="str">
        <f t="shared" si="104"/>
        <v/>
      </c>
      <c r="BR129" s="217" t="str">
        <f t="shared" si="105"/>
        <v/>
      </c>
      <c r="BS129" s="215" t="str">
        <f t="shared" si="106"/>
        <v/>
      </c>
      <c r="BT129" s="217" t="str">
        <f t="shared" si="107"/>
        <v/>
      </c>
      <c r="BU129" s="217" t="str">
        <f t="shared" si="108"/>
        <v/>
      </c>
      <c r="BV129" s="215" t="str">
        <f t="shared" si="109"/>
        <v/>
      </c>
      <c r="BW129" s="217" t="str">
        <f t="shared" si="110"/>
        <v/>
      </c>
      <c r="BX129" s="217" t="str">
        <f t="shared" si="111"/>
        <v/>
      </c>
      <c r="BY129" s="215" t="str">
        <f t="shared" si="112"/>
        <v/>
      </c>
      <c r="BZ129" s="217" t="str">
        <f t="shared" si="113"/>
        <v/>
      </c>
      <c r="CA129" s="217" t="str">
        <f t="shared" si="114"/>
        <v/>
      </c>
      <c r="CB129" s="215" t="str">
        <f t="shared" si="115"/>
        <v/>
      </c>
      <c r="CC129" s="217" t="str">
        <f t="shared" si="116"/>
        <v/>
      </c>
      <c r="CD129" s="217" t="str">
        <f t="shared" si="117"/>
        <v/>
      </c>
    </row>
    <row r="130" spans="1:82" x14ac:dyDescent="0.25">
      <c r="A130" s="48"/>
      <c r="B130" s="54"/>
      <c r="C130" s="54"/>
      <c r="D130" s="54"/>
      <c r="E130" s="54"/>
      <c r="F130" s="54"/>
      <c r="G130" s="54"/>
      <c r="H130" s="54"/>
      <c r="I130" s="54"/>
      <c r="J130" s="2"/>
      <c r="K130" s="2"/>
      <c r="L130" s="2"/>
      <c r="M130" s="2"/>
      <c r="N130" s="2"/>
      <c r="O130" s="2"/>
      <c r="P130" s="2"/>
      <c r="Q130" s="2"/>
      <c r="R130" s="2"/>
      <c r="S130" s="2"/>
      <c r="T130" s="2"/>
      <c r="U130" s="2"/>
      <c r="V130" s="2"/>
      <c r="W130" s="2"/>
      <c r="X130" s="2"/>
      <c r="Y130" s="259"/>
      <c r="Z130" s="2"/>
      <c r="AA130" s="264">
        <v>126</v>
      </c>
      <c r="AB130" s="16" t="str">
        <f t="shared" si="90"/>
        <v/>
      </c>
      <c r="AC130" s="16" t="str">
        <f t="shared" si="91"/>
        <v/>
      </c>
      <c r="AD130" s="16" t="str">
        <f t="shared" si="61"/>
        <v/>
      </c>
      <c r="AE130" s="16" t="str">
        <f t="shared" si="62"/>
        <v/>
      </c>
      <c r="AF130" s="16" t="str">
        <f t="shared" si="63"/>
        <v/>
      </c>
      <c r="AG130" s="16" t="str">
        <f t="shared" si="92"/>
        <v/>
      </c>
      <c r="AH130" s="16" t="str">
        <f t="shared" si="93"/>
        <v/>
      </c>
      <c r="AI130" s="29" t="str">
        <f t="shared" si="64"/>
        <v/>
      </c>
      <c r="AJ130" s="29" t="str">
        <f t="shared" si="65"/>
        <v/>
      </c>
      <c r="AK130" s="2"/>
      <c r="AL130" s="2"/>
      <c r="AM130" s="2"/>
      <c r="AN130" s="2"/>
      <c r="AO130" s="2"/>
      <c r="AP130" s="2"/>
      <c r="AQ130" s="2"/>
      <c r="AR130" s="2"/>
      <c r="AS130" s="2"/>
      <c r="AT130" s="2"/>
      <c r="AU130" s="2"/>
      <c r="AV130" s="2"/>
      <c r="AW130" s="2"/>
      <c r="AX130" s="2"/>
      <c r="AY130" s="2"/>
      <c r="AZ130" s="2"/>
      <c r="BA130" s="2"/>
      <c r="BB130" s="2"/>
      <c r="BC130" s="2"/>
      <c r="BG130" s="215" t="str">
        <f t="shared" si="94"/>
        <v/>
      </c>
      <c r="BH130" s="217" t="str">
        <f t="shared" si="95"/>
        <v/>
      </c>
      <c r="BI130" s="217" t="str">
        <f t="shared" si="96"/>
        <v/>
      </c>
      <c r="BJ130" s="215" t="str">
        <f t="shared" si="97"/>
        <v/>
      </c>
      <c r="BK130" s="217" t="str">
        <f t="shared" si="98"/>
        <v/>
      </c>
      <c r="BL130" s="217" t="str">
        <f t="shared" si="99"/>
        <v/>
      </c>
      <c r="BM130" s="215" t="str">
        <f t="shared" si="100"/>
        <v/>
      </c>
      <c r="BN130" s="217" t="str">
        <f t="shared" si="101"/>
        <v/>
      </c>
      <c r="BO130" s="217" t="str">
        <f t="shared" si="102"/>
        <v/>
      </c>
      <c r="BP130" s="215" t="str">
        <f t="shared" si="103"/>
        <v/>
      </c>
      <c r="BQ130" s="217" t="str">
        <f t="shared" si="104"/>
        <v/>
      </c>
      <c r="BR130" s="217" t="str">
        <f t="shared" si="105"/>
        <v/>
      </c>
      <c r="BS130" s="215" t="str">
        <f t="shared" si="106"/>
        <v/>
      </c>
      <c r="BT130" s="217" t="str">
        <f t="shared" si="107"/>
        <v/>
      </c>
      <c r="BU130" s="217" t="str">
        <f t="shared" si="108"/>
        <v/>
      </c>
      <c r="BV130" s="215" t="str">
        <f t="shared" si="109"/>
        <v/>
      </c>
      <c r="BW130" s="217" t="str">
        <f t="shared" si="110"/>
        <v/>
      </c>
      <c r="BX130" s="217" t="str">
        <f t="shared" si="111"/>
        <v/>
      </c>
      <c r="BY130" s="215" t="str">
        <f t="shared" si="112"/>
        <v/>
      </c>
      <c r="BZ130" s="217" t="str">
        <f t="shared" si="113"/>
        <v/>
      </c>
      <c r="CA130" s="217" t="str">
        <f t="shared" si="114"/>
        <v/>
      </c>
      <c r="CB130" s="215" t="str">
        <f t="shared" si="115"/>
        <v/>
      </c>
      <c r="CC130" s="217" t="str">
        <f t="shared" si="116"/>
        <v/>
      </c>
      <c r="CD130" s="217" t="str">
        <f t="shared" si="117"/>
        <v/>
      </c>
    </row>
    <row r="131" spans="1:82" x14ac:dyDescent="0.25">
      <c r="A131" s="48"/>
      <c r="B131" s="54"/>
      <c r="C131" s="54"/>
      <c r="D131" s="54"/>
      <c r="E131" s="54"/>
      <c r="F131" s="54"/>
      <c r="G131" s="54"/>
      <c r="H131" s="54"/>
      <c r="I131" s="54"/>
      <c r="J131" s="2"/>
      <c r="K131" s="2"/>
      <c r="L131" s="2"/>
      <c r="M131" s="2"/>
      <c r="N131" s="2"/>
      <c r="O131" s="2"/>
      <c r="P131" s="2"/>
      <c r="Q131" s="2"/>
      <c r="R131" s="2"/>
      <c r="S131" s="2"/>
      <c r="T131" s="2"/>
      <c r="U131" s="2"/>
      <c r="V131" s="2"/>
      <c r="W131" s="2"/>
      <c r="X131" s="2"/>
      <c r="Y131" s="259"/>
      <c r="Z131" s="2"/>
      <c r="AA131" s="264">
        <v>127</v>
      </c>
      <c r="AB131" s="16" t="str">
        <f t="shared" si="90"/>
        <v/>
      </c>
      <c r="AC131" s="16" t="str">
        <f t="shared" si="91"/>
        <v/>
      </c>
      <c r="AD131" s="16" t="str">
        <f t="shared" si="61"/>
        <v/>
      </c>
      <c r="AE131" s="16" t="str">
        <f t="shared" si="62"/>
        <v/>
      </c>
      <c r="AF131" s="16" t="str">
        <f t="shared" si="63"/>
        <v/>
      </c>
      <c r="AG131" s="16" t="str">
        <f t="shared" si="92"/>
        <v/>
      </c>
      <c r="AH131" s="16" t="str">
        <f t="shared" si="93"/>
        <v/>
      </c>
      <c r="AI131" s="29" t="str">
        <f t="shared" si="64"/>
        <v/>
      </c>
      <c r="AJ131" s="29" t="str">
        <f t="shared" si="65"/>
        <v/>
      </c>
      <c r="AK131" s="2"/>
      <c r="AL131" s="2"/>
      <c r="AM131" s="2"/>
      <c r="AN131" s="2"/>
      <c r="AO131" s="2"/>
      <c r="AP131" s="2"/>
      <c r="AQ131" s="2"/>
      <c r="AR131" s="2"/>
      <c r="AS131" s="2"/>
      <c r="AT131" s="2"/>
      <c r="AU131" s="2"/>
      <c r="AV131" s="2"/>
      <c r="AW131" s="2"/>
      <c r="AX131" s="2"/>
      <c r="AY131" s="2"/>
      <c r="AZ131" s="2"/>
      <c r="BA131" s="2"/>
      <c r="BB131" s="2"/>
      <c r="BC131" s="2"/>
      <c r="BG131" s="215" t="str">
        <f t="shared" si="94"/>
        <v/>
      </c>
      <c r="BH131" s="217" t="str">
        <f t="shared" si="95"/>
        <v/>
      </c>
      <c r="BI131" s="217" t="str">
        <f t="shared" si="96"/>
        <v/>
      </c>
      <c r="BJ131" s="215" t="str">
        <f t="shared" si="97"/>
        <v/>
      </c>
      <c r="BK131" s="217" t="str">
        <f t="shared" si="98"/>
        <v/>
      </c>
      <c r="BL131" s="217" t="str">
        <f t="shared" si="99"/>
        <v/>
      </c>
      <c r="BM131" s="215" t="str">
        <f t="shared" si="100"/>
        <v/>
      </c>
      <c r="BN131" s="217" t="str">
        <f t="shared" si="101"/>
        <v/>
      </c>
      <c r="BO131" s="217" t="str">
        <f t="shared" si="102"/>
        <v/>
      </c>
      <c r="BP131" s="215" t="str">
        <f t="shared" si="103"/>
        <v/>
      </c>
      <c r="BQ131" s="217" t="str">
        <f t="shared" si="104"/>
        <v/>
      </c>
      <c r="BR131" s="217" t="str">
        <f t="shared" si="105"/>
        <v/>
      </c>
      <c r="BS131" s="215" t="str">
        <f t="shared" si="106"/>
        <v/>
      </c>
      <c r="BT131" s="217" t="str">
        <f t="shared" si="107"/>
        <v/>
      </c>
      <c r="BU131" s="217" t="str">
        <f t="shared" si="108"/>
        <v/>
      </c>
      <c r="BV131" s="215" t="str">
        <f t="shared" si="109"/>
        <v/>
      </c>
      <c r="BW131" s="217" t="str">
        <f t="shared" si="110"/>
        <v/>
      </c>
      <c r="BX131" s="217" t="str">
        <f t="shared" si="111"/>
        <v/>
      </c>
      <c r="BY131" s="215" t="str">
        <f t="shared" si="112"/>
        <v/>
      </c>
      <c r="BZ131" s="217" t="str">
        <f t="shared" si="113"/>
        <v/>
      </c>
      <c r="CA131" s="217" t="str">
        <f t="shared" si="114"/>
        <v/>
      </c>
      <c r="CB131" s="215" t="str">
        <f t="shared" si="115"/>
        <v/>
      </c>
      <c r="CC131" s="217" t="str">
        <f t="shared" si="116"/>
        <v/>
      </c>
      <c r="CD131" s="217" t="str">
        <f t="shared" si="117"/>
        <v/>
      </c>
    </row>
    <row r="132" spans="1:82" x14ac:dyDescent="0.25">
      <c r="A132" s="48"/>
      <c r="B132" s="54"/>
      <c r="C132" s="54"/>
      <c r="D132" s="54"/>
      <c r="E132" s="54"/>
      <c r="F132" s="54"/>
      <c r="G132" s="54"/>
      <c r="H132" s="54"/>
      <c r="I132" s="54"/>
      <c r="J132" s="2"/>
      <c r="K132" s="2"/>
      <c r="L132" s="2"/>
      <c r="M132" s="2"/>
      <c r="N132" s="2"/>
      <c r="O132" s="2"/>
      <c r="P132" s="2"/>
      <c r="Q132" s="2"/>
      <c r="R132" s="2"/>
      <c r="S132" s="2"/>
      <c r="T132" s="2"/>
      <c r="U132" s="2"/>
      <c r="V132" s="2"/>
      <c r="W132" s="2"/>
      <c r="X132" s="2"/>
      <c r="Y132" s="259"/>
      <c r="Z132" s="2"/>
      <c r="AA132" s="264">
        <v>128</v>
      </c>
      <c r="AB132" s="16" t="str">
        <f t="shared" si="90"/>
        <v/>
      </c>
      <c r="AC132" s="16" t="str">
        <f t="shared" si="91"/>
        <v/>
      </c>
      <c r="AD132" s="16" t="str">
        <f t="shared" si="61"/>
        <v/>
      </c>
      <c r="AE132" s="16" t="str">
        <f t="shared" si="62"/>
        <v/>
      </c>
      <c r="AF132" s="16" t="str">
        <f t="shared" si="63"/>
        <v/>
      </c>
      <c r="AG132" s="16" t="str">
        <f t="shared" si="92"/>
        <v/>
      </c>
      <c r="AH132" s="16" t="str">
        <f t="shared" si="93"/>
        <v/>
      </c>
      <c r="AI132" s="29" t="str">
        <f t="shared" si="64"/>
        <v/>
      </c>
      <c r="AJ132" s="29" t="str">
        <f t="shared" si="65"/>
        <v/>
      </c>
      <c r="AK132" s="2"/>
      <c r="AL132" s="2"/>
      <c r="AM132" s="2"/>
      <c r="AN132" s="2"/>
      <c r="AO132" s="2"/>
      <c r="AP132" s="2"/>
      <c r="AQ132" s="2"/>
      <c r="AR132" s="2"/>
      <c r="AS132" s="2"/>
      <c r="AT132" s="2"/>
      <c r="AU132" s="2"/>
      <c r="AV132" s="2"/>
      <c r="AW132" s="2"/>
      <c r="AX132" s="2"/>
      <c r="AY132" s="2"/>
      <c r="AZ132" s="2"/>
      <c r="BA132" s="2"/>
      <c r="BB132" s="2"/>
      <c r="BC132" s="2"/>
      <c r="BG132" s="215" t="str">
        <f t="shared" si="94"/>
        <v/>
      </c>
      <c r="BH132" s="217" t="str">
        <f t="shared" si="95"/>
        <v/>
      </c>
      <c r="BI132" s="217" t="str">
        <f t="shared" si="96"/>
        <v/>
      </c>
      <c r="BJ132" s="215" t="str">
        <f t="shared" si="97"/>
        <v/>
      </c>
      <c r="BK132" s="217" t="str">
        <f t="shared" si="98"/>
        <v/>
      </c>
      <c r="BL132" s="217" t="str">
        <f t="shared" si="99"/>
        <v/>
      </c>
      <c r="BM132" s="215" t="str">
        <f t="shared" si="100"/>
        <v/>
      </c>
      <c r="BN132" s="217" t="str">
        <f t="shared" si="101"/>
        <v/>
      </c>
      <c r="BO132" s="217" t="str">
        <f t="shared" si="102"/>
        <v/>
      </c>
      <c r="BP132" s="215" t="str">
        <f t="shared" si="103"/>
        <v/>
      </c>
      <c r="BQ132" s="217" t="str">
        <f t="shared" si="104"/>
        <v/>
      </c>
      <c r="BR132" s="217" t="str">
        <f t="shared" si="105"/>
        <v/>
      </c>
      <c r="BS132" s="215" t="str">
        <f t="shared" si="106"/>
        <v/>
      </c>
      <c r="BT132" s="217" t="str">
        <f t="shared" si="107"/>
        <v/>
      </c>
      <c r="BU132" s="217" t="str">
        <f t="shared" si="108"/>
        <v/>
      </c>
      <c r="BV132" s="215" t="str">
        <f t="shared" si="109"/>
        <v/>
      </c>
      <c r="BW132" s="217" t="str">
        <f t="shared" si="110"/>
        <v/>
      </c>
      <c r="BX132" s="217" t="str">
        <f t="shared" si="111"/>
        <v/>
      </c>
      <c r="BY132" s="215" t="str">
        <f t="shared" si="112"/>
        <v/>
      </c>
      <c r="BZ132" s="217" t="str">
        <f t="shared" si="113"/>
        <v/>
      </c>
      <c r="CA132" s="217" t="str">
        <f t="shared" si="114"/>
        <v/>
      </c>
      <c r="CB132" s="215" t="str">
        <f t="shared" si="115"/>
        <v/>
      </c>
      <c r="CC132" s="217" t="str">
        <f t="shared" si="116"/>
        <v/>
      </c>
      <c r="CD132" s="217" t="str">
        <f t="shared" si="117"/>
        <v/>
      </c>
    </row>
    <row r="133" spans="1:82" x14ac:dyDescent="0.25">
      <c r="A133" s="48"/>
      <c r="B133" s="54"/>
      <c r="C133" s="54"/>
      <c r="D133" s="54"/>
      <c r="E133" s="54"/>
      <c r="F133" s="54"/>
      <c r="G133" s="54"/>
      <c r="H133" s="54"/>
      <c r="I133" s="54"/>
      <c r="J133" s="2"/>
      <c r="K133" s="2"/>
      <c r="L133" s="2"/>
      <c r="M133" s="2"/>
      <c r="N133" s="2"/>
      <c r="O133" s="2"/>
      <c r="P133" s="2"/>
      <c r="Q133" s="2"/>
      <c r="R133" s="2"/>
      <c r="S133" s="2"/>
      <c r="T133" s="2"/>
      <c r="U133" s="2"/>
      <c r="V133" s="2"/>
      <c r="W133" s="2"/>
      <c r="X133" s="2"/>
      <c r="Y133" s="259"/>
      <c r="Z133" s="2"/>
      <c r="AA133" s="264">
        <v>129</v>
      </c>
      <c r="AB133" s="16" t="str">
        <f t="shared" si="90"/>
        <v/>
      </c>
      <c r="AC133" s="16" t="str">
        <f t="shared" si="91"/>
        <v/>
      </c>
      <c r="AD133" s="16" t="str">
        <f t="shared" ref="AD133:AD196" si="118">IF($C$9&gt;=$AA133,$AB133^2,"")</f>
        <v/>
      </c>
      <c r="AE133" s="16" t="str">
        <f t="shared" ref="AE133:AE196" si="119">IF($C$9&gt;=$AA133,$AC133^2,"")</f>
        <v/>
      </c>
      <c r="AF133" s="16" t="str">
        <f t="shared" ref="AF133:AF196" si="120">IF($C$9&gt;=$AA133,$AB133*$AC133,"")</f>
        <v/>
      </c>
      <c r="AG133" s="16" t="str">
        <f t="shared" si="92"/>
        <v/>
      </c>
      <c r="AH133" s="16" t="str">
        <f t="shared" si="93"/>
        <v/>
      </c>
      <c r="AI133" s="29" t="str">
        <f t="shared" ref="AI133:AI196" si="121">IF($C$9&gt;=$AA133,(-$AF$418/$C$9+($AF$422*$AB$411--$AF$421*$AB$414)/($AB$411*$AB$412-$AB$414^2)*$AG133+(-$AF$421*$AB$412-$AF$422*$AB$414)/($AB$411*$AB$412-$AB$414^2)*$AH133),"")</f>
        <v/>
      </c>
      <c r="AJ133" s="29" t="str">
        <f t="shared" ref="AJ133:AJ196" si="122">IF($C$9&gt;=$AA133,((($AF$419/$C$9+$AF$423*-$AH133/$AB$413)^2+($AF$420/$C$9+$AF$423*$AG133/$AB$413)^2)^(1/2)),"")</f>
        <v/>
      </c>
      <c r="AK133" s="2"/>
      <c r="AL133" s="2"/>
      <c r="AM133" s="2"/>
      <c r="AN133" s="2"/>
      <c r="AO133" s="2"/>
      <c r="AP133" s="2"/>
      <c r="AQ133" s="2"/>
      <c r="AR133" s="2"/>
      <c r="AS133" s="2"/>
      <c r="AT133" s="2"/>
      <c r="AU133" s="2"/>
      <c r="AV133" s="2"/>
      <c r="AW133" s="2"/>
      <c r="AX133" s="2"/>
      <c r="AY133" s="2"/>
      <c r="AZ133" s="2"/>
      <c r="BA133" s="2"/>
      <c r="BB133" s="2"/>
      <c r="BC133" s="2"/>
      <c r="BG133" s="215" t="str">
        <f t="shared" si="94"/>
        <v/>
      </c>
      <c r="BH133" s="217" t="str">
        <f t="shared" si="95"/>
        <v/>
      </c>
      <c r="BI133" s="217" t="str">
        <f t="shared" si="96"/>
        <v/>
      </c>
      <c r="BJ133" s="215" t="str">
        <f t="shared" si="97"/>
        <v/>
      </c>
      <c r="BK133" s="217" t="str">
        <f t="shared" si="98"/>
        <v/>
      </c>
      <c r="BL133" s="217" t="str">
        <f t="shared" si="99"/>
        <v/>
      </c>
      <c r="BM133" s="215" t="str">
        <f t="shared" si="100"/>
        <v/>
      </c>
      <c r="BN133" s="217" t="str">
        <f t="shared" si="101"/>
        <v/>
      </c>
      <c r="BO133" s="217" t="str">
        <f t="shared" si="102"/>
        <v/>
      </c>
      <c r="BP133" s="215" t="str">
        <f t="shared" si="103"/>
        <v/>
      </c>
      <c r="BQ133" s="217" t="str">
        <f t="shared" si="104"/>
        <v/>
      </c>
      <c r="BR133" s="217" t="str">
        <f t="shared" si="105"/>
        <v/>
      </c>
      <c r="BS133" s="215" t="str">
        <f t="shared" si="106"/>
        <v/>
      </c>
      <c r="BT133" s="217" t="str">
        <f t="shared" si="107"/>
        <v/>
      </c>
      <c r="BU133" s="217" t="str">
        <f t="shared" si="108"/>
        <v/>
      </c>
      <c r="BV133" s="215" t="str">
        <f t="shared" si="109"/>
        <v/>
      </c>
      <c r="BW133" s="217" t="str">
        <f t="shared" si="110"/>
        <v/>
      </c>
      <c r="BX133" s="217" t="str">
        <f t="shared" si="111"/>
        <v/>
      </c>
      <c r="BY133" s="215" t="str">
        <f t="shared" si="112"/>
        <v/>
      </c>
      <c r="BZ133" s="217" t="str">
        <f t="shared" si="113"/>
        <v/>
      </c>
      <c r="CA133" s="217" t="str">
        <f t="shared" si="114"/>
        <v/>
      </c>
      <c r="CB133" s="215" t="str">
        <f t="shared" si="115"/>
        <v/>
      </c>
      <c r="CC133" s="217" t="str">
        <f t="shared" si="116"/>
        <v/>
      </c>
      <c r="CD133" s="217" t="str">
        <f t="shared" si="117"/>
        <v/>
      </c>
    </row>
    <row r="134" spans="1:82" x14ac:dyDescent="0.25">
      <c r="A134" s="48"/>
      <c r="B134" s="54"/>
      <c r="C134" s="54"/>
      <c r="D134" s="54"/>
      <c r="E134" s="54"/>
      <c r="F134" s="54"/>
      <c r="G134" s="54"/>
      <c r="H134" s="54"/>
      <c r="I134" s="54"/>
      <c r="J134" s="2"/>
      <c r="K134" s="2"/>
      <c r="L134" s="2"/>
      <c r="M134" s="2"/>
      <c r="N134" s="2"/>
      <c r="O134" s="2"/>
      <c r="P134" s="2"/>
      <c r="Q134" s="2"/>
      <c r="R134" s="2"/>
      <c r="S134" s="2"/>
      <c r="T134" s="2"/>
      <c r="U134" s="2"/>
      <c r="V134" s="2"/>
      <c r="W134" s="2"/>
      <c r="X134" s="2"/>
      <c r="Y134" s="259"/>
      <c r="Z134" s="2"/>
      <c r="AA134" s="264">
        <v>130</v>
      </c>
      <c r="AB134" s="16" t="str">
        <f t="shared" si="90"/>
        <v/>
      </c>
      <c r="AC134" s="16" t="str">
        <f t="shared" si="91"/>
        <v/>
      </c>
      <c r="AD134" s="16" t="str">
        <f t="shared" si="118"/>
        <v/>
      </c>
      <c r="AE134" s="16" t="str">
        <f t="shared" si="119"/>
        <v/>
      </c>
      <c r="AF134" s="16" t="str">
        <f t="shared" si="120"/>
        <v/>
      </c>
      <c r="AG134" s="16" t="str">
        <f t="shared" si="92"/>
        <v/>
      </c>
      <c r="AH134" s="16" t="str">
        <f t="shared" si="93"/>
        <v/>
      </c>
      <c r="AI134" s="29" t="str">
        <f t="shared" si="121"/>
        <v/>
      </c>
      <c r="AJ134" s="29" t="str">
        <f t="shared" si="122"/>
        <v/>
      </c>
      <c r="AK134" s="2"/>
      <c r="AL134" s="2"/>
      <c r="AM134" s="2"/>
      <c r="AN134" s="2"/>
      <c r="AO134" s="2"/>
      <c r="AP134" s="2"/>
      <c r="AQ134" s="2"/>
      <c r="AR134" s="2"/>
      <c r="AS134" s="2"/>
      <c r="AT134" s="2"/>
      <c r="AU134" s="2"/>
      <c r="AV134" s="2"/>
      <c r="AW134" s="2"/>
      <c r="AX134" s="2"/>
      <c r="AY134" s="2"/>
      <c r="AZ134" s="2"/>
      <c r="BA134" s="2"/>
      <c r="BB134" s="2"/>
      <c r="BC134" s="2"/>
      <c r="BG134" s="215" t="str">
        <f t="shared" si="94"/>
        <v/>
      </c>
      <c r="BH134" s="217" t="str">
        <f t="shared" si="95"/>
        <v/>
      </c>
      <c r="BI134" s="217" t="str">
        <f t="shared" si="96"/>
        <v/>
      </c>
      <c r="BJ134" s="215" t="str">
        <f t="shared" si="97"/>
        <v/>
      </c>
      <c r="BK134" s="217" t="str">
        <f t="shared" si="98"/>
        <v/>
      </c>
      <c r="BL134" s="217" t="str">
        <f t="shared" si="99"/>
        <v/>
      </c>
      <c r="BM134" s="215" t="str">
        <f t="shared" si="100"/>
        <v/>
      </c>
      <c r="BN134" s="217" t="str">
        <f t="shared" si="101"/>
        <v/>
      </c>
      <c r="BO134" s="217" t="str">
        <f t="shared" si="102"/>
        <v/>
      </c>
      <c r="BP134" s="215" t="str">
        <f t="shared" si="103"/>
        <v/>
      </c>
      <c r="BQ134" s="217" t="str">
        <f t="shared" si="104"/>
        <v/>
      </c>
      <c r="BR134" s="217" t="str">
        <f t="shared" si="105"/>
        <v/>
      </c>
      <c r="BS134" s="215" t="str">
        <f t="shared" si="106"/>
        <v/>
      </c>
      <c r="BT134" s="217" t="str">
        <f t="shared" si="107"/>
        <v/>
      </c>
      <c r="BU134" s="217" t="str">
        <f t="shared" si="108"/>
        <v/>
      </c>
      <c r="BV134" s="215" t="str">
        <f t="shared" si="109"/>
        <v/>
      </c>
      <c r="BW134" s="217" t="str">
        <f t="shared" si="110"/>
        <v/>
      </c>
      <c r="BX134" s="217" t="str">
        <f t="shared" si="111"/>
        <v/>
      </c>
      <c r="BY134" s="215" t="str">
        <f t="shared" si="112"/>
        <v/>
      </c>
      <c r="BZ134" s="217" t="str">
        <f t="shared" si="113"/>
        <v/>
      </c>
      <c r="CA134" s="217" t="str">
        <f t="shared" si="114"/>
        <v/>
      </c>
      <c r="CB134" s="215" t="str">
        <f t="shared" si="115"/>
        <v/>
      </c>
      <c r="CC134" s="217" t="str">
        <f t="shared" si="116"/>
        <v/>
      </c>
      <c r="CD134" s="217" t="str">
        <f t="shared" si="117"/>
        <v/>
      </c>
    </row>
    <row r="135" spans="1:82" x14ac:dyDescent="0.25">
      <c r="A135" s="48"/>
      <c r="B135" s="54"/>
      <c r="C135" s="54"/>
      <c r="D135" s="54"/>
      <c r="E135" s="54"/>
      <c r="F135" s="54"/>
      <c r="G135" s="54"/>
      <c r="H135" s="54"/>
      <c r="I135" s="54"/>
      <c r="J135" s="2"/>
      <c r="K135" s="2"/>
      <c r="L135" s="2"/>
      <c r="M135" s="2"/>
      <c r="N135" s="2"/>
      <c r="O135" s="2"/>
      <c r="P135" s="2"/>
      <c r="Q135" s="2"/>
      <c r="R135" s="2"/>
      <c r="S135" s="2"/>
      <c r="T135" s="2"/>
      <c r="U135" s="2"/>
      <c r="V135" s="2"/>
      <c r="W135" s="2"/>
      <c r="X135" s="2"/>
      <c r="Y135" s="259"/>
      <c r="Z135" s="2"/>
      <c r="AA135" s="264">
        <v>131</v>
      </c>
      <c r="AB135" s="16" t="str">
        <f t="shared" si="90"/>
        <v/>
      </c>
      <c r="AC135" s="16" t="str">
        <f t="shared" si="91"/>
        <v/>
      </c>
      <c r="AD135" s="16" t="str">
        <f t="shared" si="118"/>
        <v/>
      </c>
      <c r="AE135" s="16" t="str">
        <f t="shared" si="119"/>
        <v/>
      </c>
      <c r="AF135" s="16" t="str">
        <f t="shared" si="120"/>
        <v/>
      </c>
      <c r="AG135" s="16" t="str">
        <f t="shared" si="92"/>
        <v/>
      </c>
      <c r="AH135" s="16" t="str">
        <f t="shared" si="93"/>
        <v/>
      </c>
      <c r="AI135" s="29" t="str">
        <f t="shared" si="121"/>
        <v/>
      </c>
      <c r="AJ135" s="29" t="str">
        <f t="shared" si="122"/>
        <v/>
      </c>
      <c r="AK135" s="2"/>
      <c r="AL135" s="2"/>
      <c r="AM135" s="2"/>
      <c r="AN135" s="2"/>
      <c r="AO135" s="2"/>
      <c r="AP135" s="2"/>
      <c r="AQ135" s="2"/>
      <c r="AR135" s="2"/>
      <c r="AS135" s="2"/>
      <c r="AT135" s="2"/>
      <c r="AU135" s="2"/>
      <c r="AV135" s="2"/>
      <c r="AW135" s="2"/>
      <c r="AX135" s="2"/>
      <c r="AY135" s="2"/>
      <c r="AZ135" s="2"/>
      <c r="BA135" s="2"/>
      <c r="BB135" s="2"/>
      <c r="BC135" s="2"/>
      <c r="BG135" s="215" t="str">
        <f t="shared" si="94"/>
        <v/>
      </c>
      <c r="BH135" s="217" t="str">
        <f t="shared" si="95"/>
        <v/>
      </c>
      <c r="BI135" s="217" t="str">
        <f t="shared" si="96"/>
        <v/>
      </c>
      <c r="BJ135" s="215" t="str">
        <f t="shared" si="97"/>
        <v/>
      </c>
      <c r="BK135" s="217" t="str">
        <f t="shared" si="98"/>
        <v/>
      </c>
      <c r="BL135" s="217" t="str">
        <f t="shared" si="99"/>
        <v/>
      </c>
      <c r="BM135" s="215" t="str">
        <f t="shared" si="100"/>
        <v/>
      </c>
      <c r="BN135" s="217" t="str">
        <f t="shared" si="101"/>
        <v/>
      </c>
      <c r="BO135" s="217" t="str">
        <f t="shared" si="102"/>
        <v/>
      </c>
      <c r="BP135" s="215" t="str">
        <f t="shared" si="103"/>
        <v/>
      </c>
      <c r="BQ135" s="217" t="str">
        <f t="shared" si="104"/>
        <v/>
      </c>
      <c r="BR135" s="217" t="str">
        <f t="shared" si="105"/>
        <v/>
      </c>
      <c r="BS135" s="215" t="str">
        <f t="shared" si="106"/>
        <v/>
      </c>
      <c r="BT135" s="217" t="str">
        <f t="shared" si="107"/>
        <v/>
      </c>
      <c r="BU135" s="217" t="str">
        <f t="shared" si="108"/>
        <v/>
      </c>
      <c r="BV135" s="215" t="str">
        <f t="shared" si="109"/>
        <v/>
      </c>
      <c r="BW135" s="217" t="str">
        <f t="shared" si="110"/>
        <v/>
      </c>
      <c r="BX135" s="217" t="str">
        <f t="shared" si="111"/>
        <v/>
      </c>
      <c r="BY135" s="215" t="str">
        <f t="shared" si="112"/>
        <v/>
      </c>
      <c r="BZ135" s="217" t="str">
        <f t="shared" si="113"/>
        <v/>
      </c>
      <c r="CA135" s="217" t="str">
        <f t="shared" si="114"/>
        <v/>
      </c>
      <c r="CB135" s="215" t="str">
        <f t="shared" si="115"/>
        <v/>
      </c>
      <c r="CC135" s="217" t="str">
        <f t="shared" si="116"/>
        <v/>
      </c>
      <c r="CD135" s="217" t="str">
        <f t="shared" si="117"/>
        <v/>
      </c>
    </row>
    <row r="136" spans="1:82" x14ac:dyDescent="0.25">
      <c r="A136" s="48"/>
      <c r="B136" s="54"/>
      <c r="C136" s="54"/>
      <c r="D136" s="54"/>
      <c r="E136" s="54"/>
      <c r="F136" s="54"/>
      <c r="G136" s="54"/>
      <c r="H136" s="54"/>
      <c r="I136" s="54"/>
      <c r="J136" s="2"/>
      <c r="K136" s="2"/>
      <c r="L136" s="2"/>
      <c r="M136" s="2"/>
      <c r="N136" s="2"/>
      <c r="O136" s="2"/>
      <c r="P136" s="2"/>
      <c r="Q136" s="2"/>
      <c r="R136" s="2"/>
      <c r="S136" s="2"/>
      <c r="T136" s="2"/>
      <c r="U136" s="2"/>
      <c r="V136" s="2"/>
      <c r="W136" s="2"/>
      <c r="X136" s="2"/>
      <c r="Y136" s="259"/>
      <c r="Z136" s="2"/>
      <c r="AA136" s="264">
        <v>132</v>
      </c>
      <c r="AB136" s="16" t="str">
        <f t="shared" si="90"/>
        <v/>
      </c>
      <c r="AC136" s="16" t="str">
        <f t="shared" si="91"/>
        <v/>
      </c>
      <c r="AD136" s="16" t="str">
        <f t="shared" si="118"/>
        <v/>
      </c>
      <c r="AE136" s="16" t="str">
        <f t="shared" si="119"/>
        <v/>
      </c>
      <c r="AF136" s="16" t="str">
        <f t="shared" si="120"/>
        <v/>
      </c>
      <c r="AG136" s="16" t="str">
        <f t="shared" si="92"/>
        <v/>
      </c>
      <c r="AH136" s="16" t="str">
        <f t="shared" si="93"/>
        <v/>
      </c>
      <c r="AI136" s="29" t="str">
        <f t="shared" si="121"/>
        <v/>
      </c>
      <c r="AJ136" s="29" t="str">
        <f t="shared" si="122"/>
        <v/>
      </c>
      <c r="AK136" s="2"/>
      <c r="AL136" s="2"/>
      <c r="AM136" s="2"/>
      <c r="AN136" s="2"/>
      <c r="AO136" s="2"/>
      <c r="AP136" s="2"/>
      <c r="AQ136" s="2"/>
      <c r="AR136" s="2"/>
      <c r="AS136" s="2"/>
      <c r="AT136" s="2"/>
      <c r="AU136" s="2"/>
      <c r="AV136" s="2"/>
      <c r="AW136" s="2"/>
      <c r="AX136" s="2"/>
      <c r="AY136" s="2"/>
      <c r="AZ136" s="2"/>
      <c r="BA136" s="2"/>
      <c r="BB136" s="2"/>
      <c r="BC136" s="2"/>
      <c r="BG136" s="215" t="str">
        <f t="shared" si="94"/>
        <v/>
      </c>
      <c r="BH136" s="217" t="str">
        <f t="shared" si="95"/>
        <v/>
      </c>
      <c r="BI136" s="217" t="str">
        <f t="shared" si="96"/>
        <v/>
      </c>
      <c r="BJ136" s="215" t="str">
        <f t="shared" si="97"/>
        <v/>
      </c>
      <c r="BK136" s="217" t="str">
        <f t="shared" si="98"/>
        <v/>
      </c>
      <c r="BL136" s="217" t="str">
        <f t="shared" si="99"/>
        <v/>
      </c>
      <c r="BM136" s="215" t="str">
        <f t="shared" si="100"/>
        <v/>
      </c>
      <c r="BN136" s="217" t="str">
        <f t="shared" si="101"/>
        <v/>
      </c>
      <c r="BO136" s="217" t="str">
        <f t="shared" si="102"/>
        <v/>
      </c>
      <c r="BP136" s="215" t="str">
        <f t="shared" si="103"/>
        <v/>
      </c>
      <c r="BQ136" s="217" t="str">
        <f t="shared" si="104"/>
        <v/>
      </c>
      <c r="BR136" s="217" t="str">
        <f t="shared" si="105"/>
        <v/>
      </c>
      <c r="BS136" s="215" t="str">
        <f t="shared" si="106"/>
        <v/>
      </c>
      <c r="BT136" s="217" t="str">
        <f t="shared" si="107"/>
        <v/>
      </c>
      <c r="BU136" s="217" t="str">
        <f t="shared" si="108"/>
        <v/>
      </c>
      <c r="BV136" s="215" t="str">
        <f t="shared" si="109"/>
        <v/>
      </c>
      <c r="BW136" s="217" t="str">
        <f t="shared" si="110"/>
        <v/>
      </c>
      <c r="BX136" s="217" t="str">
        <f t="shared" si="111"/>
        <v/>
      </c>
      <c r="BY136" s="215" t="str">
        <f t="shared" si="112"/>
        <v/>
      </c>
      <c r="BZ136" s="217" t="str">
        <f t="shared" si="113"/>
        <v/>
      </c>
      <c r="CA136" s="217" t="str">
        <f t="shared" si="114"/>
        <v/>
      </c>
      <c r="CB136" s="215" t="str">
        <f t="shared" si="115"/>
        <v/>
      </c>
      <c r="CC136" s="217" t="str">
        <f t="shared" si="116"/>
        <v/>
      </c>
      <c r="CD136" s="217" t="str">
        <f t="shared" si="117"/>
        <v/>
      </c>
    </row>
    <row r="137" spans="1:82" x14ac:dyDescent="0.25">
      <c r="A137" s="48"/>
      <c r="B137" s="54"/>
      <c r="C137" s="54"/>
      <c r="D137" s="54"/>
      <c r="E137" s="54"/>
      <c r="F137" s="54"/>
      <c r="G137" s="54"/>
      <c r="H137" s="54"/>
      <c r="I137" s="54"/>
      <c r="J137" s="2"/>
      <c r="K137" s="2"/>
      <c r="L137" s="2"/>
      <c r="M137" s="2"/>
      <c r="N137" s="2"/>
      <c r="O137" s="2"/>
      <c r="P137" s="2"/>
      <c r="Q137" s="2"/>
      <c r="R137" s="2"/>
      <c r="S137" s="2"/>
      <c r="T137" s="2"/>
      <c r="U137" s="2"/>
      <c r="V137" s="2"/>
      <c r="W137" s="2"/>
      <c r="X137" s="2"/>
      <c r="Y137" s="259"/>
      <c r="Z137" s="2"/>
      <c r="AA137" s="264">
        <v>133</v>
      </c>
      <c r="AB137" s="16" t="str">
        <f t="shared" si="90"/>
        <v/>
      </c>
      <c r="AC137" s="16" t="str">
        <f t="shared" si="91"/>
        <v/>
      </c>
      <c r="AD137" s="16" t="str">
        <f t="shared" si="118"/>
        <v/>
      </c>
      <c r="AE137" s="16" t="str">
        <f t="shared" si="119"/>
        <v/>
      </c>
      <c r="AF137" s="16" t="str">
        <f t="shared" si="120"/>
        <v/>
      </c>
      <c r="AG137" s="16" t="str">
        <f t="shared" si="92"/>
        <v/>
      </c>
      <c r="AH137" s="16" t="str">
        <f t="shared" si="93"/>
        <v/>
      </c>
      <c r="AI137" s="29" t="str">
        <f t="shared" si="121"/>
        <v/>
      </c>
      <c r="AJ137" s="29" t="str">
        <f t="shared" si="122"/>
        <v/>
      </c>
      <c r="AK137" s="2"/>
      <c r="AL137" s="2"/>
      <c r="AM137" s="2"/>
      <c r="AN137" s="2"/>
      <c r="AO137" s="2"/>
      <c r="AP137" s="2"/>
      <c r="AQ137" s="2"/>
      <c r="AR137" s="2"/>
      <c r="AS137" s="2"/>
      <c r="AT137" s="2"/>
      <c r="AU137" s="2"/>
      <c r="AV137" s="2"/>
      <c r="AW137" s="2"/>
      <c r="AX137" s="2"/>
      <c r="AY137" s="2"/>
      <c r="AZ137" s="2"/>
      <c r="BA137" s="2"/>
      <c r="BB137" s="2"/>
      <c r="BC137" s="2"/>
      <c r="BG137" s="215" t="str">
        <f t="shared" si="94"/>
        <v/>
      </c>
      <c r="BH137" s="217" t="str">
        <f t="shared" si="95"/>
        <v/>
      </c>
      <c r="BI137" s="217" t="str">
        <f t="shared" si="96"/>
        <v/>
      </c>
      <c r="BJ137" s="215" t="str">
        <f t="shared" si="97"/>
        <v/>
      </c>
      <c r="BK137" s="217" t="str">
        <f t="shared" si="98"/>
        <v/>
      </c>
      <c r="BL137" s="217" t="str">
        <f t="shared" si="99"/>
        <v/>
      </c>
      <c r="BM137" s="215" t="str">
        <f t="shared" si="100"/>
        <v/>
      </c>
      <c r="BN137" s="217" t="str">
        <f t="shared" si="101"/>
        <v/>
      </c>
      <c r="BO137" s="217" t="str">
        <f t="shared" si="102"/>
        <v/>
      </c>
      <c r="BP137" s="215" t="str">
        <f t="shared" si="103"/>
        <v/>
      </c>
      <c r="BQ137" s="217" t="str">
        <f t="shared" si="104"/>
        <v/>
      </c>
      <c r="BR137" s="217" t="str">
        <f t="shared" si="105"/>
        <v/>
      </c>
      <c r="BS137" s="215" t="str">
        <f t="shared" si="106"/>
        <v/>
      </c>
      <c r="BT137" s="217" t="str">
        <f t="shared" si="107"/>
        <v/>
      </c>
      <c r="BU137" s="217" t="str">
        <f t="shared" si="108"/>
        <v/>
      </c>
      <c r="BV137" s="215" t="str">
        <f t="shared" si="109"/>
        <v/>
      </c>
      <c r="BW137" s="217" t="str">
        <f t="shared" si="110"/>
        <v/>
      </c>
      <c r="BX137" s="217" t="str">
        <f t="shared" si="111"/>
        <v/>
      </c>
      <c r="BY137" s="215" t="str">
        <f t="shared" si="112"/>
        <v/>
      </c>
      <c r="BZ137" s="217" t="str">
        <f t="shared" si="113"/>
        <v/>
      </c>
      <c r="CA137" s="217" t="str">
        <f t="shared" si="114"/>
        <v/>
      </c>
      <c r="CB137" s="215" t="str">
        <f t="shared" si="115"/>
        <v/>
      </c>
      <c r="CC137" s="217" t="str">
        <f t="shared" si="116"/>
        <v/>
      </c>
      <c r="CD137" s="217" t="str">
        <f t="shared" si="117"/>
        <v/>
      </c>
    </row>
    <row r="138" spans="1:82" x14ac:dyDescent="0.25">
      <c r="A138" s="48"/>
      <c r="B138" s="54"/>
      <c r="C138" s="54"/>
      <c r="D138" s="54"/>
      <c r="E138" s="54"/>
      <c r="F138" s="54"/>
      <c r="G138" s="54"/>
      <c r="H138" s="54"/>
      <c r="I138" s="54"/>
      <c r="J138" s="2"/>
      <c r="K138" s="2"/>
      <c r="L138" s="2"/>
      <c r="M138" s="2"/>
      <c r="N138" s="2"/>
      <c r="O138" s="2"/>
      <c r="P138" s="2"/>
      <c r="Q138" s="2"/>
      <c r="R138" s="2"/>
      <c r="S138" s="2"/>
      <c r="T138" s="2"/>
      <c r="U138" s="2"/>
      <c r="V138" s="2"/>
      <c r="W138" s="2"/>
      <c r="X138" s="2"/>
      <c r="Y138" s="259"/>
      <c r="Z138" s="2"/>
      <c r="AA138" s="264">
        <v>134</v>
      </c>
      <c r="AB138" s="16" t="str">
        <f t="shared" si="90"/>
        <v/>
      </c>
      <c r="AC138" s="16" t="str">
        <f t="shared" si="91"/>
        <v/>
      </c>
      <c r="AD138" s="16" t="str">
        <f t="shared" si="118"/>
        <v/>
      </c>
      <c r="AE138" s="16" t="str">
        <f t="shared" si="119"/>
        <v/>
      </c>
      <c r="AF138" s="16" t="str">
        <f t="shared" si="120"/>
        <v/>
      </c>
      <c r="AG138" s="16" t="str">
        <f t="shared" si="92"/>
        <v/>
      </c>
      <c r="AH138" s="16" t="str">
        <f t="shared" si="93"/>
        <v/>
      </c>
      <c r="AI138" s="29" t="str">
        <f t="shared" si="121"/>
        <v/>
      </c>
      <c r="AJ138" s="29" t="str">
        <f t="shared" si="122"/>
        <v/>
      </c>
      <c r="AK138" s="2"/>
      <c r="AL138" s="2"/>
      <c r="AM138" s="2"/>
      <c r="AN138" s="2"/>
      <c r="AO138" s="2"/>
      <c r="AP138" s="2"/>
      <c r="AQ138" s="2"/>
      <c r="AR138" s="2"/>
      <c r="AS138" s="2"/>
      <c r="AT138" s="2"/>
      <c r="AU138" s="2"/>
      <c r="AV138" s="2"/>
      <c r="AW138" s="2"/>
      <c r="AX138" s="2"/>
      <c r="AY138" s="2"/>
      <c r="AZ138" s="2"/>
      <c r="BA138" s="2"/>
      <c r="BB138" s="2"/>
      <c r="BC138" s="2"/>
      <c r="BG138" s="215" t="str">
        <f t="shared" si="94"/>
        <v/>
      </c>
      <c r="BH138" s="217" t="str">
        <f t="shared" si="95"/>
        <v/>
      </c>
      <c r="BI138" s="217" t="str">
        <f t="shared" si="96"/>
        <v/>
      </c>
      <c r="BJ138" s="215" t="str">
        <f t="shared" si="97"/>
        <v/>
      </c>
      <c r="BK138" s="217" t="str">
        <f t="shared" si="98"/>
        <v/>
      </c>
      <c r="BL138" s="217" t="str">
        <f t="shared" si="99"/>
        <v/>
      </c>
      <c r="BM138" s="215" t="str">
        <f t="shared" si="100"/>
        <v/>
      </c>
      <c r="BN138" s="217" t="str">
        <f t="shared" si="101"/>
        <v/>
      </c>
      <c r="BO138" s="217" t="str">
        <f t="shared" si="102"/>
        <v/>
      </c>
      <c r="BP138" s="215" t="str">
        <f t="shared" si="103"/>
        <v/>
      </c>
      <c r="BQ138" s="217" t="str">
        <f t="shared" si="104"/>
        <v/>
      </c>
      <c r="BR138" s="217" t="str">
        <f t="shared" si="105"/>
        <v/>
      </c>
      <c r="BS138" s="215" t="str">
        <f t="shared" si="106"/>
        <v/>
      </c>
      <c r="BT138" s="217" t="str">
        <f t="shared" si="107"/>
        <v/>
      </c>
      <c r="BU138" s="217" t="str">
        <f t="shared" si="108"/>
        <v/>
      </c>
      <c r="BV138" s="215" t="str">
        <f t="shared" si="109"/>
        <v/>
      </c>
      <c r="BW138" s="217" t="str">
        <f t="shared" si="110"/>
        <v/>
      </c>
      <c r="BX138" s="217" t="str">
        <f t="shared" si="111"/>
        <v/>
      </c>
      <c r="BY138" s="215" t="str">
        <f t="shared" si="112"/>
        <v/>
      </c>
      <c r="BZ138" s="217" t="str">
        <f t="shared" si="113"/>
        <v/>
      </c>
      <c r="CA138" s="217" t="str">
        <f t="shared" si="114"/>
        <v/>
      </c>
      <c r="CB138" s="215" t="str">
        <f t="shared" si="115"/>
        <v/>
      </c>
      <c r="CC138" s="217" t="str">
        <f t="shared" si="116"/>
        <v/>
      </c>
      <c r="CD138" s="217" t="str">
        <f t="shared" si="117"/>
        <v/>
      </c>
    </row>
    <row r="139" spans="1:82" x14ac:dyDescent="0.25">
      <c r="A139" s="48"/>
      <c r="B139" s="54"/>
      <c r="C139" s="54"/>
      <c r="D139" s="54"/>
      <c r="E139" s="54"/>
      <c r="F139" s="54"/>
      <c r="G139" s="54"/>
      <c r="H139" s="54"/>
      <c r="I139" s="54"/>
      <c r="J139" s="2"/>
      <c r="K139" s="2"/>
      <c r="L139" s="2"/>
      <c r="M139" s="2"/>
      <c r="N139" s="2"/>
      <c r="O139" s="2"/>
      <c r="P139" s="2"/>
      <c r="Q139" s="2"/>
      <c r="R139" s="2"/>
      <c r="S139" s="2"/>
      <c r="T139" s="2"/>
      <c r="U139" s="2"/>
      <c r="V139" s="2"/>
      <c r="W139" s="2"/>
      <c r="X139" s="2"/>
      <c r="Y139" s="259"/>
      <c r="Z139" s="2"/>
      <c r="AA139" s="264">
        <v>135</v>
      </c>
      <c r="AB139" s="16" t="str">
        <f t="shared" si="90"/>
        <v/>
      </c>
      <c r="AC139" s="16" t="str">
        <f t="shared" si="91"/>
        <v/>
      </c>
      <c r="AD139" s="16" t="str">
        <f t="shared" si="118"/>
        <v/>
      </c>
      <c r="AE139" s="16" t="str">
        <f t="shared" si="119"/>
        <v/>
      </c>
      <c r="AF139" s="16" t="str">
        <f t="shared" si="120"/>
        <v/>
      </c>
      <c r="AG139" s="16" t="str">
        <f t="shared" si="92"/>
        <v/>
      </c>
      <c r="AH139" s="16" t="str">
        <f t="shared" si="93"/>
        <v/>
      </c>
      <c r="AI139" s="29" t="str">
        <f t="shared" si="121"/>
        <v/>
      </c>
      <c r="AJ139" s="29" t="str">
        <f t="shared" si="122"/>
        <v/>
      </c>
      <c r="AK139" s="2"/>
      <c r="AL139" s="2"/>
      <c r="AM139" s="2"/>
      <c r="AN139" s="2"/>
      <c r="AO139" s="2"/>
      <c r="AP139" s="2"/>
      <c r="AQ139" s="2"/>
      <c r="AR139" s="2"/>
      <c r="AS139" s="2"/>
      <c r="AT139" s="2"/>
      <c r="AU139" s="2"/>
      <c r="AV139" s="2"/>
      <c r="AW139" s="2"/>
      <c r="AX139" s="2"/>
      <c r="AY139" s="2"/>
      <c r="AZ139" s="2"/>
      <c r="BA139" s="2"/>
      <c r="BB139" s="2"/>
      <c r="BC139" s="2"/>
      <c r="BG139" s="215" t="str">
        <f t="shared" si="94"/>
        <v/>
      </c>
      <c r="BH139" s="217" t="str">
        <f t="shared" si="95"/>
        <v/>
      </c>
      <c r="BI139" s="217" t="str">
        <f t="shared" si="96"/>
        <v/>
      </c>
      <c r="BJ139" s="215" t="str">
        <f t="shared" si="97"/>
        <v/>
      </c>
      <c r="BK139" s="217" t="str">
        <f t="shared" si="98"/>
        <v/>
      </c>
      <c r="BL139" s="217" t="str">
        <f t="shared" si="99"/>
        <v/>
      </c>
      <c r="BM139" s="215" t="str">
        <f t="shared" si="100"/>
        <v/>
      </c>
      <c r="BN139" s="217" t="str">
        <f t="shared" si="101"/>
        <v/>
      </c>
      <c r="BO139" s="217" t="str">
        <f t="shared" si="102"/>
        <v/>
      </c>
      <c r="BP139" s="215" t="str">
        <f t="shared" si="103"/>
        <v/>
      </c>
      <c r="BQ139" s="217" t="str">
        <f t="shared" si="104"/>
        <v/>
      </c>
      <c r="BR139" s="217" t="str">
        <f t="shared" si="105"/>
        <v/>
      </c>
      <c r="BS139" s="215" t="str">
        <f t="shared" si="106"/>
        <v/>
      </c>
      <c r="BT139" s="217" t="str">
        <f t="shared" si="107"/>
        <v/>
      </c>
      <c r="BU139" s="217" t="str">
        <f t="shared" si="108"/>
        <v/>
      </c>
      <c r="BV139" s="215" t="str">
        <f t="shared" si="109"/>
        <v/>
      </c>
      <c r="BW139" s="217" t="str">
        <f t="shared" si="110"/>
        <v/>
      </c>
      <c r="BX139" s="217" t="str">
        <f t="shared" si="111"/>
        <v/>
      </c>
      <c r="BY139" s="215" t="str">
        <f t="shared" si="112"/>
        <v/>
      </c>
      <c r="BZ139" s="217" t="str">
        <f t="shared" si="113"/>
        <v/>
      </c>
      <c r="CA139" s="217" t="str">
        <f t="shared" si="114"/>
        <v/>
      </c>
      <c r="CB139" s="215" t="str">
        <f t="shared" si="115"/>
        <v/>
      </c>
      <c r="CC139" s="217" t="str">
        <f t="shared" si="116"/>
        <v/>
      </c>
      <c r="CD139" s="217" t="str">
        <f t="shared" si="117"/>
        <v/>
      </c>
    </row>
    <row r="140" spans="1:82" x14ac:dyDescent="0.25">
      <c r="A140" s="48"/>
      <c r="B140" s="54"/>
      <c r="C140" s="54"/>
      <c r="D140" s="54"/>
      <c r="E140" s="54"/>
      <c r="F140" s="54"/>
      <c r="G140" s="54"/>
      <c r="H140" s="54"/>
      <c r="I140" s="54"/>
      <c r="J140" s="2"/>
      <c r="K140" s="2"/>
      <c r="L140" s="2"/>
      <c r="M140" s="2"/>
      <c r="N140" s="2"/>
      <c r="O140" s="2"/>
      <c r="P140" s="2"/>
      <c r="Q140" s="2"/>
      <c r="R140" s="2"/>
      <c r="S140" s="2"/>
      <c r="T140" s="2"/>
      <c r="U140" s="2"/>
      <c r="V140" s="2"/>
      <c r="W140" s="2"/>
      <c r="X140" s="2"/>
      <c r="Y140" s="259"/>
      <c r="Z140" s="2"/>
      <c r="AA140" s="264">
        <v>136</v>
      </c>
      <c r="AB140" s="16" t="str">
        <f t="shared" si="90"/>
        <v/>
      </c>
      <c r="AC140" s="16" t="str">
        <f t="shared" si="91"/>
        <v/>
      </c>
      <c r="AD140" s="16" t="str">
        <f t="shared" si="118"/>
        <v/>
      </c>
      <c r="AE140" s="16" t="str">
        <f t="shared" si="119"/>
        <v/>
      </c>
      <c r="AF140" s="16" t="str">
        <f t="shared" si="120"/>
        <v/>
      </c>
      <c r="AG140" s="16" t="str">
        <f t="shared" si="92"/>
        <v/>
      </c>
      <c r="AH140" s="16" t="str">
        <f t="shared" si="93"/>
        <v/>
      </c>
      <c r="AI140" s="29" t="str">
        <f t="shared" si="121"/>
        <v/>
      </c>
      <c r="AJ140" s="29" t="str">
        <f t="shared" si="122"/>
        <v/>
      </c>
      <c r="AK140" s="2"/>
      <c r="AL140" s="2"/>
      <c r="AM140" s="2"/>
      <c r="AN140" s="2"/>
      <c r="AO140" s="2"/>
      <c r="AP140" s="2"/>
      <c r="AQ140" s="2"/>
      <c r="AR140" s="2"/>
      <c r="AS140" s="2"/>
      <c r="AT140" s="2"/>
      <c r="AU140" s="2"/>
      <c r="AV140" s="2"/>
      <c r="AW140" s="2"/>
      <c r="AX140" s="2"/>
      <c r="AY140" s="2"/>
      <c r="AZ140" s="2"/>
      <c r="BA140" s="2"/>
      <c r="BB140" s="2"/>
      <c r="BC140" s="2"/>
      <c r="BG140" s="215" t="str">
        <f t="shared" si="94"/>
        <v/>
      </c>
      <c r="BH140" s="221" t="str">
        <f t="shared" si="95"/>
        <v/>
      </c>
      <c r="BI140" s="221" t="str">
        <f t="shared" si="96"/>
        <v/>
      </c>
      <c r="BJ140" s="215" t="str">
        <f t="shared" si="97"/>
        <v/>
      </c>
      <c r="BK140" s="221" t="str">
        <f t="shared" si="98"/>
        <v/>
      </c>
      <c r="BL140" s="221" t="str">
        <f t="shared" si="99"/>
        <v/>
      </c>
      <c r="BM140" s="215" t="str">
        <f t="shared" si="100"/>
        <v/>
      </c>
      <c r="BN140" s="221" t="str">
        <f t="shared" si="101"/>
        <v/>
      </c>
      <c r="BO140" s="221" t="str">
        <f t="shared" si="102"/>
        <v/>
      </c>
      <c r="BP140" s="215" t="str">
        <f t="shared" si="103"/>
        <v/>
      </c>
      <c r="BQ140" s="221" t="str">
        <f t="shared" si="104"/>
        <v/>
      </c>
      <c r="BR140" s="221" t="str">
        <f t="shared" si="105"/>
        <v/>
      </c>
      <c r="BS140" s="215" t="str">
        <f t="shared" si="106"/>
        <v/>
      </c>
      <c r="BT140" s="221" t="str">
        <f t="shared" si="107"/>
        <v/>
      </c>
      <c r="BU140" s="221" t="str">
        <f t="shared" si="108"/>
        <v/>
      </c>
      <c r="BV140" s="215" t="str">
        <f t="shared" si="109"/>
        <v/>
      </c>
      <c r="BW140" s="221" t="str">
        <f t="shared" si="110"/>
        <v/>
      </c>
      <c r="BX140" s="221" t="str">
        <f t="shared" si="111"/>
        <v/>
      </c>
      <c r="BY140" s="215" t="str">
        <f t="shared" si="112"/>
        <v/>
      </c>
      <c r="BZ140" s="221" t="str">
        <f t="shared" si="113"/>
        <v/>
      </c>
      <c r="CA140" s="221" t="str">
        <f t="shared" si="114"/>
        <v/>
      </c>
      <c r="CB140" s="215" t="str">
        <f t="shared" si="115"/>
        <v/>
      </c>
      <c r="CC140" s="221" t="str">
        <f t="shared" si="116"/>
        <v/>
      </c>
      <c r="CD140" s="221" t="str">
        <f t="shared" si="117"/>
        <v/>
      </c>
    </row>
    <row r="141" spans="1:82" x14ac:dyDescent="0.25">
      <c r="A141" s="48"/>
      <c r="B141" s="54"/>
      <c r="C141" s="54"/>
      <c r="D141" s="54"/>
      <c r="E141" s="54"/>
      <c r="F141" s="54"/>
      <c r="G141" s="54"/>
      <c r="H141" s="54"/>
      <c r="I141" s="54"/>
      <c r="J141" s="2"/>
      <c r="K141" s="2"/>
      <c r="L141" s="2"/>
      <c r="M141" s="2"/>
      <c r="N141" s="2"/>
      <c r="O141" s="2"/>
      <c r="P141" s="2"/>
      <c r="Q141" s="2"/>
      <c r="R141" s="2"/>
      <c r="S141" s="2"/>
      <c r="T141" s="2"/>
      <c r="U141" s="2"/>
      <c r="V141" s="2"/>
      <c r="W141" s="2"/>
      <c r="X141" s="2"/>
      <c r="Y141" s="259"/>
      <c r="Z141" s="2"/>
      <c r="AA141" s="264">
        <v>137</v>
      </c>
      <c r="AB141" s="16" t="str">
        <f t="shared" si="90"/>
        <v/>
      </c>
      <c r="AC141" s="16" t="str">
        <f t="shared" si="91"/>
        <v/>
      </c>
      <c r="AD141" s="16" t="str">
        <f t="shared" si="118"/>
        <v/>
      </c>
      <c r="AE141" s="16" t="str">
        <f t="shared" si="119"/>
        <v/>
      </c>
      <c r="AF141" s="16" t="str">
        <f t="shared" si="120"/>
        <v/>
      </c>
      <c r="AG141" s="16" t="str">
        <f t="shared" si="92"/>
        <v/>
      </c>
      <c r="AH141" s="16" t="str">
        <f t="shared" si="93"/>
        <v/>
      </c>
      <c r="AI141" s="29" t="str">
        <f t="shared" si="121"/>
        <v/>
      </c>
      <c r="AJ141" s="29" t="str">
        <f t="shared" si="122"/>
        <v/>
      </c>
      <c r="AK141" s="2"/>
      <c r="AL141" s="2"/>
      <c r="AM141" s="2"/>
      <c r="AN141" s="2"/>
      <c r="AO141" s="2"/>
      <c r="AP141" s="2"/>
      <c r="AQ141" s="2"/>
      <c r="AR141" s="2"/>
      <c r="AS141" s="2"/>
      <c r="AT141" s="2"/>
      <c r="AU141" s="2"/>
      <c r="AV141" s="2"/>
      <c r="AW141" s="2"/>
      <c r="AX141" s="2"/>
      <c r="AY141" s="2"/>
      <c r="AZ141" s="2"/>
      <c r="BA141" s="2"/>
      <c r="BB141" s="2"/>
      <c r="BC141" s="2"/>
      <c r="BG141" s="215" t="str">
        <f t="shared" si="94"/>
        <v/>
      </c>
      <c r="BH141" s="222" t="str">
        <f t="shared" si="95"/>
        <v/>
      </c>
      <c r="BI141" s="230" t="str">
        <f t="shared" si="96"/>
        <v/>
      </c>
      <c r="BJ141" s="215" t="str">
        <f t="shared" si="97"/>
        <v/>
      </c>
      <c r="BK141" s="222" t="str">
        <f t="shared" si="98"/>
        <v/>
      </c>
      <c r="BL141" s="230" t="str">
        <f t="shared" si="99"/>
        <v/>
      </c>
      <c r="BM141" s="215" t="str">
        <f t="shared" si="100"/>
        <v/>
      </c>
      <c r="BN141" s="222" t="str">
        <f t="shared" si="101"/>
        <v/>
      </c>
      <c r="BO141" s="230" t="str">
        <f t="shared" si="102"/>
        <v/>
      </c>
      <c r="BP141" s="215" t="str">
        <f t="shared" si="103"/>
        <v/>
      </c>
      <c r="BQ141" s="222" t="str">
        <f t="shared" si="104"/>
        <v/>
      </c>
      <c r="BR141" s="230" t="str">
        <f t="shared" si="105"/>
        <v/>
      </c>
      <c r="BS141" s="215" t="str">
        <f t="shared" si="106"/>
        <v/>
      </c>
      <c r="BT141" s="222" t="str">
        <f t="shared" si="107"/>
        <v/>
      </c>
      <c r="BU141" s="230" t="str">
        <f t="shared" si="108"/>
        <v/>
      </c>
      <c r="BV141" s="215" t="str">
        <f t="shared" si="109"/>
        <v/>
      </c>
      <c r="BW141" s="222" t="str">
        <f t="shared" si="110"/>
        <v/>
      </c>
      <c r="BX141" s="222" t="str">
        <f t="shared" si="111"/>
        <v/>
      </c>
      <c r="BY141" s="215" t="str">
        <f t="shared" si="112"/>
        <v/>
      </c>
      <c r="BZ141" s="222" t="str">
        <f t="shared" si="113"/>
        <v/>
      </c>
      <c r="CA141" s="222" t="str">
        <f t="shared" si="114"/>
        <v/>
      </c>
      <c r="CB141" s="215" t="str">
        <f t="shared" si="115"/>
        <v/>
      </c>
      <c r="CC141" s="222" t="str">
        <f t="shared" si="116"/>
        <v/>
      </c>
      <c r="CD141" s="222" t="str">
        <f t="shared" si="117"/>
        <v/>
      </c>
    </row>
    <row r="142" spans="1:82" x14ac:dyDescent="0.25">
      <c r="A142" s="48"/>
      <c r="B142" s="54"/>
      <c r="C142" s="54"/>
      <c r="D142" s="54"/>
      <c r="E142" s="54"/>
      <c r="F142" s="54"/>
      <c r="G142" s="54"/>
      <c r="H142" s="54"/>
      <c r="I142" s="54"/>
      <c r="J142" s="2"/>
      <c r="K142" s="2"/>
      <c r="L142" s="2"/>
      <c r="M142" s="2"/>
      <c r="N142" s="2"/>
      <c r="O142" s="2"/>
      <c r="P142" s="2"/>
      <c r="Q142" s="2"/>
      <c r="R142" s="2"/>
      <c r="S142" s="2"/>
      <c r="T142" s="2"/>
      <c r="U142" s="2"/>
      <c r="V142" s="2"/>
      <c r="W142" s="2"/>
      <c r="X142" s="2"/>
      <c r="Y142" s="259"/>
      <c r="Z142" s="2"/>
      <c r="AA142" s="264">
        <v>138</v>
      </c>
      <c r="AB142" s="16" t="str">
        <f t="shared" si="90"/>
        <v/>
      </c>
      <c r="AC142" s="16" t="str">
        <f t="shared" si="91"/>
        <v/>
      </c>
      <c r="AD142" s="16" t="str">
        <f t="shared" si="118"/>
        <v/>
      </c>
      <c r="AE142" s="16" t="str">
        <f t="shared" si="119"/>
        <v/>
      </c>
      <c r="AF142" s="16" t="str">
        <f t="shared" si="120"/>
        <v/>
      </c>
      <c r="AG142" s="16" t="str">
        <f t="shared" si="92"/>
        <v/>
      </c>
      <c r="AH142" s="16" t="str">
        <f t="shared" si="93"/>
        <v/>
      </c>
      <c r="AI142" s="29" t="str">
        <f t="shared" si="121"/>
        <v/>
      </c>
      <c r="AJ142" s="29" t="str">
        <f t="shared" si="122"/>
        <v/>
      </c>
      <c r="AK142" s="2"/>
      <c r="AL142" s="2"/>
      <c r="AM142" s="2"/>
      <c r="AN142" s="2"/>
      <c r="AO142" s="2"/>
      <c r="AP142" s="2"/>
      <c r="AQ142" s="2"/>
      <c r="AR142" s="2"/>
      <c r="AS142" s="2"/>
      <c r="AT142" s="2"/>
      <c r="AU142" s="2"/>
      <c r="AV142" s="2"/>
      <c r="AW142" s="2"/>
      <c r="AX142" s="2"/>
      <c r="AY142" s="2"/>
      <c r="AZ142" s="2"/>
      <c r="BA142" s="2"/>
      <c r="BB142" s="2"/>
      <c r="BC142" s="2"/>
    </row>
    <row r="143" spans="1:82" x14ac:dyDescent="0.25">
      <c r="A143" s="48"/>
      <c r="B143" s="54"/>
      <c r="C143" s="54"/>
      <c r="D143" s="54"/>
      <c r="E143" s="54"/>
      <c r="F143" s="54"/>
      <c r="G143" s="54"/>
      <c r="H143" s="54"/>
      <c r="I143" s="54"/>
      <c r="J143" s="2"/>
      <c r="K143" s="2"/>
      <c r="L143" s="2"/>
      <c r="M143" s="2"/>
      <c r="N143" s="2"/>
      <c r="O143" s="2"/>
      <c r="P143" s="2"/>
      <c r="Q143" s="2"/>
      <c r="R143" s="2"/>
      <c r="S143" s="2"/>
      <c r="T143" s="2"/>
      <c r="U143" s="2"/>
      <c r="V143" s="2"/>
      <c r="W143" s="2"/>
      <c r="X143" s="2"/>
      <c r="Y143" s="259"/>
      <c r="Z143" s="2"/>
      <c r="AA143" s="264">
        <v>139</v>
      </c>
      <c r="AB143" s="16" t="str">
        <f t="shared" si="90"/>
        <v/>
      </c>
      <c r="AC143" s="16" t="str">
        <f t="shared" si="91"/>
        <v/>
      </c>
      <c r="AD143" s="16" t="str">
        <f t="shared" si="118"/>
        <v/>
      </c>
      <c r="AE143" s="16" t="str">
        <f t="shared" si="119"/>
        <v/>
      </c>
      <c r="AF143" s="16" t="str">
        <f t="shared" si="120"/>
        <v/>
      </c>
      <c r="AG143" s="16" t="str">
        <f t="shared" si="92"/>
        <v/>
      </c>
      <c r="AH143" s="16" t="str">
        <f t="shared" si="93"/>
        <v/>
      </c>
      <c r="AI143" s="29" t="str">
        <f t="shared" si="121"/>
        <v/>
      </c>
      <c r="AJ143" s="29" t="str">
        <f t="shared" si="122"/>
        <v/>
      </c>
      <c r="AK143" s="2"/>
      <c r="AL143" s="2"/>
      <c r="AM143" s="2"/>
      <c r="AN143" s="2"/>
      <c r="AO143" s="2"/>
      <c r="AP143" s="2"/>
      <c r="AQ143" s="2"/>
      <c r="AR143" s="2"/>
      <c r="AS143" s="2"/>
      <c r="AT143" s="2"/>
      <c r="AU143" s="2"/>
      <c r="AV143" s="2"/>
      <c r="AW143" s="2"/>
      <c r="AX143" s="2"/>
      <c r="AY143" s="2"/>
      <c r="AZ143" s="2"/>
      <c r="BA143" s="2"/>
      <c r="BB143" s="2"/>
      <c r="BC143" s="2"/>
    </row>
    <row r="144" spans="1:82" x14ac:dyDescent="0.25">
      <c r="A144" s="48"/>
      <c r="B144" s="54"/>
      <c r="C144" s="54"/>
      <c r="D144" s="54"/>
      <c r="E144" s="54"/>
      <c r="F144" s="54"/>
      <c r="G144" s="54"/>
      <c r="H144" s="54"/>
      <c r="I144" s="54"/>
      <c r="J144" s="2"/>
      <c r="K144" s="2"/>
      <c r="L144" s="2"/>
      <c r="M144" s="2"/>
      <c r="N144" s="2"/>
      <c r="O144" s="2"/>
      <c r="P144" s="2"/>
      <c r="Q144" s="2"/>
      <c r="R144" s="2"/>
      <c r="S144" s="2"/>
      <c r="T144" s="2"/>
      <c r="U144" s="2"/>
      <c r="V144" s="2"/>
      <c r="W144" s="2"/>
      <c r="X144" s="2"/>
      <c r="Y144" s="259"/>
      <c r="Z144" s="2"/>
      <c r="AA144" s="264">
        <v>140</v>
      </c>
      <c r="AB144" s="16" t="str">
        <f t="shared" si="90"/>
        <v/>
      </c>
      <c r="AC144" s="16" t="str">
        <f t="shared" si="91"/>
        <v/>
      </c>
      <c r="AD144" s="16" t="str">
        <f t="shared" si="118"/>
        <v/>
      </c>
      <c r="AE144" s="16" t="str">
        <f t="shared" si="119"/>
        <v/>
      </c>
      <c r="AF144" s="16" t="str">
        <f t="shared" si="120"/>
        <v/>
      </c>
      <c r="AG144" s="16" t="str">
        <f t="shared" si="92"/>
        <v/>
      </c>
      <c r="AH144" s="16" t="str">
        <f t="shared" si="93"/>
        <v/>
      </c>
      <c r="AI144" s="29" t="str">
        <f t="shared" si="121"/>
        <v/>
      </c>
      <c r="AJ144" s="29" t="str">
        <f t="shared" si="122"/>
        <v/>
      </c>
      <c r="AK144" s="2"/>
      <c r="AL144" s="2"/>
      <c r="AM144" s="2"/>
      <c r="AN144" s="2"/>
      <c r="AO144" s="2"/>
      <c r="AP144" s="2"/>
      <c r="AQ144" s="2"/>
      <c r="AR144" s="2"/>
      <c r="AS144" s="2"/>
      <c r="AT144" s="2"/>
      <c r="AU144" s="2"/>
      <c r="AV144" s="2"/>
      <c r="AW144" s="2"/>
      <c r="AX144" s="2"/>
      <c r="AY144" s="2"/>
      <c r="AZ144" s="2"/>
      <c r="BA144" s="2"/>
      <c r="BB144" s="2"/>
      <c r="BC144" s="2"/>
    </row>
    <row r="145" spans="1:55" x14ac:dyDescent="0.25">
      <c r="A145" s="48"/>
      <c r="B145" s="54"/>
      <c r="C145" s="54"/>
      <c r="D145" s="54"/>
      <c r="E145" s="54"/>
      <c r="F145" s="54"/>
      <c r="G145" s="54"/>
      <c r="H145" s="54"/>
      <c r="I145" s="54"/>
      <c r="J145" s="2"/>
      <c r="K145" s="2"/>
      <c r="L145" s="2"/>
      <c r="M145" s="2"/>
      <c r="N145" s="2"/>
      <c r="O145" s="2"/>
      <c r="P145" s="2"/>
      <c r="Q145" s="2"/>
      <c r="R145" s="2"/>
      <c r="S145" s="2"/>
      <c r="T145" s="2"/>
      <c r="U145" s="2"/>
      <c r="V145" s="2"/>
      <c r="W145" s="2"/>
      <c r="X145" s="2"/>
      <c r="Y145" s="259"/>
      <c r="Z145" s="2"/>
      <c r="AA145" s="264">
        <v>141</v>
      </c>
      <c r="AB145" s="16" t="str">
        <f t="shared" si="90"/>
        <v/>
      </c>
      <c r="AC145" s="16" t="str">
        <f t="shared" si="91"/>
        <v/>
      </c>
      <c r="AD145" s="16" t="str">
        <f t="shared" si="118"/>
        <v/>
      </c>
      <c r="AE145" s="16" t="str">
        <f t="shared" si="119"/>
        <v/>
      </c>
      <c r="AF145" s="16" t="str">
        <f t="shared" si="120"/>
        <v/>
      </c>
      <c r="AG145" s="16" t="str">
        <f t="shared" si="92"/>
        <v/>
      </c>
      <c r="AH145" s="16" t="str">
        <f t="shared" si="93"/>
        <v/>
      </c>
      <c r="AI145" s="29" t="str">
        <f t="shared" si="121"/>
        <v/>
      </c>
      <c r="AJ145" s="29" t="str">
        <f t="shared" si="122"/>
        <v/>
      </c>
      <c r="AK145" s="2"/>
      <c r="AL145" s="2"/>
      <c r="AM145" s="2"/>
      <c r="AN145" s="2"/>
      <c r="AO145" s="2"/>
      <c r="AP145" s="2"/>
      <c r="AQ145" s="2"/>
      <c r="AR145" s="2"/>
      <c r="AS145" s="2"/>
      <c r="AT145" s="2"/>
      <c r="AU145" s="2"/>
      <c r="AV145" s="2"/>
      <c r="AW145" s="2"/>
      <c r="AX145" s="2"/>
      <c r="AY145" s="2"/>
      <c r="AZ145" s="2"/>
      <c r="BA145" s="2"/>
      <c r="BB145" s="2"/>
      <c r="BC145" s="2"/>
    </row>
    <row r="146" spans="1:55" x14ac:dyDescent="0.25">
      <c r="A146" s="48"/>
      <c r="B146" s="54"/>
      <c r="C146" s="54"/>
      <c r="D146" s="54"/>
      <c r="E146" s="54"/>
      <c r="F146" s="54"/>
      <c r="G146" s="54"/>
      <c r="H146" s="54"/>
      <c r="I146" s="54"/>
      <c r="J146" s="2"/>
      <c r="K146" s="2"/>
      <c r="L146" s="2"/>
      <c r="M146" s="2"/>
      <c r="N146" s="2"/>
      <c r="O146" s="2"/>
      <c r="P146" s="2"/>
      <c r="Q146" s="2"/>
      <c r="R146" s="2"/>
      <c r="S146" s="2"/>
      <c r="T146" s="2"/>
      <c r="U146" s="2"/>
      <c r="V146" s="2"/>
      <c r="W146" s="2"/>
      <c r="X146" s="2"/>
      <c r="Y146" s="259"/>
      <c r="Z146" s="2"/>
      <c r="AA146" s="264">
        <v>142</v>
      </c>
      <c r="AB146" s="16" t="str">
        <f t="shared" si="90"/>
        <v/>
      </c>
      <c r="AC146" s="16" t="str">
        <f t="shared" si="91"/>
        <v/>
      </c>
      <c r="AD146" s="16" t="str">
        <f t="shared" si="118"/>
        <v/>
      </c>
      <c r="AE146" s="16" t="str">
        <f t="shared" si="119"/>
        <v/>
      </c>
      <c r="AF146" s="16" t="str">
        <f t="shared" si="120"/>
        <v/>
      </c>
      <c r="AG146" s="16" t="str">
        <f t="shared" si="92"/>
        <v/>
      </c>
      <c r="AH146" s="16" t="str">
        <f t="shared" si="93"/>
        <v/>
      </c>
      <c r="AI146" s="29" t="str">
        <f t="shared" si="121"/>
        <v/>
      </c>
      <c r="AJ146" s="29" t="str">
        <f t="shared" si="122"/>
        <v/>
      </c>
      <c r="AK146" s="2"/>
      <c r="AL146" s="2"/>
      <c r="AM146" s="2"/>
      <c r="AN146" s="2"/>
      <c r="AO146" s="2"/>
      <c r="AP146" s="2"/>
      <c r="AQ146" s="2"/>
      <c r="AR146" s="2"/>
      <c r="AS146" s="2"/>
      <c r="AT146" s="2"/>
      <c r="AU146" s="2"/>
      <c r="AV146" s="2"/>
      <c r="AW146" s="2"/>
      <c r="AX146" s="2"/>
      <c r="AY146" s="2"/>
      <c r="AZ146" s="2"/>
      <c r="BA146" s="2"/>
      <c r="BB146" s="2"/>
      <c r="BC146" s="2"/>
    </row>
    <row r="147" spans="1:55" x14ac:dyDescent="0.25">
      <c r="A147" s="48"/>
      <c r="B147" s="54"/>
      <c r="C147" s="54"/>
      <c r="D147" s="54"/>
      <c r="E147" s="54"/>
      <c r="F147" s="54"/>
      <c r="G147" s="54"/>
      <c r="H147" s="54"/>
      <c r="I147" s="54"/>
      <c r="J147" s="2"/>
      <c r="K147" s="2"/>
      <c r="L147" s="2"/>
      <c r="M147" s="2"/>
      <c r="N147" s="2"/>
      <c r="O147" s="2"/>
      <c r="P147" s="2"/>
      <c r="Q147" s="2"/>
      <c r="R147" s="2"/>
      <c r="S147" s="2"/>
      <c r="T147" s="2"/>
      <c r="U147" s="2"/>
      <c r="V147" s="2"/>
      <c r="W147" s="2"/>
      <c r="X147" s="2"/>
      <c r="Y147" s="259"/>
      <c r="Z147" s="2"/>
      <c r="AA147" s="264">
        <v>143</v>
      </c>
      <c r="AB147" s="16" t="str">
        <f t="shared" si="90"/>
        <v/>
      </c>
      <c r="AC147" s="16" t="str">
        <f t="shared" si="91"/>
        <v/>
      </c>
      <c r="AD147" s="16" t="str">
        <f t="shared" si="118"/>
        <v/>
      </c>
      <c r="AE147" s="16" t="str">
        <f t="shared" si="119"/>
        <v/>
      </c>
      <c r="AF147" s="16" t="str">
        <f t="shared" si="120"/>
        <v/>
      </c>
      <c r="AG147" s="16" t="str">
        <f t="shared" si="92"/>
        <v/>
      </c>
      <c r="AH147" s="16" t="str">
        <f t="shared" si="93"/>
        <v/>
      </c>
      <c r="AI147" s="29" t="str">
        <f t="shared" si="121"/>
        <v/>
      </c>
      <c r="AJ147" s="29" t="str">
        <f t="shared" si="122"/>
        <v/>
      </c>
      <c r="AK147" s="2"/>
      <c r="AL147" s="2"/>
      <c r="AM147" s="2"/>
      <c r="AN147" s="2"/>
      <c r="AO147" s="2"/>
      <c r="AP147" s="2"/>
      <c r="AQ147" s="2"/>
      <c r="AR147" s="2"/>
      <c r="AS147" s="2"/>
      <c r="AT147" s="2"/>
      <c r="AU147" s="2"/>
      <c r="AV147" s="2"/>
      <c r="AW147" s="2"/>
      <c r="AX147" s="2"/>
      <c r="AY147" s="2"/>
      <c r="AZ147" s="2"/>
      <c r="BA147" s="2"/>
      <c r="BB147" s="2"/>
      <c r="BC147" s="2"/>
    </row>
    <row r="148" spans="1:55" x14ac:dyDescent="0.25">
      <c r="A148" s="48"/>
      <c r="B148" s="54"/>
      <c r="C148" s="54"/>
      <c r="D148" s="54"/>
      <c r="E148" s="54"/>
      <c r="F148" s="54"/>
      <c r="G148" s="54"/>
      <c r="H148" s="54"/>
      <c r="I148" s="54"/>
      <c r="J148" s="2"/>
      <c r="K148" s="2"/>
      <c r="L148" s="2"/>
      <c r="M148" s="2"/>
      <c r="N148" s="2"/>
      <c r="O148" s="2"/>
      <c r="P148" s="2"/>
      <c r="Q148" s="2"/>
      <c r="R148" s="2"/>
      <c r="S148" s="2"/>
      <c r="T148" s="2"/>
      <c r="U148" s="2"/>
      <c r="V148" s="2"/>
      <c r="W148" s="2"/>
      <c r="X148" s="2"/>
      <c r="Y148" s="259"/>
      <c r="Z148" s="2"/>
      <c r="AA148" s="264">
        <v>144</v>
      </c>
      <c r="AB148" s="16" t="str">
        <f t="shared" si="90"/>
        <v/>
      </c>
      <c r="AC148" s="16" t="str">
        <f t="shared" si="91"/>
        <v/>
      </c>
      <c r="AD148" s="16" t="str">
        <f t="shared" si="118"/>
        <v/>
      </c>
      <c r="AE148" s="16" t="str">
        <f t="shared" si="119"/>
        <v/>
      </c>
      <c r="AF148" s="16" t="str">
        <f t="shared" si="120"/>
        <v/>
      </c>
      <c r="AG148" s="16" t="str">
        <f t="shared" si="92"/>
        <v/>
      </c>
      <c r="AH148" s="16" t="str">
        <f t="shared" si="93"/>
        <v/>
      </c>
      <c r="AI148" s="29" t="str">
        <f t="shared" si="121"/>
        <v/>
      </c>
      <c r="AJ148" s="29" t="str">
        <f t="shared" si="122"/>
        <v/>
      </c>
      <c r="AK148" s="2"/>
      <c r="AL148" s="2"/>
      <c r="AM148" s="2"/>
      <c r="AN148" s="2"/>
      <c r="AO148" s="2"/>
      <c r="AP148" s="2"/>
      <c r="AQ148" s="2"/>
      <c r="AR148" s="2"/>
      <c r="AS148" s="2"/>
      <c r="AT148" s="2"/>
      <c r="AU148" s="2"/>
      <c r="AV148" s="2"/>
      <c r="AW148" s="2"/>
      <c r="AX148" s="2"/>
      <c r="AY148" s="2"/>
      <c r="AZ148" s="2"/>
      <c r="BA148" s="2"/>
      <c r="BB148" s="2"/>
      <c r="BC148" s="2"/>
    </row>
    <row r="149" spans="1:55" x14ac:dyDescent="0.25">
      <c r="A149" s="48"/>
      <c r="B149" s="54"/>
      <c r="C149" s="54"/>
      <c r="D149" s="54"/>
      <c r="E149" s="54"/>
      <c r="F149" s="54"/>
      <c r="G149" s="54"/>
      <c r="H149" s="54"/>
      <c r="I149" s="54"/>
      <c r="J149" s="2"/>
      <c r="K149" s="2"/>
      <c r="L149" s="2"/>
      <c r="M149" s="2"/>
      <c r="N149" s="2"/>
      <c r="O149" s="2"/>
      <c r="P149" s="2"/>
      <c r="Q149" s="2"/>
      <c r="R149" s="2"/>
      <c r="S149" s="2"/>
      <c r="T149" s="2"/>
      <c r="U149" s="2"/>
      <c r="V149" s="2"/>
      <c r="W149" s="2"/>
      <c r="X149" s="2"/>
      <c r="Y149" s="259"/>
      <c r="Z149" s="2"/>
      <c r="AA149" s="264">
        <v>145</v>
      </c>
      <c r="AB149" s="16" t="str">
        <f t="shared" si="90"/>
        <v/>
      </c>
      <c r="AC149" s="16" t="str">
        <f t="shared" si="91"/>
        <v/>
      </c>
      <c r="AD149" s="16" t="str">
        <f t="shared" si="118"/>
        <v/>
      </c>
      <c r="AE149" s="16" t="str">
        <f t="shared" si="119"/>
        <v/>
      </c>
      <c r="AF149" s="16" t="str">
        <f t="shared" si="120"/>
        <v/>
      </c>
      <c r="AG149" s="16" t="str">
        <f t="shared" si="92"/>
        <v/>
      </c>
      <c r="AH149" s="16" t="str">
        <f t="shared" si="93"/>
        <v/>
      </c>
      <c r="AI149" s="29" t="str">
        <f t="shared" si="121"/>
        <v/>
      </c>
      <c r="AJ149" s="29" t="str">
        <f t="shared" si="122"/>
        <v/>
      </c>
      <c r="AK149" s="2"/>
      <c r="AL149" s="2"/>
      <c r="AM149" s="2"/>
      <c r="AN149" s="2"/>
      <c r="AO149" s="2"/>
      <c r="AP149" s="2"/>
      <c r="AQ149" s="2"/>
      <c r="AR149" s="2"/>
      <c r="AS149" s="2"/>
      <c r="AT149" s="2"/>
      <c r="AU149" s="2"/>
      <c r="AV149" s="2"/>
      <c r="AW149" s="2"/>
      <c r="AX149" s="2"/>
      <c r="AY149" s="2"/>
      <c r="AZ149" s="2"/>
      <c r="BA149" s="2"/>
      <c r="BB149" s="2"/>
      <c r="BC149" s="2"/>
    </row>
    <row r="150" spans="1:55" x14ac:dyDescent="0.25">
      <c r="A150" s="48"/>
      <c r="B150" s="54"/>
      <c r="C150" s="54"/>
      <c r="D150" s="54"/>
      <c r="E150" s="54"/>
      <c r="F150" s="54"/>
      <c r="G150" s="54"/>
      <c r="H150" s="54"/>
      <c r="I150" s="54"/>
      <c r="J150" s="2"/>
      <c r="K150" s="2"/>
      <c r="L150" s="2"/>
      <c r="M150" s="2"/>
      <c r="N150" s="2"/>
      <c r="O150" s="2"/>
      <c r="P150" s="2"/>
      <c r="Q150" s="2"/>
      <c r="R150" s="2"/>
      <c r="S150" s="2"/>
      <c r="T150" s="2"/>
      <c r="U150" s="2"/>
      <c r="V150" s="2"/>
      <c r="W150" s="2"/>
      <c r="X150" s="2"/>
      <c r="Y150" s="259"/>
      <c r="Z150" s="2"/>
      <c r="AA150" s="264">
        <v>146</v>
      </c>
      <c r="AB150" s="16" t="str">
        <f t="shared" si="90"/>
        <v/>
      </c>
      <c r="AC150" s="16" t="str">
        <f t="shared" si="91"/>
        <v/>
      </c>
      <c r="AD150" s="16" t="str">
        <f t="shared" si="118"/>
        <v/>
      </c>
      <c r="AE150" s="16" t="str">
        <f t="shared" si="119"/>
        <v/>
      </c>
      <c r="AF150" s="16" t="str">
        <f t="shared" si="120"/>
        <v/>
      </c>
      <c r="AG150" s="16" t="str">
        <f t="shared" si="92"/>
        <v/>
      </c>
      <c r="AH150" s="16" t="str">
        <f t="shared" si="93"/>
        <v/>
      </c>
      <c r="AI150" s="29" t="str">
        <f t="shared" si="121"/>
        <v/>
      </c>
      <c r="AJ150" s="29" t="str">
        <f t="shared" si="122"/>
        <v/>
      </c>
      <c r="AK150" s="2"/>
      <c r="AL150" s="2"/>
      <c r="AM150" s="2"/>
      <c r="AN150" s="2"/>
      <c r="AO150" s="2"/>
      <c r="AP150" s="2"/>
      <c r="AQ150" s="2"/>
      <c r="AR150" s="2"/>
      <c r="AS150" s="2"/>
      <c r="AT150" s="2"/>
      <c r="AU150" s="2"/>
      <c r="AV150" s="2"/>
      <c r="AW150" s="2"/>
      <c r="AX150" s="2"/>
      <c r="AY150" s="2"/>
      <c r="AZ150" s="2"/>
      <c r="BA150" s="2"/>
      <c r="BB150" s="2"/>
      <c r="BC150" s="2"/>
    </row>
    <row r="151" spans="1:55" x14ac:dyDescent="0.25">
      <c r="A151" s="48"/>
      <c r="B151" s="54"/>
      <c r="C151" s="54"/>
      <c r="D151" s="54"/>
      <c r="E151" s="54"/>
      <c r="F151" s="54"/>
      <c r="G151" s="54"/>
      <c r="H151" s="54"/>
      <c r="I151" s="54"/>
      <c r="J151" s="2"/>
      <c r="K151" s="2"/>
      <c r="L151" s="2"/>
      <c r="M151" s="2"/>
      <c r="N151" s="2"/>
      <c r="O151" s="2"/>
      <c r="P151" s="2"/>
      <c r="Q151" s="2"/>
      <c r="R151" s="2"/>
      <c r="S151" s="2"/>
      <c r="T151" s="2"/>
      <c r="U151" s="2"/>
      <c r="V151" s="2"/>
      <c r="W151" s="2"/>
      <c r="X151" s="2"/>
      <c r="Y151" s="259"/>
      <c r="Z151" s="2"/>
      <c r="AA151" s="264">
        <v>147</v>
      </c>
      <c r="AB151" s="16" t="str">
        <f t="shared" si="90"/>
        <v/>
      </c>
      <c r="AC151" s="16" t="str">
        <f t="shared" si="91"/>
        <v/>
      </c>
      <c r="AD151" s="16" t="str">
        <f t="shared" si="118"/>
        <v/>
      </c>
      <c r="AE151" s="16" t="str">
        <f t="shared" si="119"/>
        <v/>
      </c>
      <c r="AF151" s="16" t="str">
        <f t="shared" si="120"/>
        <v/>
      </c>
      <c r="AG151" s="16" t="str">
        <f t="shared" si="92"/>
        <v/>
      </c>
      <c r="AH151" s="16" t="str">
        <f t="shared" si="93"/>
        <v/>
      </c>
      <c r="AI151" s="29" t="str">
        <f t="shared" si="121"/>
        <v/>
      </c>
      <c r="AJ151" s="29" t="str">
        <f t="shared" si="122"/>
        <v/>
      </c>
      <c r="AK151" s="2"/>
      <c r="AL151" s="2"/>
      <c r="AM151" s="2"/>
      <c r="AN151" s="2"/>
      <c r="AO151" s="2"/>
      <c r="AP151" s="2"/>
      <c r="AQ151" s="2"/>
      <c r="AR151" s="2"/>
      <c r="AS151" s="2"/>
      <c r="AT151" s="2"/>
      <c r="AU151" s="2"/>
      <c r="AV151" s="2"/>
      <c r="AW151" s="2"/>
      <c r="AX151" s="2"/>
      <c r="AY151" s="2"/>
      <c r="AZ151" s="2"/>
      <c r="BA151" s="2"/>
      <c r="BB151" s="2"/>
      <c r="BC151" s="2"/>
    </row>
    <row r="152" spans="1:55" x14ac:dyDescent="0.25">
      <c r="A152" s="48"/>
      <c r="B152" s="54"/>
      <c r="C152" s="54"/>
      <c r="D152" s="54"/>
      <c r="E152" s="54"/>
      <c r="F152" s="54"/>
      <c r="G152" s="54"/>
      <c r="H152" s="54"/>
      <c r="I152" s="54"/>
      <c r="J152" s="2"/>
      <c r="K152" s="2"/>
      <c r="L152" s="2"/>
      <c r="M152" s="2"/>
      <c r="N152" s="2"/>
      <c r="O152" s="2"/>
      <c r="P152" s="2"/>
      <c r="Q152" s="2"/>
      <c r="R152" s="2"/>
      <c r="S152" s="2"/>
      <c r="T152" s="2"/>
      <c r="U152" s="2"/>
      <c r="V152" s="2"/>
      <c r="W152" s="2"/>
      <c r="X152" s="2"/>
      <c r="Y152" s="259"/>
      <c r="Z152" s="2"/>
      <c r="AA152" s="264">
        <v>148</v>
      </c>
      <c r="AB152" s="16" t="str">
        <f t="shared" si="90"/>
        <v/>
      </c>
      <c r="AC152" s="16" t="str">
        <f t="shared" si="91"/>
        <v/>
      </c>
      <c r="AD152" s="16" t="str">
        <f t="shared" si="118"/>
        <v/>
      </c>
      <c r="AE152" s="16" t="str">
        <f t="shared" si="119"/>
        <v/>
      </c>
      <c r="AF152" s="16" t="str">
        <f t="shared" si="120"/>
        <v/>
      </c>
      <c r="AG152" s="16" t="str">
        <f t="shared" si="92"/>
        <v/>
      </c>
      <c r="AH152" s="16" t="str">
        <f t="shared" si="93"/>
        <v/>
      </c>
      <c r="AI152" s="29" t="str">
        <f t="shared" si="121"/>
        <v/>
      </c>
      <c r="AJ152" s="29" t="str">
        <f t="shared" si="122"/>
        <v/>
      </c>
      <c r="AK152" s="2"/>
      <c r="AL152" s="2"/>
      <c r="AM152" s="2"/>
      <c r="AN152" s="2"/>
      <c r="AO152" s="2"/>
      <c r="AP152" s="2"/>
      <c r="AQ152" s="2"/>
      <c r="AR152" s="2"/>
      <c r="AS152" s="2"/>
      <c r="AT152" s="2"/>
      <c r="AU152" s="2"/>
      <c r="AV152" s="2"/>
      <c r="AW152" s="2"/>
      <c r="AX152" s="2"/>
      <c r="AY152" s="2"/>
      <c r="AZ152" s="2"/>
      <c r="BA152" s="2"/>
      <c r="BB152" s="2"/>
      <c r="BC152" s="2"/>
    </row>
    <row r="153" spans="1:55" x14ac:dyDescent="0.25">
      <c r="A153" s="48"/>
      <c r="B153" s="54"/>
      <c r="C153" s="54"/>
      <c r="D153" s="54"/>
      <c r="E153" s="54"/>
      <c r="F153" s="54"/>
      <c r="G153" s="54"/>
      <c r="H153" s="54"/>
      <c r="I153" s="54"/>
      <c r="J153" s="2"/>
      <c r="K153" s="2"/>
      <c r="L153" s="2"/>
      <c r="M153" s="2"/>
      <c r="N153" s="2"/>
      <c r="O153" s="2"/>
      <c r="P153" s="2"/>
      <c r="Q153" s="2"/>
      <c r="R153" s="2"/>
      <c r="S153" s="2"/>
      <c r="T153" s="2"/>
      <c r="U153" s="2"/>
      <c r="V153" s="2"/>
      <c r="W153" s="2"/>
      <c r="X153" s="2"/>
      <c r="Y153" s="259"/>
      <c r="Z153" s="2"/>
      <c r="AA153" s="264">
        <v>149</v>
      </c>
      <c r="AB153" s="16" t="str">
        <f t="shared" si="90"/>
        <v/>
      </c>
      <c r="AC153" s="16" t="str">
        <f t="shared" si="91"/>
        <v/>
      </c>
      <c r="AD153" s="16" t="str">
        <f t="shared" si="118"/>
        <v/>
      </c>
      <c r="AE153" s="16" t="str">
        <f t="shared" si="119"/>
        <v/>
      </c>
      <c r="AF153" s="16" t="str">
        <f t="shared" si="120"/>
        <v/>
      </c>
      <c r="AG153" s="16" t="str">
        <f t="shared" si="92"/>
        <v/>
      </c>
      <c r="AH153" s="16" t="str">
        <f t="shared" si="93"/>
        <v/>
      </c>
      <c r="AI153" s="29" t="str">
        <f t="shared" si="121"/>
        <v/>
      </c>
      <c r="AJ153" s="29" t="str">
        <f t="shared" si="122"/>
        <v/>
      </c>
      <c r="AK153" s="2"/>
      <c r="AL153" s="2"/>
      <c r="AM153" s="2"/>
      <c r="AN153" s="2"/>
      <c r="AO153" s="2"/>
      <c r="AP153" s="2"/>
      <c r="AQ153" s="2"/>
      <c r="AR153" s="2"/>
      <c r="AS153" s="2"/>
      <c r="AT153" s="2"/>
      <c r="AU153" s="2"/>
      <c r="AV153" s="2"/>
      <c r="AW153" s="2"/>
      <c r="AX153" s="2"/>
      <c r="AY153" s="2"/>
      <c r="AZ153" s="2"/>
      <c r="BA153" s="2"/>
      <c r="BB153" s="2"/>
      <c r="BC153" s="2"/>
    </row>
    <row r="154" spans="1:55" x14ac:dyDescent="0.25">
      <c r="A154" s="79"/>
      <c r="B154" s="106"/>
      <c r="C154" s="106"/>
      <c r="D154" s="106"/>
      <c r="E154" s="106"/>
      <c r="F154" s="106"/>
      <c r="G154" s="106"/>
      <c r="H154" s="106"/>
      <c r="I154" s="106"/>
      <c r="J154" s="273"/>
      <c r="K154" s="273"/>
      <c r="L154" s="273"/>
      <c r="M154" s="273"/>
      <c r="N154" s="273"/>
      <c r="O154" s="273"/>
      <c r="P154" s="273"/>
      <c r="Q154" s="273"/>
      <c r="R154" s="273"/>
      <c r="S154" s="273"/>
      <c r="T154" s="273"/>
      <c r="U154" s="273"/>
      <c r="V154" s="273"/>
      <c r="W154" s="273"/>
      <c r="X154" s="273"/>
      <c r="Y154" s="119" t="s">
        <v>105</v>
      </c>
      <c r="Z154" s="2"/>
      <c r="AA154" s="264">
        <v>150</v>
      </c>
      <c r="AB154" s="16" t="str">
        <f t="shared" si="90"/>
        <v/>
      </c>
      <c r="AC154" s="16" t="str">
        <f t="shared" si="91"/>
        <v/>
      </c>
      <c r="AD154" s="16" t="str">
        <f t="shared" si="118"/>
        <v/>
      </c>
      <c r="AE154" s="16" t="str">
        <f t="shared" si="119"/>
        <v/>
      </c>
      <c r="AF154" s="16" t="str">
        <f t="shared" si="120"/>
        <v/>
      </c>
      <c r="AG154" s="16" t="str">
        <f t="shared" si="92"/>
        <v/>
      </c>
      <c r="AH154" s="16" t="str">
        <f t="shared" si="93"/>
        <v/>
      </c>
      <c r="AI154" s="29" t="str">
        <f t="shared" si="121"/>
        <v/>
      </c>
      <c r="AJ154" s="29" t="str">
        <f t="shared" si="122"/>
        <v/>
      </c>
      <c r="AK154" s="2"/>
      <c r="AL154" s="2"/>
      <c r="AM154" s="2"/>
      <c r="AN154" s="2"/>
      <c r="AO154" s="2"/>
      <c r="AP154" s="2"/>
      <c r="AQ154" s="2"/>
      <c r="AR154" s="2"/>
      <c r="AS154" s="2"/>
      <c r="AT154" s="2"/>
      <c r="AU154" s="2"/>
      <c r="AV154" s="2"/>
      <c r="AW154" s="2"/>
      <c r="AX154" s="2"/>
      <c r="AY154" s="2"/>
      <c r="AZ154" s="2"/>
      <c r="BA154" s="2"/>
      <c r="BB154" s="2"/>
      <c r="BC154" s="2"/>
    </row>
    <row r="155" spans="1:55" x14ac:dyDescent="0.25">
      <c r="A155" s="100"/>
      <c r="B155" s="101"/>
      <c r="C155" s="101"/>
      <c r="D155" s="101"/>
      <c r="E155" s="101"/>
      <c r="F155" s="101"/>
      <c r="G155" s="101"/>
      <c r="H155" s="101"/>
      <c r="I155" s="101"/>
      <c r="J155" s="275"/>
      <c r="K155" s="275"/>
      <c r="L155" s="275"/>
      <c r="M155" s="275"/>
      <c r="N155" s="275"/>
      <c r="O155" s="275"/>
      <c r="P155" s="275"/>
      <c r="Q155" s="275"/>
      <c r="R155" s="275"/>
      <c r="S155" s="275"/>
      <c r="T155" s="275"/>
      <c r="U155" s="275"/>
      <c r="V155" s="275"/>
      <c r="W155" s="275"/>
      <c r="X155" s="275"/>
      <c r="Y155" s="276"/>
      <c r="Z155" s="2"/>
      <c r="AA155" s="264">
        <v>151</v>
      </c>
      <c r="AB155" s="16" t="str">
        <f t="shared" ref="AB155:AB204" si="123">IF($C$9&gt;=$AA155,$L13+0.000001-$AB$410,"")</f>
        <v/>
      </c>
      <c r="AC155" s="16" t="str">
        <f t="shared" ref="AC155:AC204" si="124">IF($C$9&gt;=$AA155,$K13+0.000001-$AB$409,"")</f>
        <v/>
      </c>
      <c r="AD155" s="16" t="str">
        <f t="shared" si="118"/>
        <v/>
      </c>
      <c r="AE155" s="16" t="str">
        <f t="shared" si="119"/>
        <v/>
      </c>
      <c r="AF155" s="16" t="str">
        <f t="shared" si="120"/>
        <v/>
      </c>
      <c r="AG155" s="16" t="str">
        <f t="shared" ref="AG155:AG204" si="125">IF($C$9&gt;=$AA155,$K13-$AB$409,"")</f>
        <v/>
      </c>
      <c r="AH155" s="16" t="str">
        <f t="shared" ref="AH155:AH204" si="126">IF($C$9&gt;=$AA155,$L13-$AB$410,"")</f>
        <v/>
      </c>
      <c r="AI155" s="29" t="str">
        <f t="shared" si="121"/>
        <v/>
      </c>
      <c r="AJ155" s="29" t="str">
        <f t="shared" si="122"/>
        <v/>
      </c>
      <c r="AK155" s="2"/>
      <c r="AL155" s="2"/>
      <c r="AM155" s="2"/>
      <c r="AN155" s="2"/>
      <c r="AO155" s="2"/>
      <c r="AP155" s="2"/>
      <c r="AQ155" s="2"/>
      <c r="AR155" s="2"/>
      <c r="AS155" s="2"/>
      <c r="AT155" s="2"/>
      <c r="AU155" s="2"/>
      <c r="AV155" s="2"/>
      <c r="AW155" s="2"/>
      <c r="AX155" s="2"/>
      <c r="AY155" s="2"/>
      <c r="AZ155" s="2"/>
      <c r="BA155" s="2"/>
      <c r="BB155" s="2"/>
      <c r="BC155" s="2"/>
    </row>
    <row r="156" spans="1:55" x14ac:dyDescent="0.25">
      <c r="A156" s="48"/>
      <c r="B156" s="54"/>
      <c r="C156" s="54"/>
      <c r="D156" s="54"/>
      <c r="E156" s="54"/>
      <c r="F156" s="54"/>
      <c r="G156" s="54"/>
      <c r="H156" s="54"/>
      <c r="I156" s="54"/>
      <c r="J156" s="2"/>
      <c r="K156" s="2"/>
      <c r="L156" s="2"/>
      <c r="M156" s="2"/>
      <c r="N156" s="2"/>
      <c r="O156" s="2"/>
      <c r="P156" s="2"/>
      <c r="Q156" s="2"/>
      <c r="R156" s="2"/>
      <c r="S156" s="2"/>
      <c r="T156" s="2"/>
      <c r="U156" s="2"/>
      <c r="V156" s="2"/>
      <c r="W156" s="2"/>
      <c r="X156" s="2"/>
      <c r="Y156" s="259"/>
      <c r="Z156" s="2"/>
      <c r="AA156" s="264">
        <v>152</v>
      </c>
      <c r="AB156" s="16" t="str">
        <f t="shared" si="123"/>
        <v/>
      </c>
      <c r="AC156" s="16" t="str">
        <f t="shared" si="124"/>
        <v/>
      </c>
      <c r="AD156" s="16" t="str">
        <f t="shared" si="118"/>
        <v/>
      </c>
      <c r="AE156" s="16" t="str">
        <f t="shared" si="119"/>
        <v/>
      </c>
      <c r="AF156" s="16" t="str">
        <f t="shared" si="120"/>
        <v/>
      </c>
      <c r="AG156" s="16" t="str">
        <f t="shared" si="125"/>
        <v/>
      </c>
      <c r="AH156" s="16" t="str">
        <f t="shared" si="126"/>
        <v/>
      </c>
      <c r="AI156" s="29" t="str">
        <f t="shared" si="121"/>
        <v/>
      </c>
      <c r="AJ156" s="29" t="str">
        <f t="shared" si="122"/>
        <v/>
      </c>
      <c r="AK156" s="2"/>
      <c r="AL156" s="2"/>
      <c r="AM156" s="2"/>
      <c r="AN156" s="2"/>
      <c r="AO156" s="2"/>
      <c r="AP156" s="2"/>
      <c r="AQ156" s="2"/>
      <c r="AR156" s="2"/>
      <c r="AS156" s="2"/>
      <c r="AT156" s="2"/>
      <c r="AU156" s="2"/>
      <c r="AV156" s="2"/>
      <c r="AW156" s="2"/>
      <c r="AX156" s="2"/>
      <c r="AY156" s="2"/>
      <c r="AZ156" s="2"/>
      <c r="BA156" s="2"/>
      <c r="BB156" s="2"/>
      <c r="BC156" s="2"/>
    </row>
    <row r="157" spans="1:55" x14ac:dyDescent="0.25">
      <c r="A157" s="131" t="s">
        <v>41</v>
      </c>
      <c r="B157" s="54"/>
      <c r="C157" s="54"/>
      <c r="D157" s="54"/>
      <c r="E157" s="54"/>
      <c r="F157" s="54"/>
      <c r="G157" s="54"/>
      <c r="H157" s="54"/>
      <c r="I157" s="54"/>
      <c r="J157" s="2"/>
      <c r="K157" s="2"/>
      <c r="L157" s="2"/>
      <c r="M157" s="2"/>
      <c r="N157" s="2"/>
      <c r="O157" s="2"/>
      <c r="P157" s="2"/>
      <c r="Q157" s="2"/>
      <c r="R157" s="2"/>
      <c r="S157" s="2"/>
      <c r="T157" s="2"/>
      <c r="U157" s="2"/>
      <c r="V157" s="2"/>
      <c r="W157" s="2"/>
      <c r="X157" s="2"/>
      <c r="Y157" s="259"/>
      <c r="Z157" s="2"/>
      <c r="AA157" s="264">
        <v>153</v>
      </c>
      <c r="AB157" s="16" t="str">
        <f t="shared" si="123"/>
        <v/>
      </c>
      <c r="AC157" s="16" t="str">
        <f t="shared" si="124"/>
        <v/>
      </c>
      <c r="AD157" s="16" t="str">
        <f t="shared" si="118"/>
        <v/>
      </c>
      <c r="AE157" s="16" t="str">
        <f t="shared" si="119"/>
        <v/>
      </c>
      <c r="AF157" s="16" t="str">
        <f t="shared" si="120"/>
        <v/>
      </c>
      <c r="AG157" s="16" t="str">
        <f t="shared" si="125"/>
        <v/>
      </c>
      <c r="AH157" s="16" t="str">
        <f t="shared" si="126"/>
        <v/>
      </c>
      <c r="AI157" s="29" t="str">
        <f t="shared" si="121"/>
        <v/>
      </c>
      <c r="AJ157" s="29" t="str">
        <f t="shared" si="122"/>
        <v/>
      </c>
      <c r="AK157" s="2"/>
      <c r="AL157" s="2"/>
      <c r="AM157" s="2"/>
      <c r="AN157" s="2"/>
      <c r="AO157" s="2"/>
      <c r="AP157" s="2"/>
      <c r="AQ157" s="2"/>
      <c r="AR157" s="2"/>
      <c r="AS157" s="2"/>
      <c r="AT157" s="2"/>
      <c r="AU157" s="2"/>
      <c r="AV157" s="2"/>
      <c r="AW157" s="2"/>
      <c r="AX157" s="2"/>
      <c r="AY157" s="2"/>
      <c r="AZ157" s="2"/>
      <c r="BA157" s="2"/>
      <c r="BB157" s="2"/>
      <c r="BC157" s="2"/>
    </row>
    <row r="158" spans="1:55" x14ac:dyDescent="0.25">
      <c r="A158" s="48"/>
      <c r="B158" s="54"/>
      <c r="C158" s="54"/>
      <c r="D158" s="54"/>
      <c r="E158" s="54"/>
      <c r="F158" s="54"/>
      <c r="G158" s="54"/>
      <c r="H158" s="54"/>
      <c r="I158" s="54"/>
      <c r="J158" s="2"/>
      <c r="K158" s="2"/>
      <c r="L158" s="2"/>
      <c r="M158" s="2"/>
      <c r="N158" s="2"/>
      <c r="O158" s="2"/>
      <c r="P158" s="2"/>
      <c r="Q158" s="2"/>
      <c r="R158" s="2"/>
      <c r="S158" s="2"/>
      <c r="T158" s="2"/>
      <c r="U158" s="2"/>
      <c r="V158" s="2"/>
      <c r="W158" s="2"/>
      <c r="X158" s="2"/>
      <c r="Y158" s="259"/>
      <c r="Z158" s="2"/>
      <c r="AA158" s="264">
        <v>154</v>
      </c>
      <c r="AB158" s="16" t="str">
        <f t="shared" si="123"/>
        <v/>
      </c>
      <c r="AC158" s="16" t="str">
        <f t="shared" si="124"/>
        <v/>
      </c>
      <c r="AD158" s="16" t="str">
        <f t="shared" si="118"/>
        <v/>
      </c>
      <c r="AE158" s="16" t="str">
        <f t="shared" si="119"/>
        <v/>
      </c>
      <c r="AF158" s="16" t="str">
        <f t="shared" si="120"/>
        <v/>
      </c>
      <c r="AG158" s="16" t="str">
        <f t="shared" si="125"/>
        <v/>
      </c>
      <c r="AH158" s="16" t="str">
        <f t="shared" si="126"/>
        <v/>
      </c>
      <c r="AI158" s="29" t="str">
        <f t="shared" si="121"/>
        <v/>
      </c>
      <c r="AJ158" s="29" t="str">
        <f t="shared" si="122"/>
        <v/>
      </c>
      <c r="AK158" s="2"/>
      <c r="AL158" s="2"/>
      <c r="AM158" s="2"/>
      <c r="AN158" s="2"/>
      <c r="AO158" s="2"/>
      <c r="AP158" s="2"/>
      <c r="AQ158" s="2"/>
      <c r="AR158" s="2"/>
      <c r="AS158" s="2"/>
      <c r="AT158" s="2"/>
      <c r="AU158" s="2"/>
      <c r="AV158" s="2"/>
      <c r="AW158" s="2"/>
      <c r="AX158" s="2"/>
      <c r="AY158" s="2"/>
      <c r="AZ158" s="2"/>
      <c r="BA158" s="2"/>
      <c r="BB158" s="2"/>
      <c r="BC158" s="2"/>
    </row>
    <row r="159" spans="1:55" x14ac:dyDescent="0.25">
      <c r="A159" s="365" t="s">
        <v>32</v>
      </c>
      <c r="B159" s="53"/>
      <c r="C159" s="53"/>
      <c r="D159" s="364" t="s">
        <v>112</v>
      </c>
      <c r="E159" s="53"/>
      <c r="F159" s="53"/>
      <c r="G159" s="54"/>
      <c r="H159" s="54"/>
      <c r="I159" s="54"/>
      <c r="J159" s="2"/>
      <c r="K159" s="2"/>
      <c r="L159" s="2"/>
      <c r="M159" s="2"/>
      <c r="N159" s="2"/>
      <c r="O159" s="2"/>
      <c r="P159" s="2"/>
      <c r="Q159" s="2"/>
      <c r="R159" s="2"/>
      <c r="S159" s="2"/>
      <c r="T159" s="2"/>
      <c r="U159" s="2"/>
      <c r="V159" s="2"/>
      <c r="W159" s="2"/>
      <c r="X159" s="2"/>
      <c r="Y159" s="259"/>
      <c r="Z159" s="2"/>
      <c r="AA159" s="264">
        <v>155</v>
      </c>
      <c r="AB159" s="16" t="str">
        <f t="shared" si="123"/>
        <v/>
      </c>
      <c r="AC159" s="16" t="str">
        <f t="shared" si="124"/>
        <v/>
      </c>
      <c r="AD159" s="16" t="str">
        <f t="shared" si="118"/>
        <v/>
      </c>
      <c r="AE159" s="16" t="str">
        <f t="shared" si="119"/>
        <v/>
      </c>
      <c r="AF159" s="16" t="str">
        <f t="shared" si="120"/>
        <v/>
      </c>
      <c r="AG159" s="16" t="str">
        <f t="shared" si="125"/>
        <v/>
      </c>
      <c r="AH159" s="16" t="str">
        <f t="shared" si="126"/>
        <v/>
      </c>
      <c r="AI159" s="29" t="str">
        <f t="shared" si="121"/>
        <v/>
      </c>
      <c r="AJ159" s="29" t="str">
        <f t="shared" si="122"/>
        <v/>
      </c>
      <c r="AK159" s="2"/>
      <c r="AL159" s="2"/>
      <c r="AM159" s="2"/>
      <c r="AN159" s="2"/>
      <c r="AO159" s="2"/>
      <c r="AP159" s="2"/>
      <c r="AQ159" s="2"/>
      <c r="AR159" s="2"/>
      <c r="AS159" s="2"/>
      <c r="AT159" s="2"/>
      <c r="AU159" s="2"/>
      <c r="AV159" s="2"/>
      <c r="AW159" s="2"/>
      <c r="AX159" s="2"/>
      <c r="AY159" s="2"/>
      <c r="AZ159" s="2"/>
      <c r="BA159" s="2"/>
      <c r="BB159" s="2"/>
      <c r="BC159" s="2"/>
    </row>
    <row r="160" spans="1:55" x14ac:dyDescent="0.25">
      <c r="A160" s="103" t="s">
        <v>5</v>
      </c>
      <c r="B160" s="149">
        <f t="shared" ref="B160:B166" si="127">$AB409</f>
        <v>1.3716000000000006</v>
      </c>
      <c r="C160" s="116" t="s">
        <v>115</v>
      </c>
      <c r="D160" s="68" t="s">
        <v>35</v>
      </c>
      <c r="E160" s="143">
        <f t="shared" ref="E160:E165" si="128">$AF418</f>
        <v>-13344.666000000001</v>
      </c>
      <c r="F160" s="117" t="s">
        <v>114</v>
      </c>
      <c r="G160" s="54"/>
      <c r="H160" s="54"/>
      <c r="I160" s="54"/>
      <c r="J160" s="2"/>
      <c r="K160" s="2"/>
      <c r="L160" s="2"/>
      <c r="M160" s="2"/>
      <c r="N160" s="2"/>
      <c r="O160" s="2"/>
      <c r="P160" s="2"/>
      <c r="Q160" s="2"/>
      <c r="R160" s="2"/>
      <c r="S160" s="2"/>
      <c r="T160" s="2"/>
      <c r="U160" s="2"/>
      <c r="V160" s="2"/>
      <c r="W160" s="2"/>
      <c r="X160" s="2"/>
      <c r="Y160" s="259"/>
      <c r="Z160" s="2"/>
      <c r="AA160" s="264">
        <v>156</v>
      </c>
      <c r="AB160" s="16" t="str">
        <f t="shared" si="123"/>
        <v/>
      </c>
      <c r="AC160" s="16" t="str">
        <f t="shared" si="124"/>
        <v/>
      </c>
      <c r="AD160" s="16" t="str">
        <f t="shared" si="118"/>
        <v/>
      </c>
      <c r="AE160" s="16" t="str">
        <f t="shared" si="119"/>
        <v/>
      </c>
      <c r="AF160" s="16" t="str">
        <f t="shared" si="120"/>
        <v/>
      </c>
      <c r="AG160" s="16" t="str">
        <f t="shared" si="125"/>
        <v/>
      </c>
      <c r="AH160" s="16" t="str">
        <f t="shared" si="126"/>
        <v/>
      </c>
      <c r="AI160" s="29" t="str">
        <f t="shared" si="121"/>
        <v/>
      </c>
      <c r="AJ160" s="29" t="str">
        <f t="shared" si="122"/>
        <v/>
      </c>
      <c r="AK160" s="2"/>
      <c r="AL160" s="2"/>
      <c r="AM160" s="2"/>
      <c r="AN160" s="2"/>
      <c r="AO160" s="2"/>
      <c r="AP160" s="2"/>
      <c r="AQ160" s="2"/>
      <c r="AR160" s="2"/>
      <c r="AS160" s="2"/>
      <c r="AT160" s="2"/>
      <c r="AU160" s="2"/>
      <c r="AV160" s="2"/>
      <c r="AW160" s="2"/>
      <c r="AX160" s="2"/>
      <c r="AY160" s="2"/>
      <c r="AZ160" s="2"/>
      <c r="BA160" s="2"/>
      <c r="BB160" s="2"/>
      <c r="BC160" s="2"/>
    </row>
    <row r="161" spans="1:55" x14ac:dyDescent="0.25">
      <c r="A161" s="103" t="s">
        <v>6</v>
      </c>
      <c r="B161" s="150">
        <f t="shared" si="127"/>
        <v>4.1148000000000016</v>
      </c>
      <c r="C161" s="116" t="s">
        <v>115</v>
      </c>
      <c r="D161" s="68" t="s">
        <v>36</v>
      </c>
      <c r="E161" s="147">
        <f t="shared" si="128"/>
        <v>-177.92888000000002</v>
      </c>
      <c r="F161" s="117" t="s">
        <v>114</v>
      </c>
      <c r="G161" s="54"/>
      <c r="H161" s="54"/>
      <c r="I161" s="54"/>
      <c r="J161" s="2"/>
      <c r="K161" s="2"/>
      <c r="L161" s="2"/>
      <c r="M161" s="2"/>
      <c r="N161" s="2"/>
      <c r="O161" s="2"/>
      <c r="P161" s="2"/>
      <c r="Q161" s="2"/>
      <c r="R161" s="2"/>
      <c r="S161" s="2"/>
      <c r="T161" s="2"/>
      <c r="U161" s="2"/>
      <c r="V161" s="2"/>
      <c r="W161" s="2"/>
      <c r="X161" s="2"/>
      <c r="Y161" s="259"/>
      <c r="Z161" s="2"/>
      <c r="AA161" s="264">
        <v>157</v>
      </c>
      <c r="AB161" s="16" t="str">
        <f t="shared" si="123"/>
        <v/>
      </c>
      <c r="AC161" s="16" t="str">
        <f t="shared" si="124"/>
        <v/>
      </c>
      <c r="AD161" s="16" t="str">
        <f t="shared" si="118"/>
        <v/>
      </c>
      <c r="AE161" s="16" t="str">
        <f t="shared" si="119"/>
        <v/>
      </c>
      <c r="AF161" s="16" t="str">
        <f t="shared" si="120"/>
        <v/>
      </c>
      <c r="AG161" s="16" t="str">
        <f t="shared" si="125"/>
        <v/>
      </c>
      <c r="AH161" s="16" t="str">
        <f t="shared" si="126"/>
        <v/>
      </c>
      <c r="AI161" s="29" t="str">
        <f t="shared" si="121"/>
        <v/>
      </c>
      <c r="AJ161" s="29" t="str">
        <f t="shared" si="122"/>
        <v/>
      </c>
      <c r="AK161" s="2"/>
      <c r="AL161" s="2"/>
      <c r="AM161" s="2"/>
      <c r="AN161" s="2"/>
      <c r="AO161" s="2"/>
      <c r="AP161" s="2"/>
      <c r="AQ161" s="2"/>
      <c r="AR161" s="2"/>
      <c r="AS161" s="2"/>
      <c r="AT161" s="2"/>
      <c r="AU161" s="2"/>
      <c r="AV161" s="2"/>
      <c r="AW161" s="2"/>
      <c r="AX161" s="2"/>
      <c r="AY161" s="2"/>
      <c r="AZ161" s="2"/>
      <c r="BA161" s="2"/>
      <c r="BB161" s="2"/>
      <c r="BC161" s="2"/>
    </row>
    <row r="162" spans="1:55" x14ac:dyDescent="0.25">
      <c r="A162" s="104" t="s">
        <v>92</v>
      </c>
      <c r="B162" s="151">
        <f t="shared" si="127"/>
        <v>275.92202880003998</v>
      </c>
      <c r="C162" s="117" t="s">
        <v>262</v>
      </c>
      <c r="D162" s="68" t="s">
        <v>37</v>
      </c>
      <c r="E162" s="147">
        <f t="shared" si="128"/>
        <v>-266.89332000000002</v>
      </c>
      <c r="F162" s="117" t="s">
        <v>114</v>
      </c>
      <c r="G162" s="54"/>
      <c r="H162" s="54"/>
      <c r="I162" s="54"/>
      <c r="J162" s="2"/>
      <c r="K162" s="2"/>
      <c r="L162" s="2"/>
      <c r="M162" s="2"/>
      <c r="N162" s="2"/>
      <c r="O162" s="2"/>
      <c r="P162" s="2"/>
      <c r="Q162" s="2"/>
      <c r="R162" s="2"/>
      <c r="S162" s="2"/>
      <c r="T162" s="2"/>
      <c r="U162" s="2"/>
      <c r="V162" s="2"/>
      <c r="W162" s="2"/>
      <c r="X162" s="2"/>
      <c r="Y162" s="259"/>
      <c r="Z162" s="2"/>
      <c r="AA162" s="264">
        <v>158</v>
      </c>
      <c r="AB162" s="16" t="str">
        <f t="shared" si="123"/>
        <v/>
      </c>
      <c r="AC162" s="16" t="str">
        <f t="shared" si="124"/>
        <v/>
      </c>
      <c r="AD162" s="16" t="str">
        <f t="shared" si="118"/>
        <v/>
      </c>
      <c r="AE162" s="16" t="str">
        <f t="shared" si="119"/>
        <v/>
      </c>
      <c r="AF162" s="16" t="str">
        <f t="shared" si="120"/>
        <v/>
      </c>
      <c r="AG162" s="16" t="str">
        <f t="shared" si="125"/>
        <v/>
      </c>
      <c r="AH162" s="16" t="str">
        <f t="shared" si="126"/>
        <v/>
      </c>
      <c r="AI162" s="29" t="str">
        <f t="shared" si="121"/>
        <v/>
      </c>
      <c r="AJ162" s="29" t="str">
        <f t="shared" si="122"/>
        <v/>
      </c>
      <c r="AK162" s="2"/>
      <c r="AL162" s="2"/>
      <c r="AM162" s="2"/>
      <c r="AN162" s="2"/>
      <c r="AO162" s="2"/>
      <c r="AP162" s="2"/>
      <c r="AQ162" s="2"/>
      <c r="AR162" s="2"/>
      <c r="AS162" s="2"/>
      <c r="AT162" s="2"/>
      <c r="AU162" s="2"/>
      <c r="AV162" s="2"/>
      <c r="AW162" s="2"/>
      <c r="AX162" s="2"/>
      <c r="AY162" s="2"/>
      <c r="AZ162" s="2"/>
      <c r="BA162" s="2"/>
      <c r="BB162" s="2"/>
      <c r="BC162" s="2"/>
    </row>
    <row r="163" spans="1:55" x14ac:dyDescent="0.25">
      <c r="A163" s="104" t="s">
        <v>93</v>
      </c>
      <c r="B163" s="151">
        <f t="shared" si="127"/>
        <v>41.806368000040024</v>
      </c>
      <c r="C163" s="117" t="s">
        <v>262</v>
      </c>
      <c r="D163" s="68" t="s">
        <v>38</v>
      </c>
      <c r="E163" s="147">
        <f t="shared" si="128"/>
        <v>677.91</v>
      </c>
      <c r="F163" s="117" t="s">
        <v>116</v>
      </c>
      <c r="G163" s="54"/>
      <c r="H163" s="54"/>
      <c r="I163" s="54"/>
      <c r="J163" s="2"/>
      <c r="K163" s="2"/>
      <c r="L163" s="2"/>
      <c r="M163" s="2"/>
      <c r="N163" s="2"/>
      <c r="O163" s="2"/>
      <c r="P163" s="2"/>
      <c r="Q163" s="2"/>
      <c r="R163" s="2"/>
      <c r="S163" s="2"/>
      <c r="T163" s="2"/>
      <c r="U163" s="2"/>
      <c r="V163" s="2"/>
      <c r="W163" s="2"/>
      <c r="X163" s="2"/>
      <c r="Y163" s="259"/>
      <c r="Z163" s="2"/>
      <c r="AA163" s="264">
        <v>159</v>
      </c>
      <c r="AB163" s="16" t="str">
        <f t="shared" si="123"/>
        <v/>
      </c>
      <c r="AC163" s="16" t="str">
        <f t="shared" si="124"/>
        <v/>
      </c>
      <c r="AD163" s="16" t="str">
        <f t="shared" si="118"/>
        <v/>
      </c>
      <c r="AE163" s="16" t="str">
        <f t="shared" si="119"/>
        <v/>
      </c>
      <c r="AF163" s="16" t="str">
        <f t="shared" si="120"/>
        <v/>
      </c>
      <c r="AG163" s="16" t="str">
        <f t="shared" si="125"/>
        <v/>
      </c>
      <c r="AH163" s="16" t="str">
        <f t="shared" si="126"/>
        <v/>
      </c>
      <c r="AI163" s="29" t="str">
        <f t="shared" si="121"/>
        <v/>
      </c>
      <c r="AJ163" s="29" t="str">
        <f t="shared" si="122"/>
        <v/>
      </c>
      <c r="AK163" s="2"/>
      <c r="AL163" s="2"/>
      <c r="AM163" s="2"/>
      <c r="AN163" s="2"/>
      <c r="AO163" s="2"/>
      <c r="AP163" s="2"/>
      <c r="AQ163" s="2"/>
      <c r="AR163" s="2"/>
      <c r="AS163" s="2"/>
      <c r="AT163" s="2"/>
      <c r="AU163" s="2"/>
      <c r="AV163" s="2"/>
      <c r="AW163" s="2"/>
      <c r="AX163" s="2"/>
      <c r="AY163" s="2"/>
      <c r="AZ163" s="2"/>
      <c r="BA163" s="2"/>
      <c r="BB163" s="2"/>
      <c r="BC163" s="2"/>
    </row>
    <row r="164" spans="1:55" x14ac:dyDescent="0.25">
      <c r="A164" s="104" t="s">
        <v>22</v>
      </c>
      <c r="B164" s="151">
        <f t="shared" si="127"/>
        <v>317.72839680008002</v>
      </c>
      <c r="C164" s="117" t="s">
        <v>262</v>
      </c>
      <c r="D164" s="68" t="s">
        <v>39</v>
      </c>
      <c r="E164" s="147">
        <f t="shared" si="128"/>
        <v>-677.91</v>
      </c>
      <c r="F164" s="117" t="s">
        <v>116</v>
      </c>
      <c r="G164" s="54"/>
      <c r="H164" s="54"/>
      <c r="I164" s="54"/>
      <c r="J164" s="2"/>
      <c r="K164" s="2"/>
      <c r="L164" s="2"/>
      <c r="M164" s="2"/>
      <c r="N164" s="2"/>
      <c r="O164" s="2"/>
      <c r="P164" s="2"/>
      <c r="Q164" s="2"/>
      <c r="R164" s="2"/>
      <c r="S164" s="2"/>
      <c r="T164" s="2"/>
      <c r="U164" s="2"/>
      <c r="V164" s="2"/>
      <c r="W164" s="2"/>
      <c r="X164" s="2"/>
      <c r="Y164" s="259"/>
      <c r="Z164" s="2"/>
      <c r="AA164" s="264">
        <v>160</v>
      </c>
      <c r="AB164" s="16" t="str">
        <f t="shared" si="123"/>
        <v/>
      </c>
      <c r="AC164" s="16" t="str">
        <f t="shared" si="124"/>
        <v/>
      </c>
      <c r="AD164" s="16" t="str">
        <f t="shared" si="118"/>
        <v/>
      </c>
      <c r="AE164" s="16" t="str">
        <f t="shared" si="119"/>
        <v/>
      </c>
      <c r="AF164" s="16" t="str">
        <f t="shared" si="120"/>
        <v/>
      </c>
      <c r="AG164" s="16" t="str">
        <f t="shared" si="125"/>
        <v/>
      </c>
      <c r="AH164" s="16" t="str">
        <f t="shared" si="126"/>
        <v/>
      </c>
      <c r="AI164" s="29" t="str">
        <f t="shared" si="121"/>
        <v/>
      </c>
      <c r="AJ164" s="29" t="str">
        <f t="shared" si="122"/>
        <v/>
      </c>
      <c r="AK164" s="2"/>
      <c r="AL164" s="2"/>
      <c r="AM164" s="2"/>
      <c r="AN164" s="2"/>
      <c r="AO164" s="2"/>
      <c r="AP164" s="2"/>
      <c r="AQ164" s="2"/>
      <c r="AR164" s="2"/>
      <c r="AS164" s="2"/>
      <c r="AT164" s="2"/>
      <c r="AU164" s="2"/>
      <c r="AV164" s="2"/>
      <c r="AW164" s="2"/>
      <c r="AX164" s="2"/>
      <c r="AY164" s="2"/>
      <c r="AZ164" s="2"/>
      <c r="BA164" s="2"/>
      <c r="BB164" s="2"/>
      <c r="BC164" s="2"/>
    </row>
    <row r="165" spans="1:55" x14ac:dyDescent="0.25">
      <c r="A165" s="104" t="s">
        <v>94</v>
      </c>
      <c r="B165" s="151">
        <f t="shared" si="127"/>
        <v>0</v>
      </c>
      <c r="C165" s="117" t="s">
        <v>262</v>
      </c>
      <c r="D165" s="68" t="s">
        <v>40</v>
      </c>
      <c r="E165" s="154">
        <f t="shared" si="128"/>
        <v>0</v>
      </c>
      <c r="F165" s="117" t="s">
        <v>116</v>
      </c>
      <c r="G165" s="54"/>
      <c r="H165" s="54"/>
      <c r="I165" s="54"/>
      <c r="J165" s="2"/>
      <c r="K165" s="2"/>
      <c r="L165" s="2"/>
      <c r="M165" s="2"/>
      <c r="N165" s="2"/>
      <c r="O165" s="2"/>
      <c r="P165" s="2"/>
      <c r="Q165" s="2"/>
      <c r="R165" s="2"/>
      <c r="S165" s="2"/>
      <c r="T165" s="2"/>
      <c r="U165" s="2"/>
      <c r="V165" s="2"/>
      <c r="W165" s="2"/>
      <c r="X165" s="2"/>
      <c r="Y165" s="259"/>
      <c r="Z165" s="2"/>
      <c r="AA165" s="264">
        <v>161</v>
      </c>
      <c r="AB165" s="16" t="str">
        <f t="shared" si="123"/>
        <v/>
      </c>
      <c r="AC165" s="16" t="str">
        <f t="shared" si="124"/>
        <v/>
      </c>
      <c r="AD165" s="16" t="str">
        <f t="shared" si="118"/>
        <v/>
      </c>
      <c r="AE165" s="16" t="str">
        <f t="shared" si="119"/>
        <v/>
      </c>
      <c r="AF165" s="16" t="str">
        <f t="shared" si="120"/>
        <v/>
      </c>
      <c r="AG165" s="16" t="str">
        <f t="shared" si="125"/>
        <v/>
      </c>
      <c r="AH165" s="16" t="str">
        <f t="shared" si="126"/>
        <v/>
      </c>
      <c r="AI165" s="29" t="str">
        <f t="shared" si="121"/>
        <v/>
      </c>
      <c r="AJ165" s="29" t="str">
        <f t="shared" si="122"/>
        <v/>
      </c>
      <c r="AK165" s="2"/>
      <c r="AL165" s="2"/>
      <c r="AM165" s="2"/>
      <c r="AN165" s="2"/>
      <c r="AO165" s="2"/>
      <c r="AP165" s="2"/>
      <c r="AQ165" s="2"/>
      <c r="AR165" s="2"/>
      <c r="AS165" s="2"/>
      <c r="AT165" s="2"/>
      <c r="AU165" s="2"/>
      <c r="AV165" s="2"/>
      <c r="AW165" s="2"/>
      <c r="AX165" s="2"/>
      <c r="AY165" s="2"/>
      <c r="AZ165" s="2"/>
      <c r="BA165" s="2"/>
      <c r="BB165" s="2"/>
      <c r="BC165" s="2"/>
    </row>
    <row r="166" spans="1:55" x14ac:dyDescent="0.25">
      <c r="A166" s="105" t="s">
        <v>43</v>
      </c>
      <c r="B166" s="156">
        <f t="shared" si="127"/>
        <v>0</v>
      </c>
      <c r="C166" s="117" t="s">
        <v>44</v>
      </c>
      <c r="D166" s="54"/>
      <c r="E166" s="54"/>
      <c r="F166" s="54"/>
      <c r="G166" s="54"/>
      <c r="H166" s="54"/>
      <c r="I166" s="54"/>
      <c r="J166" s="2"/>
      <c r="K166" s="2"/>
      <c r="L166" s="2"/>
      <c r="M166" s="2"/>
      <c r="N166" s="2"/>
      <c r="O166" s="2"/>
      <c r="P166" s="2"/>
      <c r="Q166" s="2"/>
      <c r="R166" s="2"/>
      <c r="S166" s="2"/>
      <c r="T166" s="2"/>
      <c r="U166" s="2"/>
      <c r="V166" s="2"/>
      <c r="W166" s="2"/>
      <c r="X166" s="2"/>
      <c r="Y166" s="259"/>
      <c r="Z166" s="2"/>
      <c r="AA166" s="264">
        <v>162</v>
      </c>
      <c r="AB166" s="16" t="str">
        <f t="shared" si="123"/>
        <v/>
      </c>
      <c r="AC166" s="16" t="str">
        <f t="shared" si="124"/>
        <v/>
      </c>
      <c r="AD166" s="16" t="str">
        <f t="shared" si="118"/>
        <v/>
      </c>
      <c r="AE166" s="16" t="str">
        <f t="shared" si="119"/>
        <v/>
      </c>
      <c r="AF166" s="16" t="str">
        <f t="shared" si="120"/>
        <v/>
      </c>
      <c r="AG166" s="16" t="str">
        <f t="shared" si="125"/>
        <v/>
      </c>
      <c r="AH166" s="16" t="str">
        <f t="shared" si="126"/>
        <v/>
      </c>
      <c r="AI166" s="29" t="str">
        <f t="shared" si="121"/>
        <v/>
      </c>
      <c r="AJ166" s="29" t="str">
        <f t="shared" si="122"/>
        <v/>
      </c>
      <c r="AK166" s="2"/>
      <c r="AL166" s="2"/>
      <c r="AM166" s="2"/>
      <c r="AN166" s="2"/>
      <c r="AO166" s="2"/>
      <c r="AP166" s="2"/>
      <c r="AQ166" s="2"/>
      <c r="AR166" s="2"/>
      <c r="AS166" s="2"/>
      <c r="AT166" s="2"/>
      <c r="AU166" s="2"/>
      <c r="AV166" s="2"/>
      <c r="AW166" s="2"/>
      <c r="AX166" s="2"/>
      <c r="AY166" s="2"/>
      <c r="AZ166" s="2"/>
      <c r="BA166" s="2"/>
      <c r="BB166" s="2"/>
      <c r="BC166" s="2"/>
    </row>
    <row r="167" spans="1:55" x14ac:dyDescent="0.25">
      <c r="A167" s="48"/>
      <c r="B167" s="54"/>
      <c r="C167" s="54"/>
      <c r="D167" s="54"/>
      <c r="E167" s="54"/>
      <c r="F167" s="54"/>
      <c r="G167" s="54"/>
      <c r="H167" s="54"/>
      <c r="I167" s="54"/>
      <c r="J167" s="2"/>
      <c r="K167" s="2"/>
      <c r="L167" s="2"/>
      <c r="M167" s="2"/>
      <c r="N167" s="2"/>
      <c r="O167" s="2"/>
      <c r="P167" s="2"/>
      <c r="Q167" s="2"/>
      <c r="R167" s="2"/>
      <c r="S167" s="2"/>
      <c r="T167" s="2"/>
      <c r="U167" s="2"/>
      <c r="V167" s="2"/>
      <c r="W167" s="2"/>
      <c r="X167" s="2"/>
      <c r="Y167" s="259"/>
      <c r="Z167" s="2"/>
      <c r="AA167" s="264">
        <v>163</v>
      </c>
      <c r="AB167" s="16" t="str">
        <f t="shared" si="123"/>
        <v/>
      </c>
      <c r="AC167" s="16" t="str">
        <f t="shared" si="124"/>
        <v/>
      </c>
      <c r="AD167" s="16" t="str">
        <f t="shared" si="118"/>
        <v/>
      </c>
      <c r="AE167" s="16" t="str">
        <f t="shared" si="119"/>
        <v/>
      </c>
      <c r="AF167" s="16" t="str">
        <f t="shared" si="120"/>
        <v/>
      </c>
      <c r="AG167" s="16" t="str">
        <f t="shared" si="125"/>
        <v/>
      </c>
      <c r="AH167" s="16" t="str">
        <f t="shared" si="126"/>
        <v/>
      </c>
      <c r="AI167" s="29" t="str">
        <f t="shared" si="121"/>
        <v/>
      </c>
      <c r="AJ167" s="29" t="str">
        <f t="shared" si="122"/>
        <v/>
      </c>
      <c r="AK167" s="2"/>
      <c r="AL167" s="2"/>
      <c r="AM167" s="2"/>
      <c r="AN167" s="2"/>
      <c r="AO167" s="2"/>
      <c r="AP167" s="2"/>
      <c r="AQ167" s="2"/>
      <c r="AR167" s="2"/>
      <c r="AS167" s="2"/>
      <c r="AT167" s="2"/>
      <c r="AU167" s="2"/>
      <c r="AV167" s="2"/>
      <c r="AW167" s="2"/>
      <c r="AX167" s="2"/>
      <c r="AY167" s="2"/>
      <c r="AZ167" s="2"/>
      <c r="BA167" s="2"/>
      <c r="BB167" s="2"/>
      <c r="BC167" s="2"/>
    </row>
    <row r="168" spans="1:55" x14ac:dyDescent="0.25">
      <c r="A168" s="48"/>
      <c r="B168" s="54"/>
      <c r="C168" s="54"/>
      <c r="D168" s="54"/>
      <c r="E168" s="54"/>
      <c r="F168" s="54"/>
      <c r="G168" s="54"/>
      <c r="H168" s="54"/>
      <c r="I168" s="54"/>
      <c r="J168" s="2"/>
      <c r="K168" s="2"/>
      <c r="L168" s="2"/>
      <c r="M168" s="2"/>
      <c r="N168" s="2"/>
      <c r="O168" s="2"/>
      <c r="P168" s="2"/>
      <c r="Q168" s="2"/>
      <c r="R168" s="2"/>
      <c r="S168" s="2"/>
      <c r="T168" s="2"/>
      <c r="U168" s="2"/>
      <c r="V168" s="2"/>
      <c r="W168" s="2"/>
      <c r="X168" s="2"/>
      <c r="Y168" s="259"/>
      <c r="Z168" s="2"/>
      <c r="AA168" s="264">
        <v>164</v>
      </c>
      <c r="AB168" s="16" t="str">
        <f t="shared" si="123"/>
        <v/>
      </c>
      <c r="AC168" s="16" t="str">
        <f t="shared" si="124"/>
        <v/>
      </c>
      <c r="AD168" s="16" t="str">
        <f t="shared" si="118"/>
        <v/>
      </c>
      <c r="AE168" s="16" t="str">
        <f t="shared" si="119"/>
        <v/>
      </c>
      <c r="AF168" s="16" t="str">
        <f t="shared" si="120"/>
        <v/>
      </c>
      <c r="AG168" s="16" t="str">
        <f t="shared" si="125"/>
        <v/>
      </c>
      <c r="AH168" s="16" t="str">
        <f t="shared" si="126"/>
        <v/>
      </c>
      <c r="AI168" s="29" t="str">
        <f t="shared" si="121"/>
        <v/>
      </c>
      <c r="AJ168" s="29" t="str">
        <f t="shared" si="122"/>
        <v/>
      </c>
      <c r="AK168" s="2"/>
      <c r="AL168" s="2"/>
      <c r="AM168" s="2"/>
      <c r="AN168" s="2"/>
      <c r="AO168" s="2"/>
      <c r="AP168" s="2"/>
      <c r="AQ168" s="2"/>
      <c r="AR168" s="2"/>
      <c r="AS168" s="2"/>
      <c r="AT168" s="2"/>
      <c r="AU168" s="2"/>
      <c r="AV168" s="2"/>
      <c r="AW168" s="2"/>
      <c r="AX168" s="2"/>
      <c r="AY168" s="2"/>
      <c r="AZ168" s="2"/>
      <c r="BA168" s="2"/>
      <c r="BB168" s="2"/>
      <c r="BC168" s="2"/>
    </row>
    <row r="169" spans="1:55" x14ac:dyDescent="0.25">
      <c r="A169" s="131" t="s">
        <v>99</v>
      </c>
      <c r="B169" s="70"/>
      <c r="C169" s="70"/>
      <c r="D169" s="54"/>
      <c r="E169" s="54"/>
      <c r="F169" s="54"/>
      <c r="G169" s="54"/>
      <c r="H169" s="54"/>
      <c r="I169" s="54"/>
      <c r="J169" s="2"/>
      <c r="K169" s="2"/>
      <c r="L169" s="2"/>
      <c r="M169" s="2"/>
      <c r="N169" s="2"/>
      <c r="O169" s="2"/>
      <c r="P169" s="2"/>
      <c r="Q169" s="2"/>
      <c r="R169" s="2"/>
      <c r="S169" s="2"/>
      <c r="T169" s="2"/>
      <c r="U169" s="2"/>
      <c r="V169" s="2"/>
      <c r="W169" s="2"/>
      <c r="X169" s="2"/>
      <c r="Y169" s="259"/>
      <c r="Z169" s="2"/>
      <c r="AA169" s="264">
        <v>165</v>
      </c>
      <c r="AB169" s="16" t="str">
        <f t="shared" si="123"/>
        <v/>
      </c>
      <c r="AC169" s="16" t="str">
        <f t="shared" si="124"/>
        <v/>
      </c>
      <c r="AD169" s="16" t="str">
        <f t="shared" si="118"/>
        <v/>
      </c>
      <c r="AE169" s="16" t="str">
        <f t="shared" si="119"/>
        <v/>
      </c>
      <c r="AF169" s="16" t="str">
        <f t="shared" si="120"/>
        <v/>
      </c>
      <c r="AG169" s="16" t="str">
        <f t="shared" si="125"/>
        <v/>
      </c>
      <c r="AH169" s="16" t="str">
        <f t="shared" si="126"/>
        <v/>
      </c>
      <c r="AI169" s="29" t="str">
        <f t="shared" si="121"/>
        <v/>
      </c>
      <c r="AJ169" s="29" t="str">
        <f t="shared" si="122"/>
        <v/>
      </c>
      <c r="AK169" s="2"/>
      <c r="AL169" s="2"/>
      <c r="AM169" s="2"/>
      <c r="AN169" s="2"/>
      <c r="AO169" s="2"/>
      <c r="AP169" s="2"/>
      <c r="AQ169" s="2"/>
      <c r="AR169" s="2"/>
      <c r="AS169" s="2"/>
      <c r="AT169" s="2"/>
      <c r="AU169" s="2"/>
      <c r="AV169" s="2"/>
      <c r="AW169" s="2"/>
      <c r="AX169" s="2"/>
      <c r="AY169" s="2"/>
      <c r="AZ169" s="2"/>
      <c r="BA169" s="2"/>
      <c r="BB169" s="2"/>
      <c r="BC169" s="2"/>
    </row>
    <row r="170" spans="1:55" x14ac:dyDescent="0.25">
      <c r="A170" s="45" t="s">
        <v>100</v>
      </c>
      <c r="B170" s="143">
        <f>MAX($AI$5:$AI$404)</f>
        <v>365.96740161057141</v>
      </c>
      <c r="C170" s="117" t="s">
        <v>114</v>
      </c>
      <c r="D170" s="54"/>
      <c r="E170" s="54"/>
      <c r="F170" s="54"/>
      <c r="G170" s="54"/>
      <c r="H170" s="54"/>
      <c r="I170" s="54"/>
      <c r="J170" s="2"/>
      <c r="K170" s="2"/>
      <c r="L170" s="2"/>
      <c r="M170" s="2"/>
      <c r="N170" s="2"/>
      <c r="O170" s="2"/>
      <c r="P170" s="2"/>
      <c r="Q170" s="2"/>
      <c r="R170" s="2"/>
      <c r="S170" s="2"/>
      <c r="T170" s="2"/>
      <c r="U170" s="2"/>
      <c r="V170" s="2"/>
      <c r="W170" s="2"/>
      <c r="X170" s="2"/>
      <c r="Y170" s="259"/>
      <c r="Z170" s="2"/>
      <c r="AA170" s="264">
        <v>166</v>
      </c>
      <c r="AB170" s="16" t="str">
        <f t="shared" si="123"/>
        <v/>
      </c>
      <c r="AC170" s="16" t="str">
        <f t="shared" si="124"/>
        <v/>
      </c>
      <c r="AD170" s="16" t="str">
        <f t="shared" si="118"/>
        <v/>
      </c>
      <c r="AE170" s="16" t="str">
        <f t="shared" si="119"/>
        <v/>
      </c>
      <c r="AF170" s="16" t="str">
        <f t="shared" si="120"/>
        <v/>
      </c>
      <c r="AG170" s="16" t="str">
        <f t="shared" si="125"/>
        <v/>
      </c>
      <c r="AH170" s="16" t="str">
        <f t="shared" si="126"/>
        <v/>
      </c>
      <c r="AI170" s="29" t="str">
        <f t="shared" si="121"/>
        <v/>
      </c>
      <c r="AJ170" s="29" t="str">
        <f t="shared" si="122"/>
        <v/>
      </c>
      <c r="AK170" s="2"/>
      <c r="AL170" s="2"/>
      <c r="AM170" s="2"/>
      <c r="AN170" s="2"/>
      <c r="AO170" s="2"/>
      <c r="AP170" s="2"/>
      <c r="AQ170" s="2"/>
      <c r="AR170" s="2"/>
      <c r="AS170" s="2"/>
      <c r="AT170" s="2"/>
      <c r="AU170" s="2"/>
      <c r="AV170" s="2"/>
      <c r="AW170" s="2"/>
      <c r="AX170" s="2"/>
      <c r="AY170" s="2"/>
      <c r="AZ170" s="2"/>
      <c r="BA170" s="2"/>
      <c r="BB170" s="2"/>
      <c r="BC170" s="2"/>
    </row>
    <row r="171" spans="1:55" x14ac:dyDescent="0.25">
      <c r="A171" s="45" t="s">
        <v>101</v>
      </c>
      <c r="B171" s="147">
        <f>MIN($AI$5:$AI$404)</f>
        <v>301.26589838942868</v>
      </c>
      <c r="C171" s="117" t="s">
        <v>114</v>
      </c>
      <c r="D171" s="54"/>
      <c r="E171" s="54"/>
      <c r="F171" s="54"/>
      <c r="G171" s="54"/>
      <c r="H171" s="54"/>
      <c r="I171" s="54"/>
      <c r="J171" s="2"/>
      <c r="K171" s="2"/>
      <c r="L171" s="2"/>
      <c r="M171" s="2"/>
      <c r="N171" s="2"/>
      <c r="O171" s="2"/>
      <c r="P171" s="2"/>
      <c r="Q171" s="2"/>
      <c r="R171" s="2"/>
      <c r="S171" s="2"/>
      <c r="T171" s="2"/>
      <c r="U171" s="2"/>
      <c r="V171" s="2"/>
      <c r="W171" s="2"/>
      <c r="X171" s="2"/>
      <c r="Y171" s="259"/>
      <c r="Z171" s="2"/>
      <c r="AA171" s="264">
        <v>167</v>
      </c>
      <c r="AB171" s="16" t="str">
        <f t="shared" si="123"/>
        <v/>
      </c>
      <c r="AC171" s="16" t="str">
        <f t="shared" si="124"/>
        <v/>
      </c>
      <c r="AD171" s="16" t="str">
        <f t="shared" si="118"/>
        <v/>
      </c>
      <c r="AE171" s="16" t="str">
        <f t="shared" si="119"/>
        <v/>
      </c>
      <c r="AF171" s="16" t="str">
        <f t="shared" si="120"/>
        <v/>
      </c>
      <c r="AG171" s="16" t="str">
        <f t="shared" si="125"/>
        <v/>
      </c>
      <c r="AH171" s="16" t="str">
        <f t="shared" si="126"/>
        <v/>
      </c>
      <c r="AI171" s="29" t="str">
        <f t="shared" si="121"/>
        <v/>
      </c>
      <c r="AJ171" s="29" t="str">
        <f t="shared" si="122"/>
        <v/>
      </c>
      <c r="AK171" s="2"/>
      <c r="AL171" s="2"/>
      <c r="AM171" s="2"/>
      <c r="AN171" s="2"/>
      <c r="AO171" s="2"/>
      <c r="AP171" s="2"/>
      <c r="AQ171" s="2"/>
      <c r="AR171" s="2"/>
      <c r="AS171" s="2"/>
      <c r="AT171" s="2"/>
      <c r="AU171" s="2"/>
      <c r="AV171" s="2"/>
      <c r="AW171" s="2"/>
      <c r="AX171" s="2"/>
      <c r="AY171" s="2"/>
      <c r="AZ171" s="2"/>
      <c r="BA171" s="2"/>
      <c r="BB171" s="2"/>
      <c r="BC171" s="2"/>
    </row>
    <row r="172" spans="1:55" x14ac:dyDescent="0.25">
      <c r="A172" s="272" t="s">
        <v>102</v>
      </c>
      <c r="B172" s="154">
        <f>MAX($AJ$5:$AJ$404)</f>
        <v>8.0191462528234894</v>
      </c>
      <c r="C172" s="117" t="s">
        <v>114</v>
      </c>
      <c r="D172" s="54"/>
      <c r="E172" s="54"/>
      <c r="F172" s="54"/>
      <c r="G172" s="54"/>
      <c r="H172" s="54"/>
      <c r="I172" s="54"/>
      <c r="J172" s="2"/>
      <c r="K172" s="2"/>
      <c r="L172" s="2"/>
      <c r="M172" s="2"/>
      <c r="N172" s="2"/>
      <c r="O172" s="2"/>
      <c r="P172" s="2"/>
      <c r="Q172" s="2"/>
      <c r="R172" s="2"/>
      <c r="S172" s="2"/>
      <c r="T172" s="2"/>
      <c r="U172" s="2"/>
      <c r="V172" s="2"/>
      <c r="W172" s="2"/>
      <c r="X172" s="2"/>
      <c r="Y172" s="259"/>
      <c r="Z172" s="2"/>
      <c r="AA172" s="264">
        <v>168</v>
      </c>
      <c r="AB172" s="16" t="str">
        <f t="shared" si="123"/>
        <v/>
      </c>
      <c r="AC172" s="16" t="str">
        <f t="shared" si="124"/>
        <v/>
      </c>
      <c r="AD172" s="16" t="str">
        <f t="shared" si="118"/>
        <v/>
      </c>
      <c r="AE172" s="16" t="str">
        <f t="shared" si="119"/>
        <v/>
      </c>
      <c r="AF172" s="16" t="str">
        <f t="shared" si="120"/>
        <v/>
      </c>
      <c r="AG172" s="16" t="str">
        <f t="shared" si="125"/>
        <v/>
      </c>
      <c r="AH172" s="16" t="str">
        <f t="shared" si="126"/>
        <v/>
      </c>
      <c r="AI172" s="29" t="str">
        <f t="shared" si="121"/>
        <v/>
      </c>
      <c r="AJ172" s="29" t="str">
        <f t="shared" si="122"/>
        <v/>
      </c>
      <c r="AK172" s="2"/>
      <c r="AL172" s="2"/>
      <c r="AM172" s="2"/>
      <c r="AN172" s="2"/>
      <c r="AO172" s="2"/>
      <c r="AP172" s="2"/>
      <c r="AQ172" s="2"/>
      <c r="AR172" s="2"/>
      <c r="AS172" s="2"/>
      <c r="AT172" s="2"/>
      <c r="AU172" s="2"/>
      <c r="AV172" s="2"/>
      <c r="AW172" s="2"/>
      <c r="AX172" s="2"/>
      <c r="AY172" s="2"/>
      <c r="AZ172" s="2"/>
      <c r="BA172" s="2"/>
      <c r="BB172" s="2"/>
      <c r="BC172" s="2"/>
    </row>
    <row r="173" spans="1:55" x14ac:dyDescent="0.25">
      <c r="A173" s="48"/>
      <c r="B173" s="54"/>
      <c r="C173" s="54"/>
      <c r="D173" s="54"/>
      <c r="E173" s="54"/>
      <c r="F173" s="54"/>
      <c r="G173" s="54"/>
      <c r="H173" s="54"/>
      <c r="I173" s="54"/>
      <c r="J173" s="2"/>
      <c r="K173" s="2"/>
      <c r="L173" s="2"/>
      <c r="M173" s="2"/>
      <c r="N173" s="2"/>
      <c r="O173" s="2"/>
      <c r="P173" s="2"/>
      <c r="Q173" s="2"/>
      <c r="R173" s="2"/>
      <c r="S173" s="2"/>
      <c r="T173" s="2"/>
      <c r="U173" s="2"/>
      <c r="V173" s="2"/>
      <c r="W173" s="2"/>
      <c r="X173" s="2"/>
      <c r="Y173" s="259"/>
      <c r="Z173" s="2"/>
      <c r="AA173" s="264">
        <v>169</v>
      </c>
      <c r="AB173" s="16" t="str">
        <f t="shared" si="123"/>
        <v/>
      </c>
      <c r="AC173" s="16" t="str">
        <f t="shared" si="124"/>
        <v/>
      </c>
      <c r="AD173" s="16" t="str">
        <f t="shared" si="118"/>
        <v/>
      </c>
      <c r="AE173" s="16" t="str">
        <f t="shared" si="119"/>
        <v/>
      </c>
      <c r="AF173" s="16" t="str">
        <f t="shared" si="120"/>
        <v/>
      </c>
      <c r="AG173" s="16" t="str">
        <f t="shared" si="125"/>
        <v/>
      </c>
      <c r="AH173" s="16" t="str">
        <f t="shared" si="126"/>
        <v/>
      </c>
      <c r="AI173" s="29" t="str">
        <f t="shared" si="121"/>
        <v/>
      </c>
      <c r="AJ173" s="29" t="str">
        <f t="shared" si="122"/>
        <v/>
      </c>
      <c r="AK173" s="2"/>
      <c r="AL173" s="2"/>
      <c r="AM173" s="2"/>
      <c r="AN173" s="2"/>
      <c r="AO173" s="2"/>
      <c r="AP173" s="2"/>
      <c r="AQ173" s="2"/>
      <c r="AR173" s="2"/>
      <c r="AS173" s="2"/>
      <c r="AT173" s="2"/>
      <c r="AU173" s="2"/>
      <c r="AV173" s="2"/>
      <c r="AW173" s="2"/>
      <c r="AX173" s="2"/>
      <c r="AY173" s="2"/>
      <c r="AZ173" s="2"/>
      <c r="BA173" s="2"/>
      <c r="BB173" s="2"/>
      <c r="BC173" s="2"/>
    </row>
    <row r="174" spans="1:55" x14ac:dyDescent="0.25">
      <c r="A174" s="48"/>
      <c r="B174" s="54"/>
      <c r="C174" s="54"/>
      <c r="D174" s="54"/>
      <c r="E174" s="54"/>
      <c r="F174" s="54"/>
      <c r="G174" s="54"/>
      <c r="H174" s="54"/>
      <c r="I174" s="54"/>
      <c r="J174" s="2"/>
      <c r="K174" s="2"/>
      <c r="L174" s="2"/>
      <c r="M174" s="2"/>
      <c r="N174" s="2"/>
      <c r="O174" s="2"/>
      <c r="P174" s="2"/>
      <c r="Q174" s="2"/>
      <c r="R174" s="2"/>
      <c r="S174" s="2"/>
      <c r="T174" s="2"/>
      <c r="U174" s="2"/>
      <c r="V174" s="2"/>
      <c r="W174" s="2"/>
      <c r="X174" s="2"/>
      <c r="Y174" s="259"/>
      <c r="Z174" s="2"/>
      <c r="AA174" s="264">
        <v>170</v>
      </c>
      <c r="AB174" s="16" t="str">
        <f t="shared" si="123"/>
        <v/>
      </c>
      <c r="AC174" s="16" t="str">
        <f t="shared" si="124"/>
        <v/>
      </c>
      <c r="AD174" s="16" t="str">
        <f t="shared" si="118"/>
        <v/>
      </c>
      <c r="AE174" s="16" t="str">
        <f t="shared" si="119"/>
        <v/>
      </c>
      <c r="AF174" s="16" t="str">
        <f t="shared" si="120"/>
        <v/>
      </c>
      <c r="AG174" s="16" t="str">
        <f t="shared" si="125"/>
        <v/>
      </c>
      <c r="AH174" s="16" t="str">
        <f t="shared" si="126"/>
        <v/>
      </c>
      <c r="AI174" s="29" t="str">
        <f t="shared" si="121"/>
        <v/>
      </c>
      <c r="AJ174" s="29" t="str">
        <f t="shared" si="122"/>
        <v/>
      </c>
      <c r="AK174" s="2"/>
      <c r="AL174" s="2"/>
      <c r="AM174" s="2"/>
      <c r="AN174" s="2"/>
      <c r="AO174" s="2"/>
      <c r="AP174" s="2"/>
      <c r="AQ174" s="2"/>
      <c r="AR174" s="2"/>
      <c r="AS174" s="2"/>
      <c r="AT174" s="2"/>
      <c r="AU174" s="2"/>
      <c r="AV174" s="2"/>
      <c r="AW174" s="2"/>
      <c r="AX174" s="2"/>
      <c r="AY174" s="2"/>
      <c r="AZ174" s="2"/>
      <c r="BA174" s="2"/>
      <c r="BB174" s="2"/>
      <c r="BC174" s="2"/>
    </row>
    <row r="175" spans="1:55" x14ac:dyDescent="0.25">
      <c r="A175" s="48"/>
      <c r="B175" s="54"/>
      <c r="C175" s="54"/>
      <c r="D175" s="54"/>
      <c r="E175" s="54"/>
      <c r="F175" s="54"/>
      <c r="G175" s="54"/>
      <c r="H175" s="54"/>
      <c r="I175" s="54"/>
      <c r="J175" s="2"/>
      <c r="K175" s="2"/>
      <c r="L175" s="2"/>
      <c r="M175" s="2"/>
      <c r="N175" s="2"/>
      <c r="O175" s="2"/>
      <c r="P175" s="2"/>
      <c r="Q175" s="2"/>
      <c r="R175" s="2"/>
      <c r="S175" s="2"/>
      <c r="T175" s="2"/>
      <c r="U175" s="2"/>
      <c r="V175" s="2"/>
      <c r="W175" s="2"/>
      <c r="X175" s="2"/>
      <c r="Y175" s="259"/>
      <c r="Z175" s="2"/>
      <c r="AA175" s="264">
        <v>171</v>
      </c>
      <c r="AB175" s="16" t="str">
        <f t="shared" si="123"/>
        <v/>
      </c>
      <c r="AC175" s="16" t="str">
        <f t="shared" si="124"/>
        <v/>
      </c>
      <c r="AD175" s="16" t="str">
        <f t="shared" si="118"/>
        <v/>
      </c>
      <c r="AE175" s="16" t="str">
        <f t="shared" si="119"/>
        <v/>
      </c>
      <c r="AF175" s="16" t="str">
        <f t="shared" si="120"/>
        <v/>
      </c>
      <c r="AG175" s="16" t="str">
        <f t="shared" si="125"/>
        <v/>
      </c>
      <c r="AH175" s="16" t="str">
        <f t="shared" si="126"/>
        <v/>
      </c>
      <c r="AI175" s="29" t="str">
        <f t="shared" si="121"/>
        <v/>
      </c>
      <c r="AJ175" s="29" t="str">
        <f t="shared" si="122"/>
        <v/>
      </c>
      <c r="AK175" s="2"/>
      <c r="AL175" s="2"/>
      <c r="AM175" s="2"/>
      <c r="AN175" s="2"/>
      <c r="AO175" s="2"/>
      <c r="AP175" s="2"/>
      <c r="AQ175" s="2"/>
      <c r="AR175" s="2"/>
      <c r="AS175" s="2"/>
      <c r="AT175" s="2"/>
      <c r="AU175" s="2"/>
      <c r="AV175" s="2"/>
      <c r="AW175" s="2"/>
      <c r="AX175" s="2"/>
      <c r="AY175" s="2"/>
      <c r="AZ175" s="2"/>
      <c r="BA175" s="2"/>
      <c r="BB175" s="2"/>
      <c r="BC175" s="2"/>
    </row>
    <row r="176" spans="1:55" x14ac:dyDescent="0.25">
      <c r="A176" s="48"/>
      <c r="B176" s="54"/>
      <c r="C176" s="54"/>
      <c r="D176" s="54"/>
      <c r="E176" s="54"/>
      <c r="F176" s="54"/>
      <c r="G176" s="54"/>
      <c r="H176" s="54"/>
      <c r="I176" s="54"/>
      <c r="J176" s="2"/>
      <c r="K176" s="2"/>
      <c r="L176" s="2"/>
      <c r="M176" s="2"/>
      <c r="N176" s="2"/>
      <c r="O176" s="2"/>
      <c r="P176" s="2"/>
      <c r="Q176" s="2"/>
      <c r="R176" s="2"/>
      <c r="S176" s="2"/>
      <c r="T176" s="2"/>
      <c r="U176" s="2"/>
      <c r="V176" s="2"/>
      <c r="W176" s="2"/>
      <c r="X176" s="2"/>
      <c r="Y176" s="259"/>
      <c r="Z176" s="2"/>
      <c r="AA176" s="264">
        <v>172</v>
      </c>
      <c r="AB176" s="16" t="str">
        <f t="shared" si="123"/>
        <v/>
      </c>
      <c r="AC176" s="16" t="str">
        <f t="shared" si="124"/>
        <v/>
      </c>
      <c r="AD176" s="16" t="str">
        <f t="shared" si="118"/>
        <v/>
      </c>
      <c r="AE176" s="16" t="str">
        <f t="shared" si="119"/>
        <v/>
      </c>
      <c r="AF176" s="16" t="str">
        <f t="shared" si="120"/>
        <v/>
      </c>
      <c r="AG176" s="16" t="str">
        <f t="shared" si="125"/>
        <v/>
      </c>
      <c r="AH176" s="16" t="str">
        <f t="shared" si="126"/>
        <v/>
      </c>
      <c r="AI176" s="29" t="str">
        <f t="shared" si="121"/>
        <v/>
      </c>
      <c r="AJ176" s="29" t="str">
        <f t="shared" si="122"/>
        <v/>
      </c>
      <c r="AK176" s="2"/>
      <c r="AL176" s="2"/>
      <c r="AM176" s="2"/>
      <c r="AN176" s="2"/>
      <c r="AO176" s="2"/>
      <c r="AP176" s="2"/>
      <c r="AQ176" s="2"/>
      <c r="AR176" s="2"/>
      <c r="AS176" s="2"/>
      <c r="AT176" s="2"/>
      <c r="AU176" s="2"/>
      <c r="AV176" s="2"/>
      <c r="AW176" s="2"/>
      <c r="AX176" s="2"/>
      <c r="AY176" s="2"/>
      <c r="AZ176" s="2"/>
      <c r="BA176" s="2"/>
      <c r="BB176" s="2"/>
      <c r="BC176" s="2"/>
    </row>
    <row r="177" spans="1:55" x14ac:dyDescent="0.25">
      <c r="A177" s="48"/>
      <c r="B177" s="54"/>
      <c r="C177" s="54"/>
      <c r="D177" s="54"/>
      <c r="E177" s="54"/>
      <c r="F177" s="54"/>
      <c r="G177" s="54"/>
      <c r="H177" s="54"/>
      <c r="I177" s="54"/>
      <c r="J177" s="2"/>
      <c r="K177" s="2"/>
      <c r="L177" s="2"/>
      <c r="M177" s="2"/>
      <c r="N177" s="2"/>
      <c r="O177" s="2"/>
      <c r="P177" s="2"/>
      <c r="Q177" s="2"/>
      <c r="R177" s="2"/>
      <c r="S177" s="2"/>
      <c r="T177" s="2"/>
      <c r="U177" s="2"/>
      <c r="V177" s="2"/>
      <c r="W177" s="2"/>
      <c r="X177" s="2"/>
      <c r="Y177" s="259"/>
      <c r="Z177" s="2"/>
      <c r="AA177" s="264">
        <v>173</v>
      </c>
      <c r="AB177" s="16" t="str">
        <f t="shared" si="123"/>
        <v/>
      </c>
      <c r="AC177" s="16" t="str">
        <f t="shared" si="124"/>
        <v/>
      </c>
      <c r="AD177" s="16" t="str">
        <f t="shared" si="118"/>
        <v/>
      </c>
      <c r="AE177" s="16" t="str">
        <f t="shared" si="119"/>
        <v/>
      </c>
      <c r="AF177" s="16" t="str">
        <f t="shared" si="120"/>
        <v/>
      </c>
      <c r="AG177" s="16" t="str">
        <f t="shared" si="125"/>
        <v/>
      </c>
      <c r="AH177" s="16" t="str">
        <f t="shared" si="126"/>
        <v/>
      </c>
      <c r="AI177" s="29" t="str">
        <f t="shared" si="121"/>
        <v/>
      </c>
      <c r="AJ177" s="29" t="str">
        <f t="shared" si="122"/>
        <v/>
      </c>
      <c r="AK177" s="2"/>
      <c r="AL177" s="2"/>
      <c r="AM177" s="2"/>
      <c r="AN177" s="2"/>
      <c r="AO177" s="2"/>
      <c r="AP177" s="2"/>
      <c r="AQ177" s="2"/>
      <c r="AR177" s="2"/>
      <c r="AS177" s="2"/>
      <c r="AT177" s="2"/>
      <c r="AU177" s="2"/>
      <c r="AV177" s="2"/>
      <c r="AW177" s="2"/>
      <c r="AX177" s="2"/>
      <c r="AY177" s="2"/>
      <c r="AZ177" s="2"/>
      <c r="BA177" s="2"/>
      <c r="BB177" s="2"/>
      <c r="BC177" s="2"/>
    </row>
    <row r="178" spans="1:55" x14ac:dyDescent="0.25">
      <c r="A178" s="48"/>
      <c r="B178" s="58" t="s">
        <v>254</v>
      </c>
      <c r="C178" s="59"/>
      <c r="D178" s="48"/>
      <c r="E178" s="58" t="s">
        <v>254</v>
      </c>
      <c r="F178" s="59"/>
      <c r="G178" s="48"/>
      <c r="H178" s="58" t="s">
        <v>254</v>
      </c>
      <c r="I178" s="59"/>
      <c r="J178" s="48"/>
      <c r="K178" s="58" t="s">
        <v>254</v>
      </c>
      <c r="L178" s="59"/>
      <c r="M178" s="48"/>
      <c r="N178" s="58" t="s">
        <v>254</v>
      </c>
      <c r="O178" s="59"/>
      <c r="P178" s="48"/>
      <c r="Q178" s="58" t="s">
        <v>254</v>
      </c>
      <c r="R178" s="59"/>
      <c r="S178" s="2"/>
      <c r="T178" s="58" t="s">
        <v>254</v>
      </c>
      <c r="U178" s="59"/>
      <c r="V178" s="2"/>
      <c r="W178" s="58" t="s">
        <v>254</v>
      </c>
      <c r="X178" s="59"/>
      <c r="Y178" s="259"/>
      <c r="Z178" s="2"/>
      <c r="AA178" s="264">
        <v>174</v>
      </c>
      <c r="AB178" s="16" t="str">
        <f t="shared" si="123"/>
        <v/>
      </c>
      <c r="AC178" s="16" t="str">
        <f t="shared" si="124"/>
        <v/>
      </c>
      <c r="AD178" s="16" t="str">
        <f t="shared" si="118"/>
        <v/>
      </c>
      <c r="AE178" s="16" t="str">
        <f t="shared" si="119"/>
        <v/>
      </c>
      <c r="AF178" s="16" t="str">
        <f t="shared" si="120"/>
        <v/>
      </c>
      <c r="AG178" s="16" t="str">
        <f t="shared" si="125"/>
        <v/>
      </c>
      <c r="AH178" s="16" t="str">
        <f t="shared" si="126"/>
        <v/>
      </c>
      <c r="AI178" s="29" t="str">
        <f t="shared" si="121"/>
        <v/>
      </c>
      <c r="AJ178" s="29" t="str">
        <f t="shared" si="122"/>
        <v/>
      </c>
      <c r="AK178" s="2"/>
      <c r="AL178" s="2"/>
      <c r="AM178" s="2"/>
      <c r="AN178" s="2"/>
      <c r="AO178" s="2"/>
      <c r="AP178" s="2"/>
      <c r="AQ178" s="2"/>
      <c r="AR178" s="2"/>
      <c r="AS178" s="2"/>
      <c r="AT178" s="2"/>
      <c r="AU178" s="2"/>
      <c r="AV178" s="2"/>
      <c r="AW178" s="2"/>
      <c r="AX178" s="2"/>
      <c r="AY178" s="2"/>
      <c r="AZ178" s="2"/>
      <c r="BA178" s="2"/>
      <c r="BB178" s="2"/>
      <c r="BC178" s="2"/>
    </row>
    <row r="179" spans="1:55" x14ac:dyDescent="0.25">
      <c r="A179" s="48"/>
      <c r="B179" s="62" t="s">
        <v>20</v>
      </c>
      <c r="C179" s="63" t="s">
        <v>21</v>
      </c>
      <c r="D179" s="48"/>
      <c r="E179" s="140" t="s">
        <v>20</v>
      </c>
      <c r="F179" s="277" t="s">
        <v>21</v>
      </c>
      <c r="G179" s="48"/>
      <c r="H179" s="140" t="s">
        <v>20</v>
      </c>
      <c r="I179" s="277" t="s">
        <v>21</v>
      </c>
      <c r="J179" s="48"/>
      <c r="K179" s="140" t="s">
        <v>20</v>
      </c>
      <c r="L179" s="277" t="s">
        <v>21</v>
      </c>
      <c r="M179" s="48"/>
      <c r="N179" s="140" t="s">
        <v>20</v>
      </c>
      <c r="O179" s="277" t="s">
        <v>21</v>
      </c>
      <c r="P179" s="48"/>
      <c r="Q179" s="140" t="s">
        <v>20</v>
      </c>
      <c r="R179" s="277" t="s">
        <v>21</v>
      </c>
      <c r="S179" s="2"/>
      <c r="T179" s="140" t="s">
        <v>20</v>
      </c>
      <c r="U179" s="277" t="s">
        <v>21</v>
      </c>
      <c r="V179" s="2"/>
      <c r="W179" s="140" t="s">
        <v>20</v>
      </c>
      <c r="X179" s="277" t="s">
        <v>21</v>
      </c>
      <c r="Y179" s="259"/>
      <c r="Z179" s="2"/>
      <c r="AA179" s="264">
        <v>175</v>
      </c>
      <c r="AB179" s="16" t="str">
        <f t="shared" si="123"/>
        <v/>
      </c>
      <c r="AC179" s="16" t="str">
        <f t="shared" si="124"/>
        <v/>
      </c>
      <c r="AD179" s="16" t="str">
        <f t="shared" si="118"/>
        <v/>
      </c>
      <c r="AE179" s="16" t="str">
        <f t="shared" si="119"/>
        <v/>
      </c>
      <c r="AF179" s="16" t="str">
        <f t="shared" si="120"/>
        <v/>
      </c>
      <c r="AG179" s="16" t="str">
        <f t="shared" si="125"/>
        <v/>
      </c>
      <c r="AH179" s="16" t="str">
        <f t="shared" si="126"/>
        <v/>
      </c>
      <c r="AI179" s="29" t="str">
        <f t="shared" si="121"/>
        <v/>
      </c>
      <c r="AJ179" s="29" t="str">
        <f t="shared" si="122"/>
        <v/>
      </c>
      <c r="AK179" s="2"/>
      <c r="AL179" s="2"/>
      <c r="AM179" s="2"/>
      <c r="AN179" s="2"/>
      <c r="AO179" s="2"/>
      <c r="AP179" s="2"/>
      <c r="AQ179" s="2"/>
      <c r="AR179" s="2"/>
      <c r="AS179" s="2"/>
      <c r="AT179" s="2"/>
      <c r="AU179" s="2"/>
      <c r="AV179" s="2"/>
      <c r="AW179" s="2"/>
      <c r="AX179" s="2"/>
      <c r="AY179" s="2"/>
      <c r="AZ179" s="2"/>
      <c r="BA179" s="2"/>
      <c r="BB179" s="2"/>
      <c r="BC179" s="2"/>
    </row>
    <row r="180" spans="1:55" x14ac:dyDescent="0.25">
      <c r="A180" s="260" t="str">
        <f t="shared" ref="A180:A211" si="129">IF($C$9&gt;=$AA5,"#"&amp;$AA5&amp;":","")</f>
        <v>#1:</v>
      </c>
      <c r="B180" s="143">
        <f t="shared" ref="B180:B211" si="130">$AI5</f>
        <v>365.96740161057141</v>
      </c>
      <c r="C180" s="144">
        <f t="shared" ref="C180:C211" si="131">$AJ5</f>
        <v>8.0191462528234894</v>
      </c>
      <c r="D180" s="261" t="str">
        <f t="shared" ref="D180:D211" si="132">IF($C$9&gt;=$AA55,"#"&amp;$AA55&amp;":","")</f>
        <v/>
      </c>
      <c r="E180" s="143" t="str">
        <f t="shared" ref="E180:E211" si="133">$AI55</f>
        <v/>
      </c>
      <c r="F180" s="144" t="str">
        <f t="shared" ref="F180:F211" si="134">$AJ55</f>
        <v/>
      </c>
      <c r="G180" s="261" t="str">
        <f t="shared" ref="G180:G211" si="135">IF($C$9&gt;=$AA105,"#"&amp;$AA105&amp;":","")</f>
        <v/>
      </c>
      <c r="H180" s="143" t="str">
        <f t="shared" ref="H180:H211" si="136">$AI105</f>
        <v/>
      </c>
      <c r="I180" s="144" t="str">
        <f t="shared" ref="I180:I211" si="137">$AJ105</f>
        <v/>
      </c>
      <c r="J180" s="261" t="str">
        <f t="shared" ref="J180:J211" si="138">IF($C$9&gt;=$AA155,"#"&amp;$AA155&amp;":","")</f>
        <v/>
      </c>
      <c r="K180" s="143" t="str">
        <f t="shared" ref="K180:K211" si="139">$AI155</f>
        <v/>
      </c>
      <c r="L180" s="144" t="str">
        <f t="shared" ref="L180:L211" si="140">$AJ155</f>
        <v/>
      </c>
      <c r="M180" s="261" t="str">
        <f t="shared" ref="M180:M211" si="141">IF($C$9&gt;=$AA205,"#"&amp;$AA205&amp;":","")</f>
        <v/>
      </c>
      <c r="N180" s="143" t="str">
        <f t="shared" ref="N180:N211" si="142">$AI205</f>
        <v/>
      </c>
      <c r="O180" s="144" t="str">
        <f t="shared" ref="O180:O211" si="143">$AJ205</f>
        <v/>
      </c>
      <c r="P180" s="261" t="str">
        <f t="shared" ref="P180:P211" si="144">IF($C$9&gt;=$AA255,"#"&amp;$AA255&amp;":","")</f>
        <v/>
      </c>
      <c r="Q180" s="143" t="str">
        <f t="shared" ref="Q180:Q211" si="145">$AI255</f>
        <v/>
      </c>
      <c r="R180" s="144" t="str">
        <f t="shared" ref="R180:R211" si="146">$AJ255</f>
        <v/>
      </c>
      <c r="S180" s="261" t="str">
        <f>IF($C$9&gt;=$AA305,"#"&amp;$AA305&amp;":","")</f>
        <v/>
      </c>
      <c r="T180" s="143" t="str">
        <f>$AI305</f>
        <v/>
      </c>
      <c r="U180" s="144" t="str">
        <f>$AJ305</f>
        <v/>
      </c>
      <c r="V180" s="261" t="str">
        <f>IF($C$9&gt;=$AA355,"#"&amp;$AA355&amp;":","")</f>
        <v/>
      </c>
      <c r="W180" s="143" t="str">
        <f>$AI355</f>
        <v/>
      </c>
      <c r="X180" s="144" t="str">
        <f>$AJ355</f>
        <v/>
      </c>
      <c r="Y180" s="259"/>
      <c r="Z180" s="2"/>
      <c r="AA180" s="264">
        <v>176</v>
      </c>
      <c r="AB180" s="16" t="str">
        <f t="shared" si="123"/>
        <v/>
      </c>
      <c r="AC180" s="16" t="str">
        <f t="shared" si="124"/>
        <v/>
      </c>
      <c r="AD180" s="16" t="str">
        <f t="shared" si="118"/>
        <v/>
      </c>
      <c r="AE180" s="16" t="str">
        <f t="shared" si="119"/>
        <v/>
      </c>
      <c r="AF180" s="16" t="str">
        <f t="shared" si="120"/>
        <v/>
      </c>
      <c r="AG180" s="16" t="str">
        <f t="shared" si="125"/>
        <v/>
      </c>
      <c r="AH180" s="16" t="str">
        <f t="shared" si="126"/>
        <v/>
      </c>
      <c r="AI180" s="29" t="str">
        <f t="shared" si="121"/>
        <v/>
      </c>
      <c r="AJ180" s="29" t="str">
        <f t="shared" si="122"/>
        <v/>
      </c>
      <c r="AK180" s="2"/>
      <c r="AL180" s="2"/>
      <c r="AM180" s="2"/>
      <c r="AN180" s="2"/>
      <c r="AO180" s="2"/>
      <c r="AP180" s="2"/>
      <c r="AQ180" s="2"/>
      <c r="AR180" s="2"/>
      <c r="AS180" s="2"/>
      <c r="AT180" s="2"/>
      <c r="AU180" s="2"/>
      <c r="AV180" s="2"/>
      <c r="AW180" s="2"/>
      <c r="AX180" s="2"/>
      <c r="AY180" s="2"/>
      <c r="AZ180" s="2"/>
      <c r="BA180" s="2"/>
      <c r="BB180" s="2"/>
      <c r="BC180" s="2"/>
    </row>
    <row r="181" spans="1:55" x14ac:dyDescent="0.25">
      <c r="A181" s="260" t="str">
        <f t="shared" si="129"/>
        <v>#2:</v>
      </c>
      <c r="B181" s="147">
        <f t="shared" si="130"/>
        <v>363.72082163761382</v>
      </c>
      <c r="C181" s="148">
        <f t="shared" si="131"/>
        <v>8.0191462528234894</v>
      </c>
      <c r="D181" s="261" t="str">
        <f t="shared" si="132"/>
        <v/>
      </c>
      <c r="E181" s="147" t="str">
        <f t="shared" si="133"/>
        <v/>
      </c>
      <c r="F181" s="148" t="str">
        <f t="shared" si="134"/>
        <v/>
      </c>
      <c r="G181" s="261" t="str">
        <f t="shared" si="135"/>
        <v/>
      </c>
      <c r="H181" s="147" t="str">
        <f t="shared" si="136"/>
        <v/>
      </c>
      <c r="I181" s="148" t="str">
        <f t="shared" si="137"/>
        <v/>
      </c>
      <c r="J181" s="261" t="str">
        <f t="shared" si="138"/>
        <v/>
      </c>
      <c r="K181" s="147" t="str">
        <f t="shared" si="139"/>
        <v/>
      </c>
      <c r="L181" s="148" t="str">
        <f t="shared" si="140"/>
        <v/>
      </c>
      <c r="M181" s="261" t="str">
        <f t="shared" si="141"/>
        <v/>
      </c>
      <c r="N181" s="147" t="str">
        <f t="shared" si="142"/>
        <v/>
      </c>
      <c r="O181" s="148" t="str">
        <f t="shared" si="143"/>
        <v/>
      </c>
      <c r="P181" s="261" t="str">
        <f t="shared" si="144"/>
        <v/>
      </c>
      <c r="Q181" s="147" t="str">
        <f t="shared" si="145"/>
        <v/>
      </c>
      <c r="R181" s="148" t="str">
        <f t="shared" si="146"/>
        <v/>
      </c>
      <c r="S181" s="261" t="str">
        <f t="shared" ref="S181:S229" si="147">IF($C$9&gt;=$AA306,"#"&amp;$AA306&amp;":","")</f>
        <v/>
      </c>
      <c r="T181" s="147" t="str">
        <f t="shared" ref="T181:T229" si="148">$AI306</f>
        <v/>
      </c>
      <c r="U181" s="148" t="str">
        <f t="shared" ref="U181:U229" si="149">$AJ306</f>
        <v/>
      </c>
      <c r="V181" s="261" t="str">
        <f t="shared" ref="V181:V229" si="150">IF($C$9&gt;=$AA356,"#"&amp;$AA356&amp;":","")</f>
        <v/>
      </c>
      <c r="W181" s="147" t="str">
        <f t="shared" ref="W181:W229" si="151">$AI356</f>
        <v/>
      </c>
      <c r="X181" s="148" t="str">
        <f t="shared" ref="X181:X229" si="152">$AJ356</f>
        <v/>
      </c>
      <c r="Y181" s="259"/>
      <c r="Z181" s="2"/>
      <c r="AA181" s="264">
        <v>177</v>
      </c>
      <c r="AB181" s="16" t="str">
        <f t="shared" si="123"/>
        <v/>
      </c>
      <c r="AC181" s="16" t="str">
        <f t="shared" si="124"/>
        <v/>
      </c>
      <c r="AD181" s="16" t="str">
        <f t="shared" si="118"/>
        <v/>
      </c>
      <c r="AE181" s="16" t="str">
        <f t="shared" si="119"/>
        <v/>
      </c>
      <c r="AF181" s="16" t="str">
        <f t="shared" si="120"/>
        <v/>
      </c>
      <c r="AG181" s="16" t="str">
        <f t="shared" si="125"/>
        <v/>
      </c>
      <c r="AH181" s="16" t="str">
        <f t="shared" si="126"/>
        <v/>
      </c>
      <c r="AI181" s="29" t="str">
        <f t="shared" si="121"/>
        <v/>
      </c>
      <c r="AJ181" s="29" t="str">
        <f t="shared" si="122"/>
        <v/>
      </c>
      <c r="AK181" s="2"/>
      <c r="AL181" s="2"/>
      <c r="AM181" s="2"/>
      <c r="AN181" s="2"/>
      <c r="AO181" s="2"/>
      <c r="AP181" s="2"/>
      <c r="AQ181" s="2"/>
      <c r="AR181" s="2"/>
      <c r="AS181" s="2"/>
      <c r="AT181" s="2"/>
      <c r="AU181" s="2"/>
      <c r="AV181" s="2"/>
      <c r="AW181" s="2"/>
      <c r="AX181" s="2"/>
      <c r="AY181" s="2"/>
      <c r="AZ181" s="2"/>
      <c r="BA181" s="2"/>
      <c r="BB181" s="2"/>
      <c r="BC181" s="2"/>
    </row>
    <row r="182" spans="1:55" x14ac:dyDescent="0.25">
      <c r="A182" s="260" t="str">
        <f t="shared" si="129"/>
        <v>#3:</v>
      </c>
      <c r="B182" s="147">
        <f t="shared" si="130"/>
        <v>361.47424166465623</v>
      </c>
      <c r="C182" s="148">
        <f t="shared" si="131"/>
        <v>8.0191462528234894</v>
      </c>
      <c r="D182" s="261" t="str">
        <f t="shared" si="132"/>
        <v/>
      </c>
      <c r="E182" s="147" t="str">
        <f t="shared" si="133"/>
        <v/>
      </c>
      <c r="F182" s="148" t="str">
        <f t="shared" si="134"/>
        <v/>
      </c>
      <c r="G182" s="261" t="str">
        <f t="shared" si="135"/>
        <v/>
      </c>
      <c r="H182" s="147" t="str">
        <f t="shared" si="136"/>
        <v/>
      </c>
      <c r="I182" s="148" t="str">
        <f t="shared" si="137"/>
        <v/>
      </c>
      <c r="J182" s="261" t="str">
        <f t="shared" si="138"/>
        <v/>
      </c>
      <c r="K182" s="147" t="str">
        <f t="shared" si="139"/>
        <v/>
      </c>
      <c r="L182" s="148" t="str">
        <f t="shared" si="140"/>
        <v/>
      </c>
      <c r="M182" s="261" t="str">
        <f t="shared" si="141"/>
        <v/>
      </c>
      <c r="N182" s="147" t="str">
        <f t="shared" si="142"/>
        <v/>
      </c>
      <c r="O182" s="148" t="str">
        <f t="shared" si="143"/>
        <v/>
      </c>
      <c r="P182" s="261" t="str">
        <f t="shared" si="144"/>
        <v/>
      </c>
      <c r="Q182" s="147" t="str">
        <f t="shared" si="145"/>
        <v/>
      </c>
      <c r="R182" s="148" t="str">
        <f t="shared" si="146"/>
        <v/>
      </c>
      <c r="S182" s="261" t="str">
        <f t="shared" si="147"/>
        <v/>
      </c>
      <c r="T182" s="147" t="str">
        <f t="shared" si="148"/>
        <v/>
      </c>
      <c r="U182" s="148" t="str">
        <f t="shared" si="149"/>
        <v/>
      </c>
      <c r="V182" s="261" t="str">
        <f t="shared" si="150"/>
        <v/>
      </c>
      <c r="W182" s="147" t="str">
        <f t="shared" si="151"/>
        <v/>
      </c>
      <c r="X182" s="148" t="str">
        <f t="shared" si="152"/>
        <v/>
      </c>
      <c r="Y182" s="259"/>
      <c r="Z182" s="2"/>
      <c r="AA182" s="264">
        <v>178</v>
      </c>
      <c r="AB182" s="16" t="str">
        <f t="shared" si="123"/>
        <v/>
      </c>
      <c r="AC182" s="16" t="str">
        <f t="shared" si="124"/>
        <v/>
      </c>
      <c r="AD182" s="16" t="str">
        <f t="shared" si="118"/>
        <v/>
      </c>
      <c r="AE182" s="16" t="str">
        <f t="shared" si="119"/>
        <v/>
      </c>
      <c r="AF182" s="16" t="str">
        <f t="shared" si="120"/>
        <v/>
      </c>
      <c r="AG182" s="16" t="str">
        <f t="shared" si="125"/>
        <v/>
      </c>
      <c r="AH182" s="16" t="str">
        <f t="shared" si="126"/>
        <v/>
      </c>
      <c r="AI182" s="29" t="str">
        <f t="shared" si="121"/>
        <v/>
      </c>
      <c r="AJ182" s="29" t="str">
        <f t="shared" si="122"/>
        <v/>
      </c>
      <c r="AK182" s="2"/>
      <c r="AL182" s="2"/>
      <c r="AM182" s="2"/>
      <c r="AN182" s="2"/>
      <c r="AO182" s="2"/>
      <c r="AP182" s="2"/>
      <c r="AQ182" s="2"/>
      <c r="AR182" s="2"/>
      <c r="AS182" s="2"/>
      <c r="AT182" s="2"/>
      <c r="AU182" s="2"/>
      <c r="AV182" s="2"/>
      <c r="AW182" s="2"/>
      <c r="AX182" s="2"/>
      <c r="AY182" s="2"/>
      <c r="AZ182" s="2"/>
      <c r="BA182" s="2"/>
      <c r="BB182" s="2"/>
      <c r="BC182" s="2"/>
    </row>
    <row r="183" spans="1:55" x14ac:dyDescent="0.25">
      <c r="A183" s="260" t="str">
        <f t="shared" si="129"/>
        <v>#4:</v>
      </c>
      <c r="B183" s="147">
        <f t="shared" si="130"/>
        <v>359.22766169169864</v>
      </c>
      <c r="C183" s="148">
        <f t="shared" si="131"/>
        <v>8.0191462528234894</v>
      </c>
      <c r="D183" s="261" t="str">
        <f t="shared" si="132"/>
        <v/>
      </c>
      <c r="E183" s="147" t="str">
        <f t="shared" si="133"/>
        <v/>
      </c>
      <c r="F183" s="148" t="str">
        <f t="shared" si="134"/>
        <v/>
      </c>
      <c r="G183" s="261" t="str">
        <f t="shared" si="135"/>
        <v/>
      </c>
      <c r="H183" s="147" t="str">
        <f t="shared" si="136"/>
        <v/>
      </c>
      <c r="I183" s="148" t="str">
        <f t="shared" si="137"/>
        <v/>
      </c>
      <c r="J183" s="261" t="str">
        <f t="shared" si="138"/>
        <v/>
      </c>
      <c r="K183" s="147" t="str">
        <f t="shared" si="139"/>
        <v/>
      </c>
      <c r="L183" s="148" t="str">
        <f t="shared" si="140"/>
        <v/>
      </c>
      <c r="M183" s="261" t="str">
        <f t="shared" si="141"/>
        <v/>
      </c>
      <c r="N183" s="147" t="str">
        <f t="shared" si="142"/>
        <v/>
      </c>
      <c r="O183" s="148" t="str">
        <f t="shared" si="143"/>
        <v/>
      </c>
      <c r="P183" s="261" t="str">
        <f t="shared" si="144"/>
        <v/>
      </c>
      <c r="Q183" s="147" t="str">
        <f t="shared" si="145"/>
        <v/>
      </c>
      <c r="R183" s="148" t="str">
        <f t="shared" si="146"/>
        <v/>
      </c>
      <c r="S183" s="261" t="str">
        <f t="shared" si="147"/>
        <v/>
      </c>
      <c r="T183" s="147" t="str">
        <f t="shared" si="148"/>
        <v/>
      </c>
      <c r="U183" s="148" t="str">
        <f t="shared" si="149"/>
        <v/>
      </c>
      <c r="V183" s="261" t="str">
        <f t="shared" si="150"/>
        <v/>
      </c>
      <c r="W183" s="147" t="str">
        <f t="shared" si="151"/>
        <v/>
      </c>
      <c r="X183" s="148" t="str">
        <f t="shared" si="152"/>
        <v/>
      </c>
      <c r="Y183" s="259"/>
      <c r="Z183" s="2"/>
      <c r="AA183" s="264">
        <v>179</v>
      </c>
      <c r="AB183" s="16" t="str">
        <f t="shared" si="123"/>
        <v/>
      </c>
      <c r="AC183" s="16" t="str">
        <f t="shared" si="124"/>
        <v/>
      </c>
      <c r="AD183" s="16" t="str">
        <f t="shared" si="118"/>
        <v/>
      </c>
      <c r="AE183" s="16" t="str">
        <f t="shared" si="119"/>
        <v/>
      </c>
      <c r="AF183" s="16" t="str">
        <f t="shared" si="120"/>
        <v/>
      </c>
      <c r="AG183" s="16" t="str">
        <f t="shared" si="125"/>
        <v/>
      </c>
      <c r="AH183" s="16" t="str">
        <f t="shared" si="126"/>
        <v/>
      </c>
      <c r="AI183" s="29" t="str">
        <f t="shared" si="121"/>
        <v/>
      </c>
      <c r="AJ183" s="29" t="str">
        <f t="shared" si="122"/>
        <v/>
      </c>
      <c r="AK183" s="2"/>
      <c r="AL183" s="2"/>
      <c r="AM183" s="2"/>
      <c r="AN183" s="2"/>
      <c r="AO183" s="2"/>
      <c r="AP183" s="2"/>
      <c r="AQ183" s="2"/>
      <c r="AR183" s="2"/>
      <c r="AS183" s="2"/>
      <c r="AT183" s="2"/>
      <c r="AU183" s="2"/>
      <c r="AV183" s="2"/>
      <c r="AW183" s="2"/>
      <c r="AX183" s="2"/>
      <c r="AY183" s="2"/>
      <c r="AZ183" s="2"/>
      <c r="BA183" s="2"/>
      <c r="BB183" s="2"/>
      <c r="BC183" s="2"/>
    </row>
    <row r="184" spans="1:55" x14ac:dyDescent="0.25">
      <c r="A184" s="260" t="str">
        <f t="shared" si="129"/>
        <v>#5:</v>
      </c>
      <c r="B184" s="147">
        <f t="shared" si="130"/>
        <v>356.98108171874105</v>
      </c>
      <c r="C184" s="148">
        <f t="shared" si="131"/>
        <v>8.0191462528234894</v>
      </c>
      <c r="D184" s="261" t="str">
        <f t="shared" si="132"/>
        <v/>
      </c>
      <c r="E184" s="147" t="str">
        <f t="shared" si="133"/>
        <v/>
      </c>
      <c r="F184" s="148" t="str">
        <f t="shared" si="134"/>
        <v/>
      </c>
      <c r="G184" s="261" t="str">
        <f t="shared" si="135"/>
        <v/>
      </c>
      <c r="H184" s="147" t="str">
        <f t="shared" si="136"/>
        <v/>
      </c>
      <c r="I184" s="148" t="str">
        <f t="shared" si="137"/>
        <v/>
      </c>
      <c r="J184" s="261" t="str">
        <f t="shared" si="138"/>
        <v/>
      </c>
      <c r="K184" s="147" t="str">
        <f t="shared" si="139"/>
        <v/>
      </c>
      <c r="L184" s="148" t="str">
        <f t="shared" si="140"/>
        <v/>
      </c>
      <c r="M184" s="261" t="str">
        <f t="shared" si="141"/>
        <v/>
      </c>
      <c r="N184" s="147" t="str">
        <f t="shared" si="142"/>
        <v/>
      </c>
      <c r="O184" s="148" t="str">
        <f t="shared" si="143"/>
        <v/>
      </c>
      <c r="P184" s="261" t="str">
        <f t="shared" si="144"/>
        <v/>
      </c>
      <c r="Q184" s="147" t="str">
        <f t="shared" si="145"/>
        <v/>
      </c>
      <c r="R184" s="148" t="str">
        <f t="shared" si="146"/>
        <v/>
      </c>
      <c r="S184" s="261" t="str">
        <f t="shared" si="147"/>
        <v/>
      </c>
      <c r="T184" s="147" t="str">
        <f t="shared" si="148"/>
        <v/>
      </c>
      <c r="U184" s="148" t="str">
        <f t="shared" si="149"/>
        <v/>
      </c>
      <c r="V184" s="261" t="str">
        <f t="shared" si="150"/>
        <v/>
      </c>
      <c r="W184" s="147" t="str">
        <f t="shared" si="151"/>
        <v/>
      </c>
      <c r="X184" s="148" t="str">
        <f t="shared" si="152"/>
        <v/>
      </c>
      <c r="Y184" s="259"/>
      <c r="Z184" s="2"/>
      <c r="AA184" s="264">
        <v>180</v>
      </c>
      <c r="AB184" s="16" t="str">
        <f t="shared" si="123"/>
        <v/>
      </c>
      <c r="AC184" s="16" t="str">
        <f t="shared" si="124"/>
        <v/>
      </c>
      <c r="AD184" s="16" t="str">
        <f t="shared" si="118"/>
        <v/>
      </c>
      <c r="AE184" s="16" t="str">
        <f t="shared" si="119"/>
        <v/>
      </c>
      <c r="AF184" s="16" t="str">
        <f t="shared" si="120"/>
        <v/>
      </c>
      <c r="AG184" s="16" t="str">
        <f t="shared" si="125"/>
        <v/>
      </c>
      <c r="AH184" s="16" t="str">
        <f t="shared" si="126"/>
        <v/>
      </c>
      <c r="AI184" s="29" t="str">
        <f t="shared" si="121"/>
        <v/>
      </c>
      <c r="AJ184" s="29" t="str">
        <f t="shared" si="122"/>
        <v/>
      </c>
      <c r="AK184" s="2"/>
      <c r="AL184" s="2"/>
      <c r="AM184" s="2"/>
      <c r="AN184" s="2"/>
      <c r="AO184" s="2"/>
      <c r="AP184" s="2"/>
      <c r="AQ184" s="2"/>
      <c r="AR184" s="2"/>
      <c r="AS184" s="2"/>
      <c r="AT184" s="2"/>
      <c r="AU184" s="2"/>
      <c r="AV184" s="2"/>
      <c r="AW184" s="2"/>
      <c r="AX184" s="2"/>
      <c r="AY184" s="2"/>
      <c r="AZ184" s="2"/>
      <c r="BA184" s="2"/>
      <c r="BB184" s="2"/>
      <c r="BC184" s="2"/>
    </row>
    <row r="185" spans="1:55" x14ac:dyDescent="0.25">
      <c r="A185" s="260" t="str">
        <f t="shared" si="129"/>
        <v>#6:</v>
      </c>
      <c r="B185" s="147">
        <f t="shared" si="130"/>
        <v>354.7345017457834</v>
      </c>
      <c r="C185" s="148">
        <f t="shared" si="131"/>
        <v>8.0191462528234894</v>
      </c>
      <c r="D185" s="261" t="str">
        <f t="shared" si="132"/>
        <v/>
      </c>
      <c r="E185" s="147" t="str">
        <f t="shared" si="133"/>
        <v/>
      </c>
      <c r="F185" s="148" t="str">
        <f t="shared" si="134"/>
        <v/>
      </c>
      <c r="G185" s="261" t="str">
        <f t="shared" si="135"/>
        <v/>
      </c>
      <c r="H185" s="147" t="str">
        <f t="shared" si="136"/>
        <v/>
      </c>
      <c r="I185" s="148" t="str">
        <f t="shared" si="137"/>
        <v/>
      </c>
      <c r="J185" s="261" t="str">
        <f t="shared" si="138"/>
        <v/>
      </c>
      <c r="K185" s="147" t="str">
        <f t="shared" si="139"/>
        <v/>
      </c>
      <c r="L185" s="148" t="str">
        <f t="shared" si="140"/>
        <v/>
      </c>
      <c r="M185" s="261" t="str">
        <f t="shared" si="141"/>
        <v/>
      </c>
      <c r="N185" s="147" t="str">
        <f t="shared" si="142"/>
        <v/>
      </c>
      <c r="O185" s="148" t="str">
        <f t="shared" si="143"/>
        <v/>
      </c>
      <c r="P185" s="261" t="str">
        <f t="shared" si="144"/>
        <v/>
      </c>
      <c r="Q185" s="147" t="str">
        <f t="shared" si="145"/>
        <v/>
      </c>
      <c r="R185" s="148" t="str">
        <f t="shared" si="146"/>
        <v/>
      </c>
      <c r="S185" s="261" t="str">
        <f t="shared" si="147"/>
        <v/>
      </c>
      <c r="T185" s="147" t="str">
        <f t="shared" si="148"/>
        <v/>
      </c>
      <c r="U185" s="148" t="str">
        <f t="shared" si="149"/>
        <v/>
      </c>
      <c r="V185" s="261" t="str">
        <f t="shared" si="150"/>
        <v/>
      </c>
      <c r="W185" s="147" t="str">
        <f t="shared" si="151"/>
        <v/>
      </c>
      <c r="X185" s="148" t="str">
        <f t="shared" si="152"/>
        <v/>
      </c>
      <c r="Y185" s="259"/>
      <c r="Z185" s="2"/>
      <c r="AA185" s="264">
        <v>181</v>
      </c>
      <c r="AB185" s="16" t="str">
        <f t="shared" si="123"/>
        <v/>
      </c>
      <c r="AC185" s="16" t="str">
        <f t="shared" si="124"/>
        <v/>
      </c>
      <c r="AD185" s="16" t="str">
        <f t="shared" si="118"/>
        <v/>
      </c>
      <c r="AE185" s="16" t="str">
        <f t="shared" si="119"/>
        <v/>
      </c>
      <c r="AF185" s="16" t="str">
        <f t="shared" si="120"/>
        <v/>
      </c>
      <c r="AG185" s="16" t="str">
        <f t="shared" si="125"/>
        <v/>
      </c>
      <c r="AH185" s="16" t="str">
        <f t="shared" si="126"/>
        <v/>
      </c>
      <c r="AI185" s="29" t="str">
        <f t="shared" si="121"/>
        <v/>
      </c>
      <c r="AJ185" s="29" t="str">
        <f t="shared" si="122"/>
        <v/>
      </c>
      <c r="AK185" s="2"/>
      <c r="AL185" s="2"/>
      <c r="AM185" s="2"/>
      <c r="AN185" s="2"/>
      <c r="AO185" s="2"/>
      <c r="AP185" s="2"/>
      <c r="AQ185" s="2"/>
      <c r="AR185" s="2"/>
      <c r="AS185" s="2"/>
      <c r="AT185" s="2"/>
      <c r="AU185" s="2"/>
      <c r="AV185" s="2"/>
      <c r="AW185" s="2"/>
      <c r="AX185" s="2"/>
      <c r="AY185" s="2"/>
      <c r="AZ185" s="2"/>
      <c r="BA185" s="2"/>
      <c r="BB185" s="2"/>
      <c r="BC185" s="2"/>
    </row>
    <row r="186" spans="1:55" x14ac:dyDescent="0.25">
      <c r="A186" s="260" t="str">
        <f t="shared" si="129"/>
        <v>#7:</v>
      </c>
      <c r="B186" s="147">
        <f t="shared" si="130"/>
        <v>352.48792177282581</v>
      </c>
      <c r="C186" s="148">
        <f t="shared" si="131"/>
        <v>8.0191462528234894</v>
      </c>
      <c r="D186" s="261" t="str">
        <f t="shared" si="132"/>
        <v/>
      </c>
      <c r="E186" s="147" t="str">
        <f t="shared" si="133"/>
        <v/>
      </c>
      <c r="F186" s="148" t="str">
        <f t="shared" si="134"/>
        <v/>
      </c>
      <c r="G186" s="261" t="str">
        <f t="shared" si="135"/>
        <v/>
      </c>
      <c r="H186" s="147" t="str">
        <f t="shared" si="136"/>
        <v/>
      </c>
      <c r="I186" s="148" t="str">
        <f t="shared" si="137"/>
        <v/>
      </c>
      <c r="J186" s="261" t="str">
        <f t="shared" si="138"/>
        <v/>
      </c>
      <c r="K186" s="147" t="str">
        <f t="shared" si="139"/>
        <v/>
      </c>
      <c r="L186" s="148" t="str">
        <f t="shared" si="140"/>
        <v/>
      </c>
      <c r="M186" s="261" t="str">
        <f t="shared" si="141"/>
        <v/>
      </c>
      <c r="N186" s="147" t="str">
        <f t="shared" si="142"/>
        <v/>
      </c>
      <c r="O186" s="148" t="str">
        <f t="shared" si="143"/>
        <v/>
      </c>
      <c r="P186" s="261" t="str">
        <f t="shared" si="144"/>
        <v/>
      </c>
      <c r="Q186" s="147" t="str">
        <f t="shared" si="145"/>
        <v/>
      </c>
      <c r="R186" s="148" t="str">
        <f t="shared" si="146"/>
        <v/>
      </c>
      <c r="S186" s="261" t="str">
        <f t="shared" si="147"/>
        <v/>
      </c>
      <c r="T186" s="147" t="str">
        <f t="shared" si="148"/>
        <v/>
      </c>
      <c r="U186" s="148" t="str">
        <f t="shared" si="149"/>
        <v/>
      </c>
      <c r="V186" s="261" t="str">
        <f t="shared" si="150"/>
        <v/>
      </c>
      <c r="W186" s="147" t="str">
        <f t="shared" si="151"/>
        <v/>
      </c>
      <c r="X186" s="148" t="str">
        <f t="shared" si="152"/>
        <v/>
      </c>
      <c r="Y186" s="259"/>
      <c r="Z186" s="2"/>
      <c r="AA186" s="264">
        <v>182</v>
      </c>
      <c r="AB186" s="16" t="str">
        <f t="shared" si="123"/>
        <v/>
      </c>
      <c r="AC186" s="16" t="str">
        <f t="shared" si="124"/>
        <v/>
      </c>
      <c r="AD186" s="16" t="str">
        <f t="shared" si="118"/>
        <v/>
      </c>
      <c r="AE186" s="16" t="str">
        <f t="shared" si="119"/>
        <v/>
      </c>
      <c r="AF186" s="16" t="str">
        <f t="shared" si="120"/>
        <v/>
      </c>
      <c r="AG186" s="16" t="str">
        <f t="shared" si="125"/>
        <v/>
      </c>
      <c r="AH186" s="16" t="str">
        <f t="shared" si="126"/>
        <v/>
      </c>
      <c r="AI186" s="29" t="str">
        <f t="shared" si="121"/>
        <v/>
      </c>
      <c r="AJ186" s="29" t="str">
        <f t="shared" si="122"/>
        <v/>
      </c>
      <c r="AK186" s="2"/>
      <c r="AL186" s="2"/>
      <c r="AM186" s="2"/>
      <c r="AN186" s="2"/>
      <c r="AO186" s="2"/>
      <c r="AP186" s="2"/>
      <c r="AQ186" s="2"/>
      <c r="AR186" s="2"/>
      <c r="AS186" s="2"/>
      <c r="AT186" s="2"/>
      <c r="AU186" s="2"/>
      <c r="AV186" s="2"/>
      <c r="AW186" s="2"/>
      <c r="AX186" s="2"/>
      <c r="AY186" s="2"/>
      <c r="AZ186" s="2"/>
      <c r="BA186" s="2"/>
      <c r="BB186" s="2"/>
      <c r="BC186" s="2"/>
    </row>
    <row r="187" spans="1:55" x14ac:dyDescent="0.25">
      <c r="A187" s="260" t="str">
        <f t="shared" si="129"/>
        <v>#8:</v>
      </c>
      <c r="B187" s="147">
        <f t="shared" si="130"/>
        <v>350.24134179986822</v>
      </c>
      <c r="C187" s="148">
        <f t="shared" si="131"/>
        <v>8.0191462528234894</v>
      </c>
      <c r="D187" s="261" t="str">
        <f t="shared" si="132"/>
        <v/>
      </c>
      <c r="E187" s="147" t="str">
        <f t="shared" si="133"/>
        <v/>
      </c>
      <c r="F187" s="148" t="str">
        <f t="shared" si="134"/>
        <v/>
      </c>
      <c r="G187" s="261" t="str">
        <f t="shared" si="135"/>
        <v/>
      </c>
      <c r="H187" s="147" t="str">
        <f t="shared" si="136"/>
        <v/>
      </c>
      <c r="I187" s="148" t="str">
        <f t="shared" si="137"/>
        <v/>
      </c>
      <c r="J187" s="261" t="str">
        <f t="shared" si="138"/>
        <v/>
      </c>
      <c r="K187" s="147" t="str">
        <f t="shared" si="139"/>
        <v/>
      </c>
      <c r="L187" s="148" t="str">
        <f t="shared" si="140"/>
        <v/>
      </c>
      <c r="M187" s="261" t="str">
        <f t="shared" si="141"/>
        <v/>
      </c>
      <c r="N187" s="147" t="str">
        <f t="shared" si="142"/>
        <v/>
      </c>
      <c r="O187" s="148" t="str">
        <f t="shared" si="143"/>
        <v/>
      </c>
      <c r="P187" s="261" t="str">
        <f t="shared" si="144"/>
        <v/>
      </c>
      <c r="Q187" s="147" t="str">
        <f t="shared" si="145"/>
        <v/>
      </c>
      <c r="R187" s="148" t="str">
        <f t="shared" si="146"/>
        <v/>
      </c>
      <c r="S187" s="261" t="str">
        <f t="shared" si="147"/>
        <v/>
      </c>
      <c r="T187" s="147" t="str">
        <f t="shared" si="148"/>
        <v/>
      </c>
      <c r="U187" s="148" t="str">
        <f t="shared" si="149"/>
        <v/>
      </c>
      <c r="V187" s="261" t="str">
        <f t="shared" si="150"/>
        <v/>
      </c>
      <c r="W187" s="147" t="str">
        <f t="shared" si="151"/>
        <v/>
      </c>
      <c r="X187" s="148" t="str">
        <f t="shared" si="152"/>
        <v/>
      </c>
      <c r="Y187" s="259"/>
      <c r="Z187" s="2"/>
      <c r="AA187" s="264">
        <v>183</v>
      </c>
      <c r="AB187" s="16" t="str">
        <f t="shared" si="123"/>
        <v/>
      </c>
      <c r="AC187" s="16" t="str">
        <f t="shared" si="124"/>
        <v/>
      </c>
      <c r="AD187" s="16" t="str">
        <f t="shared" si="118"/>
        <v/>
      </c>
      <c r="AE187" s="16" t="str">
        <f t="shared" si="119"/>
        <v/>
      </c>
      <c r="AF187" s="16" t="str">
        <f t="shared" si="120"/>
        <v/>
      </c>
      <c r="AG187" s="16" t="str">
        <f t="shared" si="125"/>
        <v/>
      </c>
      <c r="AH187" s="16" t="str">
        <f t="shared" si="126"/>
        <v/>
      </c>
      <c r="AI187" s="29" t="str">
        <f t="shared" si="121"/>
        <v/>
      </c>
      <c r="AJ187" s="29" t="str">
        <f t="shared" si="122"/>
        <v/>
      </c>
      <c r="AK187" s="2"/>
      <c r="AL187" s="2"/>
      <c r="AM187" s="2"/>
      <c r="AN187" s="2"/>
      <c r="AO187" s="2"/>
      <c r="AP187" s="2"/>
      <c r="AQ187" s="2"/>
      <c r="AR187" s="2"/>
      <c r="AS187" s="2"/>
      <c r="AT187" s="2"/>
      <c r="AU187" s="2"/>
      <c r="AV187" s="2"/>
      <c r="AW187" s="2"/>
      <c r="AX187" s="2"/>
      <c r="AY187" s="2"/>
      <c r="AZ187" s="2"/>
      <c r="BA187" s="2"/>
      <c r="BB187" s="2"/>
      <c r="BC187" s="2"/>
    </row>
    <row r="188" spans="1:55" x14ac:dyDescent="0.25">
      <c r="A188" s="260" t="str">
        <f t="shared" si="129"/>
        <v>#9:</v>
      </c>
      <c r="B188" s="147">
        <f t="shared" si="130"/>
        <v>347.99476182691063</v>
      </c>
      <c r="C188" s="148">
        <f t="shared" si="131"/>
        <v>8.0191462528234894</v>
      </c>
      <c r="D188" s="261" t="str">
        <f t="shared" si="132"/>
        <v/>
      </c>
      <c r="E188" s="147" t="str">
        <f t="shared" si="133"/>
        <v/>
      </c>
      <c r="F188" s="148" t="str">
        <f t="shared" si="134"/>
        <v/>
      </c>
      <c r="G188" s="261" t="str">
        <f t="shared" si="135"/>
        <v/>
      </c>
      <c r="H188" s="147" t="str">
        <f t="shared" si="136"/>
        <v/>
      </c>
      <c r="I188" s="148" t="str">
        <f t="shared" si="137"/>
        <v/>
      </c>
      <c r="J188" s="261" t="str">
        <f t="shared" si="138"/>
        <v/>
      </c>
      <c r="K188" s="147" t="str">
        <f t="shared" si="139"/>
        <v/>
      </c>
      <c r="L188" s="148" t="str">
        <f t="shared" si="140"/>
        <v/>
      </c>
      <c r="M188" s="261" t="str">
        <f t="shared" si="141"/>
        <v/>
      </c>
      <c r="N188" s="147" t="str">
        <f t="shared" si="142"/>
        <v/>
      </c>
      <c r="O188" s="148" t="str">
        <f t="shared" si="143"/>
        <v/>
      </c>
      <c r="P188" s="261" t="str">
        <f t="shared" si="144"/>
        <v/>
      </c>
      <c r="Q188" s="147" t="str">
        <f t="shared" si="145"/>
        <v/>
      </c>
      <c r="R188" s="148" t="str">
        <f t="shared" si="146"/>
        <v/>
      </c>
      <c r="S188" s="261" t="str">
        <f t="shared" si="147"/>
        <v/>
      </c>
      <c r="T188" s="147" t="str">
        <f t="shared" si="148"/>
        <v/>
      </c>
      <c r="U188" s="148" t="str">
        <f t="shared" si="149"/>
        <v/>
      </c>
      <c r="V188" s="261" t="str">
        <f t="shared" si="150"/>
        <v/>
      </c>
      <c r="W188" s="147" t="str">
        <f t="shared" si="151"/>
        <v/>
      </c>
      <c r="X188" s="148" t="str">
        <f t="shared" si="152"/>
        <v/>
      </c>
      <c r="Y188" s="259"/>
      <c r="Z188" s="2"/>
      <c r="AA188" s="264">
        <v>184</v>
      </c>
      <c r="AB188" s="16" t="str">
        <f t="shared" si="123"/>
        <v/>
      </c>
      <c r="AC188" s="16" t="str">
        <f t="shared" si="124"/>
        <v/>
      </c>
      <c r="AD188" s="16" t="str">
        <f t="shared" si="118"/>
        <v/>
      </c>
      <c r="AE188" s="16" t="str">
        <f t="shared" si="119"/>
        <v/>
      </c>
      <c r="AF188" s="16" t="str">
        <f t="shared" si="120"/>
        <v/>
      </c>
      <c r="AG188" s="16" t="str">
        <f t="shared" si="125"/>
        <v/>
      </c>
      <c r="AH188" s="16" t="str">
        <f t="shared" si="126"/>
        <v/>
      </c>
      <c r="AI188" s="29" t="str">
        <f t="shared" si="121"/>
        <v/>
      </c>
      <c r="AJ188" s="29" t="str">
        <f t="shared" si="122"/>
        <v/>
      </c>
      <c r="AK188" s="2"/>
      <c r="AL188" s="2"/>
      <c r="AM188" s="2"/>
      <c r="AN188" s="2"/>
      <c r="AO188" s="2"/>
      <c r="AP188" s="2"/>
      <c r="AQ188" s="2"/>
      <c r="AR188" s="2"/>
      <c r="AS188" s="2"/>
      <c r="AT188" s="2"/>
      <c r="AU188" s="2"/>
      <c r="AV188" s="2"/>
      <c r="AW188" s="2"/>
      <c r="AX188" s="2"/>
      <c r="AY188" s="2"/>
      <c r="AZ188" s="2"/>
      <c r="BA188" s="2"/>
      <c r="BB188" s="2"/>
      <c r="BC188" s="2"/>
    </row>
    <row r="189" spans="1:55" x14ac:dyDescent="0.25">
      <c r="A189" s="260" t="str">
        <f t="shared" si="129"/>
        <v>#10:</v>
      </c>
      <c r="B189" s="147">
        <f t="shared" si="130"/>
        <v>345.74818185395304</v>
      </c>
      <c r="C189" s="148">
        <f t="shared" si="131"/>
        <v>8.0191462528234894</v>
      </c>
      <c r="D189" s="261" t="str">
        <f t="shared" si="132"/>
        <v/>
      </c>
      <c r="E189" s="147" t="str">
        <f t="shared" si="133"/>
        <v/>
      </c>
      <c r="F189" s="148" t="str">
        <f t="shared" si="134"/>
        <v/>
      </c>
      <c r="G189" s="261" t="str">
        <f t="shared" si="135"/>
        <v/>
      </c>
      <c r="H189" s="147" t="str">
        <f t="shared" si="136"/>
        <v/>
      </c>
      <c r="I189" s="148" t="str">
        <f t="shared" si="137"/>
        <v/>
      </c>
      <c r="J189" s="261" t="str">
        <f t="shared" si="138"/>
        <v/>
      </c>
      <c r="K189" s="147" t="str">
        <f t="shared" si="139"/>
        <v/>
      </c>
      <c r="L189" s="148" t="str">
        <f t="shared" si="140"/>
        <v/>
      </c>
      <c r="M189" s="261" t="str">
        <f t="shared" si="141"/>
        <v/>
      </c>
      <c r="N189" s="147" t="str">
        <f t="shared" si="142"/>
        <v/>
      </c>
      <c r="O189" s="148" t="str">
        <f t="shared" si="143"/>
        <v/>
      </c>
      <c r="P189" s="261" t="str">
        <f t="shared" si="144"/>
        <v/>
      </c>
      <c r="Q189" s="147" t="str">
        <f t="shared" si="145"/>
        <v/>
      </c>
      <c r="R189" s="148" t="str">
        <f t="shared" si="146"/>
        <v/>
      </c>
      <c r="S189" s="261" t="str">
        <f t="shared" si="147"/>
        <v/>
      </c>
      <c r="T189" s="147" t="str">
        <f t="shared" si="148"/>
        <v/>
      </c>
      <c r="U189" s="148" t="str">
        <f t="shared" si="149"/>
        <v/>
      </c>
      <c r="V189" s="261" t="str">
        <f t="shared" si="150"/>
        <v/>
      </c>
      <c r="W189" s="147" t="str">
        <f t="shared" si="151"/>
        <v/>
      </c>
      <c r="X189" s="148" t="str">
        <f t="shared" si="152"/>
        <v/>
      </c>
      <c r="Y189" s="259"/>
      <c r="Z189" s="2"/>
      <c r="AA189" s="264">
        <v>185</v>
      </c>
      <c r="AB189" s="16" t="str">
        <f t="shared" si="123"/>
        <v/>
      </c>
      <c r="AC189" s="16" t="str">
        <f t="shared" si="124"/>
        <v/>
      </c>
      <c r="AD189" s="16" t="str">
        <f t="shared" si="118"/>
        <v/>
      </c>
      <c r="AE189" s="16" t="str">
        <f t="shared" si="119"/>
        <v/>
      </c>
      <c r="AF189" s="16" t="str">
        <f t="shared" si="120"/>
        <v/>
      </c>
      <c r="AG189" s="16" t="str">
        <f t="shared" si="125"/>
        <v/>
      </c>
      <c r="AH189" s="16" t="str">
        <f t="shared" si="126"/>
        <v/>
      </c>
      <c r="AI189" s="29" t="str">
        <f t="shared" si="121"/>
        <v/>
      </c>
      <c r="AJ189" s="29" t="str">
        <f t="shared" si="122"/>
        <v/>
      </c>
      <c r="AK189" s="2"/>
      <c r="AL189" s="2"/>
      <c r="AM189" s="2"/>
      <c r="AN189" s="2"/>
      <c r="AO189" s="2"/>
      <c r="AP189" s="2"/>
      <c r="AQ189" s="2"/>
      <c r="AR189" s="2"/>
      <c r="AS189" s="2"/>
      <c r="AT189" s="2"/>
      <c r="AU189" s="2"/>
      <c r="AV189" s="2"/>
      <c r="AW189" s="2"/>
      <c r="AX189" s="2"/>
      <c r="AY189" s="2"/>
      <c r="AZ189" s="2"/>
      <c r="BA189" s="2"/>
      <c r="BB189" s="2"/>
      <c r="BC189" s="2"/>
    </row>
    <row r="190" spans="1:55" x14ac:dyDescent="0.25">
      <c r="A190" s="260" t="str">
        <f t="shared" si="129"/>
        <v>#11:</v>
      </c>
      <c r="B190" s="147">
        <f t="shared" si="130"/>
        <v>351.13997378906328</v>
      </c>
      <c r="C190" s="148">
        <f t="shared" si="131"/>
        <v>8.0191462528234894</v>
      </c>
      <c r="D190" s="261" t="str">
        <f t="shared" si="132"/>
        <v/>
      </c>
      <c r="E190" s="147" t="str">
        <f t="shared" si="133"/>
        <v/>
      </c>
      <c r="F190" s="148" t="str">
        <f t="shared" si="134"/>
        <v/>
      </c>
      <c r="G190" s="261" t="str">
        <f t="shared" si="135"/>
        <v/>
      </c>
      <c r="H190" s="147" t="str">
        <f t="shared" si="136"/>
        <v/>
      </c>
      <c r="I190" s="148" t="str">
        <f t="shared" si="137"/>
        <v/>
      </c>
      <c r="J190" s="261" t="str">
        <f t="shared" si="138"/>
        <v/>
      </c>
      <c r="K190" s="147" t="str">
        <f t="shared" si="139"/>
        <v/>
      </c>
      <c r="L190" s="148" t="str">
        <f t="shared" si="140"/>
        <v/>
      </c>
      <c r="M190" s="261" t="str">
        <f t="shared" si="141"/>
        <v/>
      </c>
      <c r="N190" s="147" t="str">
        <f t="shared" si="142"/>
        <v/>
      </c>
      <c r="O190" s="148" t="str">
        <f t="shared" si="143"/>
        <v/>
      </c>
      <c r="P190" s="261" t="str">
        <f t="shared" si="144"/>
        <v/>
      </c>
      <c r="Q190" s="147" t="str">
        <f t="shared" si="145"/>
        <v/>
      </c>
      <c r="R190" s="148" t="str">
        <f t="shared" si="146"/>
        <v/>
      </c>
      <c r="S190" s="261" t="str">
        <f t="shared" si="147"/>
        <v/>
      </c>
      <c r="T190" s="147" t="str">
        <f t="shared" si="148"/>
        <v/>
      </c>
      <c r="U190" s="148" t="str">
        <f t="shared" si="149"/>
        <v/>
      </c>
      <c r="V190" s="261" t="str">
        <f t="shared" si="150"/>
        <v/>
      </c>
      <c r="W190" s="147" t="str">
        <f t="shared" si="151"/>
        <v/>
      </c>
      <c r="X190" s="148" t="str">
        <f t="shared" si="152"/>
        <v/>
      </c>
      <c r="Y190" s="259"/>
      <c r="Z190" s="2"/>
      <c r="AA190" s="264">
        <v>186</v>
      </c>
      <c r="AB190" s="16" t="str">
        <f t="shared" si="123"/>
        <v/>
      </c>
      <c r="AC190" s="16" t="str">
        <f t="shared" si="124"/>
        <v/>
      </c>
      <c r="AD190" s="16" t="str">
        <f t="shared" si="118"/>
        <v/>
      </c>
      <c r="AE190" s="16" t="str">
        <f t="shared" si="119"/>
        <v/>
      </c>
      <c r="AF190" s="16" t="str">
        <f t="shared" si="120"/>
        <v/>
      </c>
      <c r="AG190" s="16" t="str">
        <f t="shared" si="125"/>
        <v/>
      </c>
      <c r="AH190" s="16" t="str">
        <f t="shared" si="126"/>
        <v/>
      </c>
      <c r="AI190" s="29" t="str">
        <f t="shared" si="121"/>
        <v/>
      </c>
      <c r="AJ190" s="29" t="str">
        <f t="shared" si="122"/>
        <v/>
      </c>
      <c r="AK190" s="2"/>
      <c r="AL190" s="2"/>
      <c r="AM190" s="2"/>
      <c r="AN190" s="2"/>
      <c r="AO190" s="2"/>
      <c r="AP190" s="2"/>
      <c r="AQ190" s="2"/>
      <c r="AR190" s="2"/>
      <c r="AS190" s="2"/>
      <c r="AT190" s="2"/>
      <c r="AU190" s="2"/>
      <c r="AV190" s="2"/>
      <c r="AW190" s="2"/>
      <c r="AX190" s="2"/>
      <c r="AY190" s="2"/>
      <c r="AZ190" s="2"/>
      <c r="BA190" s="2"/>
      <c r="BB190" s="2"/>
      <c r="BC190" s="2"/>
    </row>
    <row r="191" spans="1:55" x14ac:dyDescent="0.25">
      <c r="A191" s="260" t="str">
        <f t="shared" si="129"/>
        <v>#12:</v>
      </c>
      <c r="B191" s="147">
        <f t="shared" si="130"/>
        <v>348.89339381610569</v>
      </c>
      <c r="C191" s="148">
        <f t="shared" si="131"/>
        <v>8.0191462528234894</v>
      </c>
      <c r="D191" s="261" t="str">
        <f t="shared" si="132"/>
        <v/>
      </c>
      <c r="E191" s="147" t="str">
        <f t="shared" si="133"/>
        <v/>
      </c>
      <c r="F191" s="148" t="str">
        <f t="shared" si="134"/>
        <v/>
      </c>
      <c r="G191" s="261" t="str">
        <f t="shared" si="135"/>
        <v/>
      </c>
      <c r="H191" s="147" t="str">
        <f t="shared" si="136"/>
        <v/>
      </c>
      <c r="I191" s="148" t="str">
        <f t="shared" si="137"/>
        <v/>
      </c>
      <c r="J191" s="261" t="str">
        <f t="shared" si="138"/>
        <v/>
      </c>
      <c r="K191" s="147" t="str">
        <f t="shared" si="139"/>
        <v/>
      </c>
      <c r="L191" s="148" t="str">
        <f t="shared" si="140"/>
        <v/>
      </c>
      <c r="M191" s="261" t="str">
        <f t="shared" si="141"/>
        <v/>
      </c>
      <c r="N191" s="147" t="str">
        <f t="shared" si="142"/>
        <v/>
      </c>
      <c r="O191" s="148" t="str">
        <f t="shared" si="143"/>
        <v/>
      </c>
      <c r="P191" s="261" t="str">
        <f t="shared" si="144"/>
        <v/>
      </c>
      <c r="Q191" s="147" t="str">
        <f t="shared" si="145"/>
        <v/>
      </c>
      <c r="R191" s="148" t="str">
        <f t="shared" si="146"/>
        <v/>
      </c>
      <c r="S191" s="261" t="str">
        <f t="shared" si="147"/>
        <v/>
      </c>
      <c r="T191" s="147" t="str">
        <f t="shared" si="148"/>
        <v/>
      </c>
      <c r="U191" s="148" t="str">
        <f t="shared" si="149"/>
        <v/>
      </c>
      <c r="V191" s="261" t="str">
        <f t="shared" si="150"/>
        <v/>
      </c>
      <c r="W191" s="147" t="str">
        <f t="shared" si="151"/>
        <v/>
      </c>
      <c r="X191" s="148" t="str">
        <f t="shared" si="152"/>
        <v/>
      </c>
      <c r="Y191" s="259"/>
      <c r="Z191" s="2"/>
      <c r="AA191" s="264">
        <v>187</v>
      </c>
      <c r="AB191" s="16" t="str">
        <f t="shared" si="123"/>
        <v/>
      </c>
      <c r="AC191" s="16" t="str">
        <f t="shared" si="124"/>
        <v/>
      </c>
      <c r="AD191" s="16" t="str">
        <f t="shared" si="118"/>
        <v/>
      </c>
      <c r="AE191" s="16" t="str">
        <f t="shared" si="119"/>
        <v/>
      </c>
      <c r="AF191" s="16" t="str">
        <f t="shared" si="120"/>
        <v/>
      </c>
      <c r="AG191" s="16" t="str">
        <f t="shared" si="125"/>
        <v/>
      </c>
      <c r="AH191" s="16" t="str">
        <f t="shared" si="126"/>
        <v/>
      </c>
      <c r="AI191" s="29" t="str">
        <f t="shared" si="121"/>
        <v/>
      </c>
      <c r="AJ191" s="29" t="str">
        <f t="shared" si="122"/>
        <v/>
      </c>
      <c r="AK191" s="2"/>
      <c r="AL191" s="2"/>
      <c r="AM191" s="2"/>
      <c r="AN191" s="2"/>
      <c r="AO191" s="2"/>
      <c r="AP191" s="2"/>
      <c r="AQ191" s="2"/>
      <c r="AR191" s="2"/>
      <c r="AS191" s="2"/>
      <c r="AT191" s="2"/>
      <c r="AU191" s="2"/>
      <c r="AV191" s="2"/>
      <c r="AW191" s="2"/>
      <c r="AX191" s="2"/>
      <c r="AY191" s="2"/>
      <c r="AZ191" s="2"/>
      <c r="BA191" s="2"/>
      <c r="BB191" s="2"/>
      <c r="BC191" s="2"/>
    </row>
    <row r="192" spans="1:55" x14ac:dyDescent="0.25">
      <c r="A192" s="260" t="str">
        <f t="shared" si="129"/>
        <v>#13:</v>
      </c>
      <c r="B192" s="147">
        <f t="shared" si="130"/>
        <v>346.6468138431481</v>
      </c>
      <c r="C192" s="148">
        <f t="shared" si="131"/>
        <v>8.0191462528234894</v>
      </c>
      <c r="D192" s="261" t="str">
        <f t="shared" si="132"/>
        <v/>
      </c>
      <c r="E192" s="147" t="str">
        <f t="shared" si="133"/>
        <v/>
      </c>
      <c r="F192" s="148" t="str">
        <f t="shared" si="134"/>
        <v/>
      </c>
      <c r="G192" s="261" t="str">
        <f t="shared" si="135"/>
        <v/>
      </c>
      <c r="H192" s="147" t="str">
        <f t="shared" si="136"/>
        <v/>
      </c>
      <c r="I192" s="148" t="str">
        <f t="shared" si="137"/>
        <v/>
      </c>
      <c r="J192" s="261" t="str">
        <f t="shared" si="138"/>
        <v/>
      </c>
      <c r="K192" s="147" t="str">
        <f t="shared" si="139"/>
        <v/>
      </c>
      <c r="L192" s="148" t="str">
        <f t="shared" si="140"/>
        <v/>
      </c>
      <c r="M192" s="261" t="str">
        <f t="shared" si="141"/>
        <v/>
      </c>
      <c r="N192" s="147" t="str">
        <f t="shared" si="142"/>
        <v/>
      </c>
      <c r="O192" s="148" t="str">
        <f t="shared" si="143"/>
        <v/>
      </c>
      <c r="P192" s="261" t="str">
        <f t="shared" si="144"/>
        <v/>
      </c>
      <c r="Q192" s="147" t="str">
        <f t="shared" si="145"/>
        <v/>
      </c>
      <c r="R192" s="148" t="str">
        <f t="shared" si="146"/>
        <v/>
      </c>
      <c r="S192" s="261" t="str">
        <f t="shared" si="147"/>
        <v/>
      </c>
      <c r="T192" s="147" t="str">
        <f t="shared" si="148"/>
        <v/>
      </c>
      <c r="U192" s="148" t="str">
        <f t="shared" si="149"/>
        <v/>
      </c>
      <c r="V192" s="261" t="str">
        <f t="shared" si="150"/>
        <v/>
      </c>
      <c r="W192" s="147" t="str">
        <f t="shared" si="151"/>
        <v/>
      </c>
      <c r="X192" s="148" t="str">
        <f t="shared" si="152"/>
        <v/>
      </c>
      <c r="Y192" s="259"/>
      <c r="Z192" s="2"/>
      <c r="AA192" s="264">
        <v>188</v>
      </c>
      <c r="AB192" s="16" t="str">
        <f t="shared" si="123"/>
        <v/>
      </c>
      <c r="AC192" s="16" t="str">
        <f t="shared" si="124"/>
        <v/>
      </c>
      <c r="AD192" s="16" t="str">
        <f t="shared" si="118"/>
        <v/>
      </c>
      <c r="AE192" s="16" t="str">
        <f t="shared" si="119"/>
        <v/>
      </c>
      <c r="AF192" s="16" t="str">
        <f t="shared" si="120"/>
        <v/>
      </c>
      <c r="AG192" s="16" t="str">
        <f t="shared" si="125"/>
        <v/>
      </c>
      <c r="AH192" s="16" t="str">
        <f t="shared" si="126"/>
        <v/>
      </c>
      <c r="AI192" s="29" t="str">
        <f t="shared" si="121"/>
        <v/>
      </c>
      <c r="AJ192" s="29" t="str">
        <f t="shared" si="122"/>
        <v/>
      </c>
      <c r="AK192" s="2"/>
      <c r="AL192" s="2"/>
      <c r="AM192" s="2"/>
      <c r="AN192" s="2"/>
      <c r="AO192" s="2"/>
      <c r="AP192" s="2"/>
      <c r="AQ192" s="2"/>
      <c r="AR192" s="2"/>
      <c r="AS192" s="2"/>
      <c r="AT192" s="2"/>
      <c r="AU192" s="2"/>
      <c r="AV192" s="2"/>
      <c r="AW192" s="2"/>
      <c r="AX192" s="2"/>
      <c r="AY192" s="2"/>
      <c r="AZ192" s="2"/>
      <c r="BA192" s="2"/>
      <c r="BB192" s="2"/>
      <c r="BC192" s="2"/>
    </row>
    <row r="193" spans="1:55" x14ac:dyDescent="0.25">
      <c r="A193" s="260" t="str">
        <f t="shared" si="129"/>
        <v>#14:</v>
      </c>
      <c r="B193" s="147">
        <f t="shared" si="130"/>
        <v>344.4002338701905</v>
      </c>
      <c r="C193" s="148">
        <f t="shared" si="131"/>
        <v>8.0191462528234894</v>
      </c>
      <c r="D193" s="261" t="str">
        <f t="shared" si="132"/>
        <v/>
      </c>
      <c r="E193" s="147" t="str">
        <f t="shared" si="133"/>
        <v/>
      </c>
      <c r="F193" s="148" t="str">
        <f t="shared" si="134"/>
        <v/>
      </c>
      <c r="G193" s="261" t="str">
        <f t="shared" si="135"/>
        <v/>
      </c>
      <c r="H193" s="147" t="str">
        <f t="shared" si="136"/>
        <v/>
      </c>
      <c r="I193" s="148" t="str">
        <f t="shared" si="137"/>
        <v/>
      </c>
      <c r="J193" s="261" t="str">
        <f t="shared" si="138"/>
        <v/>
      </c>
      <c r="K193" s="147" t="str">
        <f t="shared" si="139"/>
        <v/>
      </c>
      <c r="L193" s="148" t="str">
        <f t="shared" si="140"/>
        <v/>
      </c>
      <c r="M193" s="261" t="str">
        <f t="shared" si="141"/>
        <v/>
      </c>
      <c r="N193" s="147" t="str">
        <f t="shared" si="142"/>
        <v/>
      </c>
      <c r="O193" s="148" t="str">
        <f t="shared" si="143"/>
        <v/>
      </c>
      <c r="P193" s="261" t="str">
        <f t="shared" si="144"/>
        <v/>
      </c>
      <c r="Q193" s="147" t="str">
        <f t="shared" si="145"/>
        <v/>
      </c>
      <c r="R193" s="148" t="str">
        <f t="shared" si="146"/>
        <v/>
      </c>
      <c r="S193" s="261" t="str">
        <f t="shared" si="147"/>
        <v/>
      </c>
      <c r="T193" s="147" t="str">
        <f t="shared" si="148"/>
        <v/>
      </c>
      <c r="U193" s="148" t="str">
        <f t="shared" si="149"/>
        <v/>
      </c>
      <c r="V193" s="261" t="str">
        <f t="shared" si="150"/>
        <v/>
      </c>
      <c r="W193" s="147" t="str">
        <f t="shared" si="151"/>
        <v/>
      </c>
      <c r="X193" s="148" t="str">
        <f t="shared" si="152"/>
        <v/>
      </c>
      <c r="Y193" s="259"/>
      <c r="Z193" s="2"/>
      <c r="AA193" s="264">
        <v>189</v>
      </c>
      <c r="AB193" s="16" t="str">
        <f t="shared" si="123"/>
        <v/>
      </c>
      <c r="AC193" s="16" t="str">
        <f t="shared" si="124"/>
        <v/>
      </c>
      <c r="AD193" s="16" t="str">
        <f t="shared" si="118"/>
        <v/>
      </c>
      <c r="AE193" s="16" t="str">
        <f t="shared" si="119"/>
        <v/>
      </c>
      <c r="AF193" s="16" t="str">
        <f t="shared" si="120"/>
        <v/>
      </c>
      <c r="AG193" s="16" t="str">
        <f t="shared" si="125"/>
        <v/>
      </c>
      <c r="AH193" s="16" t="str">
        <f t="shared" si="126"/>
        <v/>
      </c>
      <c r="AI193" s="29" t="str">
        <f t="shared" si="121"/>
        <v/>
      </c>
      <c r="AJ193" s="29" t="str">
        <f t="shared" si="122"/>
        <v/>
      </c>
      <c r="AK193" s="2"/>
      <c r="AL193" s="2"/>
      <c r="AM193" s="2"/>
      <c r="AN193" s="2"/>
      <c r="AO193" s="2"/>
      <c r="AP193" s="2"/>
      <c r="AQ193" s="2"/>
      <c r="AR193" s="2"/>
      <c r="AS193" s="2"/>
      <c r="AT193" s="2"/>
      <c r="AU193" s="2"/>
      <c r="AV193" s="2"/>
      <c r="AW193" s="2"/>
      <c r="AX193" s="2"/>
      <c r="AY193" s="2"/>
      <c r="AZ193" s="2"/>
      <c r="BA193" s="2"/>
      <c r="BB193" s="2"/>
      <c r="BC193" s="2"/>
    </row>
    <row r="194" spans="1:55" x14ac:dyDescent="0.25">
      <c r="A194" s="260" t="str">
        <f t="shared" si="129"/>
        <v>#15:</v>
      </c>
      <c r="B194" s="147">
        <f t="shared" si="130"/>
        <v>342.15365389723291</v>
      </c>
      <c r="C194" s="148">
        <f t="shared" si="131"/>
        <v>8.0191462528234894</v>
      </c>
      <c r="D194" s="261" t="str">
        <f t="shared" si="132"/>
        <v/>
      </c>
      <c r="E194" s="147" t="str">
        <f t="shared" si="133"/>
        <v/>
      </c>
      <c r="F194" s="148" t="str">
        <f t="shared" si="134"/>
        <v/>
      </c>
      <c r="G194" s="261" t="str">
        <f t="shared" si="135"/>
        <v/>
      </c>
      <c r="H194" s="147" t="str">
        <f t="shared" si="136"/>
        <v/>
      </c>
      <c r="I194" s="148" t="str">
        <f t="shared" si="137"/>
        <v/>
      </c>
      <c r="J194" s="261" t="str">
        <f t="shared" si="138"/>
        <v/>
      </c>
      <c r="K194" s="147" t="str">
        <f t="shared" si="139"/>
        <v/>
      </c>
      <c r="L194" s="148" t="str">
        <f t="shared" si="140"/>
        <v/>
      </c>
      <c r="M194" s="261" t="str">
        <f t="shared" si="141"/>
        <v/>
      </c>
      <c r="N194" s="147" t="str">
        <f t="shared" si="142"/>
        <v/>
      </c>
      <c r="O194" s="148" t="str">
        <f t="shared" si="143"/>
        <v/>
      </c>
      <c r="P194" s="261" t="str">
        <f t="shared" si="144"/>
        <v/>
      </c>
      <c r="Q194" s="147" t="str">
        <f t="shared" si="145"/>
        <v/>
      </c>
      <c r="R194" s="148" t="str">
        <f t="shared" si="146"/>
        <v/>
      </c>
      <c r="S194" s="261" t="str">
        <f t="shared" si="147"/>
        <v/>
      </c>
      <c r="T194" s="147" t="str">
        <f t="shared" si="148"/>
        <v/>
      </c>
      <c r="U194" s="148" t="str">
        <f t="shared" si="149"/>
        <v/>
      </c>
      <c r="V194" s="261" t="str">
        <f t="shared" si="150"/>
        <v/>
      </c>
      <c r="W194" s="147" t="str">
        <f t="shared" si="151"/>
        <v/>
      </c>
      <c r="X194" s="148" t="str">
        <f t="shared" si="152"/>
        <v/>
      </c>
      <c r="Y194" s="259"/>
      <c r="Z194" s="2"/>
      <c r="AA194" s="264">
        <v>190</v>
      </c>
      <c r="AB194" s="16" t="str">
        <f t="shared" si="123"/>
        <v/>
      </c>
      <c r="AC194" s="16" t="str">
        <f t="shared" si="124"/>
        <v/>
      </c>
      <c r="AD194" s="16" t="str">
        <f t="shared" si="118"/>
        <v/>
      </c>
      <c r="AE194" s="16" t="str">
        <f t="shared" si="119"/>
        <v/>
      </c>
      <c r="AF194" s="16" t="str">
        <f t="shared" si="120"/>
        <v/>
      </c>
      <c r="AG194" s="16" t="str">
        <f t="shared" si="125"/>
        <v/>
      </c>
      <c r="AH194" s="16" t="str">
        <f t="shared" si="126"/>
        <v/>
      </c>
      <c r="AI194" s="29" t="str">
        <f t="shared" si="121"/>
        <v/>
      </c>
      <c r="AJ194" s="29" t="str">
        <f t="shared" si="122"/>
        <v/>
      </c>
      <c r="AK194" s="2"/>
      <c r="AL194" s="2"/>
      <c r="AM194" s="2"/>
      <c r="AN194" s="2"/>
      <c r="AO194" s="2"/>
      <c r="AP194" s="2"/>
      <c r="AQ194" s="2"/>
      <c r="AR194" s="2"/>
      <c r="AS194" s="2"/>
      <c r="AT194" s="2"/>
      <c r="AU194" s="2"/>
      <c r="AV194" s="2"/>
      <c r="AW194" s="2"/>
      <c r="AX194" s="2"/>
      <c r="AY194" s="2"/>
      <c r="AZ194" s="2"/>
      <c r="BA194" s="2"/>
      <c r="BB194" s="2"/>
      <c r="BC194" s="2"/>
    </row>
    <row r="195" spans="1:55" x14ac:dyDescent="0.25">
      <c r="A195" s="260" t="str">
        <f t="shared" si="129"/>
        <v>#16:</v>
      </c>
      <c r="B195" s="147">
        <f t="shared" si="130"/>
        <v>339.90707392427527</v>
      </c>
      <c r="C195" s="148">
        <f t="shared" si="131"/>
        <v>8.0191462528234894</v>
      </c>
      <c r="D195" s="261" t="str">
        <f t="shared" si="132"/>
        <v/>
      </c>
      <c r="E195" s="147" t="str">
        <f t="shared" si="133"/>
        <v/>
      </c>
      <c r="F195" s="148" t="str">
        <f t="shared" si="134"/>
        <v/>
      </c>
      <c r="G195" s="261" t="str">
        <f t="shared" si="135"/>
        <v/>
      </c>
      <c r="H195" s="147" t="str">
        <f t="shared" si="136"/>
        <v/>
      </c>
      <c r="I195" s="148" t="str">
        <f t="shared" si="137"/>
        <v/>
      </c>
      <c r="J195" s="261" t="str">
        <f t="shared" si="138"/>
        <v/>
      </c>
      <c r="K195" s="147" t="str">
        <f t="shared" si="139"/>
        <v/>
      </c>
      <c r="L195" s="148" t="str">
        <f t="shared" si="140"/>
        <v/>
      </c>
      <c r="M195" s="261" t="str">
        <f t="shared" si="141"/>
        <v/>
      </c>
      <c r="N195" s="147" t="str">
        <f t="shared" si="142"/>
        <v/>
      </c>
      <c r="O195" s="148" t="str">
        <f t="shared" si="143"/>
        <v/>
      </c>
      <c r="P195" s="261" t="str">
        <f t="shared" si="144"/>
        <v/>
      </c>
      <c r="Q195" s="147" t="str">
        <f t="shared" si="145"/>
        <v/>
      </c>
      <c r="R195" s="148" t="str">
        <f t="shared" si="146"/>
        <v/>
      </c>
      <c r="S195" s="261" t="str">
        <f t="shared" si="147"/>
        <v/>
      </c>
      <c r="T195" s="147" t="str">
        <f t="shared" si="148"/>
        <v/>
      </c>
      <c r="U195" s="148" t="str">
        <f t="shared" si="149"/>
        <v/>
      </c>
      <c r="V195" s="261" t="str">
        <f t="shared" si="150"/>
        <v/>
      </c>
      <c r="W195" s="147" t="str">
        <f t="shared" si="151"/>
        <v/>
      </c>
      <c r="X195" s="148" t="str">
        <f t="shared" si="152"/>
        <v/>
      </c>
      <c r="Y195" s="259"/>
      <c r="Z195" s="2"/>
      <c r="AA195" s="264">
        <v>191</v>
      </c>
      <c r="AB195" s="16" t="str">
        <f t="shared" si="123"/>
        <v/>
      </c>
      <c r="AC195" s="16" t="str">
        <f t="shared" si="124"/>
        <v/>
      </c>
      <c r="AD195" s="16" t="str">
        <f t="shared" si="118"/>
        <v/>
      </c>
      <c r="AE195" s="16" t="str">
        <f t="shared" si="119"/>
        <v/>
      </c>
      <c r="AF195" s="16" t="str">
        <f t="shared" si="120"/>
        <v/>
      </c>
      <c r="AG195" s="16" t="str">
        <f t="shared" si="125"/>
        <v/>
      </c>
      <c r="AH195" s="16" t="str">
        <f t="shared" si="126"/>
        <v/>
      </c>
      <c r="AI195" s="29" t="str">
        <f t="shared" si="121"/>
        <v/>
      </c>
      <c r="AJ195" s="29" t="str">
        <f t="shared" si="122"/>
        <v/>
      </c>
      <c r="AK195" s="2"/>
      <c r="AL195" s="2"/>
      <c r="AM195" s="2"/>
      <c r="AN195" s="2"/>
      <c r="AO195" s="2"/>
      <c r="AP195" s="2"/>
      <c r="AQ195" s="2"/>
      <c r="AR195" s="2"/>
      <c r="AS195" s="2"/>
      <c r="AT195" s="2"/>
      <c r="AU195" s="2"/>
      <c r="AV195" s="2"/>
      <c r="AW195" s="2"/>
      <c r="AX195" s="2"/>
      <c r="AY195" s="2"/>
      <c r="AZ195" s="2"/>
      <c r="BA195" s="2"/>
      <c r="BB195" s="2"/>
      <c r="BC195" s="2"/>
    </row>
    <row r="196" spans="1:55" x14ac:dyDescent="0.25">
      <c r="A196" s="260" t="str">
        <f t="shared" si="129"/>
        <v>#17:</v>
      </c>
      <c r="B196" s="147">
        <f t="shared" si="130"/>
        <v>337.66049395131768</v>
      </c>
      <c r="C196" s="148">
        <f t="shared" si="131"/>
        <v>8.0191462528234894</v>
      </c>
      <c r="D196" s="261" t="str">
        <f t="shared" si="132"/>
        <v/>
      </c>
      <c r="E196" s="147" t="str">
        <f t="shared" si="133"/>
        <v/>
      </c>
      <c r="F196" s="148" t="str">
        <f t="shared" si="134"/>
        <v/>
      </c>
      <c r="G196" s="261" t="str">
        <f t="shared" si="135"/>
        <v/>
      </c>
      <c r="H196" s="147" t="str">
        <f t="shared" si="136"/>
        <v/>
      </c>
      <c r="I196" s="148" t="str">
        <f t="shared" si="137"/>
        <v/>
      </c>
      <c r="J196" s="261" t="str">
        <f t="shared" si="138"/>
        <v/>
      </c>
      <c r="K196" s="147" t="str">
        <f t="shared" si="139"/>
        <v/>
      </c>
      <c r="L196" s="148" t="str">
        <f t="shared" si="140"/>
        <v/>
      </c>
      <c r="M196" s="261" t="str">
        <f t="shared" si="141"/>
        <v/>
      </c>
      <c r="N196" s="147" t="str">
        <f t="shared" si="142"/>
        <v/>
      </c>
      <c r="O196" s="148" t="str">
        <f t="shared" si="143"/>
        <v/>
      </c>
      <c r="P196" s="261" t="str">
        <f t="shared" si="144"/>
        <v/>
      </c>
      <c r="Q196" s="147" t="str">
        <f t="shared" si="145"/>
        <v/>
      </c>
      <c r="R196" s="148" t="str">
        <f t="shared" si="146"/>
        <v/>
      </c>
      <c r="S196" s="261" t="str">
        <f t="shared" si="147"/>
        <v/>
      </c>
      <c r="T196" s="147" t="str">
        <f t="shared" si="148"/>
        <v/>
      </c>
      <c r="U196" s="148" t="str">
        <f t="shared" si="149"/>
        <v/>
      </c>
      <c r="V196" s="261" t="str">
        <f t="shared" si="150"/>
        <v/>
      </c>
      <c r="W196" s="147" t="str">
        <f t="shared" si="151"/>
        <v/>
      </c>
      <c r="X196" s="148" t="str">
        <f t="shared" si="152"/>
        <v/>
      </c>
      <c r="Y196" s="259"/>
      <c r="Z196" s="2"/>
      <c r="AA196" s="264">
        <v>192</v>
      </c>
      <c r="AB196" s="16" t="str">
        <f t="shared" si="123"/>
        <v/>
      </c>
      <c r="AC196" s="16" t="str">
        <f t="shared" si="124"/>
        <v/>
      </c>
      <c r="AD196" s="16" t="str">
        <f t="shared" si="118"/>
        <v/>
      </c>
      <c r="AE196" s="16" t="str">
        <f t="shared" si="119"/>
        <v/>
      </c>
      <c r="AF196" s="16" t="str">
        <f t="shared" si="120"/>
        <v/>
      </c>
      <c r="AG196" s="16" t="str">
        <f t="shared" si="125"/>
        <v/>
      </c>
      <c r="AH196" s="16" t="str">
        <f t="shared" si="126"/>
        <v/>
      </c>
      <c r="AI196" s="29" t="str">
        <f t="shared" si="121"/>
        <v/>
      </c>
      <c r="AJ196" s="29" t="str">
        <f t="shared" si="122"/>
        <v/>
      </c>
      <c r="AK196" s="2"/>
      <c r="AL196" s="2"/>
      <c r="AM196" s="2"/>
      <c r="AN196" s="2"/>
      <c r="AO196" s="2"/>
      <c r="AP196" s="2"/>
      <c r="AQ196" s="2"/>
      <c r="AR196" s="2"/>
      <c r="AS196" s="2"/>
      <c r="AT196" s="2"/>
      <c r="AU196" s="2"/>
      <c r="AV196" s="2"/>
      <c r="AW196" s="2"/>
      <c r="AX196" s="2"/>
      <c r="AY196" s="2"/>
      <c r="AZ196" s="2"/>
      <c r="BA196" s="2"/>
      <c r="BB196" s="2"/>
      <c r="BC196" s="2"/>
    </row>
    <row r="197" spans="1:55" x14ac:dyDescent="0.25">
      <c r="A197" s="260" t="str">
        <f t="shared" si="129"/>
        <v>#18:</v>
      </c>
      <c r="B197" s="147">
        <f t="shared" si="130"/>
        <v>335.41391397836009</v>
      </c>
      <c r="C197" s="148">
        <f t="shared" si="131"/>
        <v>8.0191462528234894</v>
      </c>
      <c r="D197" s="261" t="str">
        <f t="shared" si="132"/>
        <v/>
      </c>
      <c r="E197" s="147" t="str">
        <f t="shared" si="133"/>
        <v/>
      </c>
      <c r="F197" s="148" t="str">
        <f t="shared" si="134"/>
        <v/>
      </c>
      <c r="G197" s="261" t="str">
        <f t="shared" si="135"/>
        <v/>
      </c>
      <c r="H197" s="147" t="str">
        <f t="shared" si="136"/>
        <v/>
      </c>
      <c r="I197" s="148" t="str">
        <f t="shared" si="137"/>
        <v/>
      </c>
      <c r="J197" s="261" t="str">
        <f t="shared" si="138"/>
        <v/>
      </c>
      <c r="K197" s="147" t="str">
        <f t="shared" si="139"/>
        <v/>
      </c>
      <c r="L197" s="148" t="str">
        <f t="shared" si="140"/>
        <v/>
      </c>
      <c r="M197" s="261" t="str">
        <f t="shared" si="141"/>
        <v/>
      </c>
      <c r="N197" s="147" t="str">
        <f t="shared" si="142"/>
        <v/>
      </c>
      <c r="O197" s="148" t="str">
        <f t="shared" si="143"/>
        <v/>
      </c>
      <c r="P197" s="261" t="str">
        <f t="shared" si="144"/>
        <v/>
      </c>
      <c r="Q197" s="147" t="str">
        <f t="shared" si="145"/>
        <v/>
      </c>
      <c r="R197" s="148" t="str">
        <f t="shared" si="146"/>
        <v/>
      </c>
      <c r="S197" s="261" t="str">
        <f t="shared" si="147"/>
        <v/>
      </c>
      <c r="T197" s="147" t="str">
        <f t="shared" si="148"/>
        <v/>
      </c>
      <c r="U197" s="148" t="str">
        <f t="shared" si="149"/>
        <v/>
      </c>
      <c r="V197" s="261" t="str">
        <f t="shared" si="150"/>
        <v/>
      </c>
      <c r="W197" s="147" t="str">
        <f t="shared" si="151"/>
        <v/>
      </c>
      <c r="X197" s="148" t="str">
        <f t="shared" si="152"/>
        <v/>
      </c>
      <c r="Y197" s="259"/>
      <c r="Z197" s="2"/>
      <c r="AA197" s="264">
        <v>193</v>
      </c>
      <c r="AB197" s="16" t="str">
        <f t="shared" si="123"/>
        <v/>
      </c>
      <c r="AC197" s="16" t="str">
        <f t="shared" si="124"/>
        <v/>
      </c>
      <c r="AD197" s="16" t="str">
        <f t="shared" ref="AD197:AD260" si="153">IF($C$9&gt;=$AA197,$AB197^2,"")</f>
        <v/>
      </c>
      <c r="AE197" s="16" t="str">
        <f t="shared" ref="AE197:AE260" si="154">IF($C$9&gt;=$AA197,$AC197^2,"")</f>
        <v/>
      </c>
      <c r="AF197" s="16" t="str">
        <f t="shared" ref="AF197:AF260" si="155">IF($C$9&gt;=$AA197,$AB197*$AC197,"")</f>
        <v/>
      </c>
      <c r="AG197" s="16" t="str">
        <f t="shared" si="125"/>
        <v/>
      </c>
      <c r="AH197" s="16" t="str">
        <f t="shared" si="126"/>
        <v/>
      </c>
      <c r="AI197" s="29" t="str">
        <f t="shared" ref="AI197:AI260" si="156">IF($C$9&gt;=$AA197,(-$AF$418/$C$9+($AF$422*$AB$411--$AF$421*$AB$414)/($AB$411*$AB$412-$AB$414^2)*$AG197+(-$AF$421*$AB$412-$AF$422*$AB$414)/($AB$411*$AB$412-$AB$414^2)*$AH197),"")</f>
        <v/>
      </c>
      <c r="AJ197" s="29" t="str">
        <f t="shared" ref="AJ197:AJ260" si="157">IF($C$9&gt;=$AA197,((($AF$419/$C$9+$AF$423*-$AH197/$AB$413)^2+($AF$420/$C$9+$AF$423*$AG197/$AB$413)^2)^(1/2)),"")</f>
        <v/>
      </c>
      <c r="AK197" s="2"/>
      <c r="AL197" s="2"/>
      <c r="AM197" s="2"/>
      <c r="AN197" s="2"/>
      <c r="AO197" s="2"/>
      <c r="AP197" s="2"/>
      <c r="AQ197" s="2"/>
      <c r="AR197" s="2"/>
      <c r="AS197" s="2"/>
      <c r="AT197" s="2"/>
      <c r="AU197" s="2"/>
      <c r="AV197" s="2"/>
      <c r="AW197" s="2"/>
      <c r="AX197" s="2"/>
      <c r="AY197" s="2"/>
      <c r="AZ197" s="2"/>
      <c r="BA197" s="2"/>
      <c r="BB197" s="2"/>
      <c r="BC197" s="2"/>
    </row>
    <row r="198" spans="1:55" x14ac:dyDescent="0.25">
      <c r="A198" s="260" t="str">
        <f t="shared" si="129"/>
        <v>#19:</v>
      </c>
      <c r="B198" s="147">
        <f t="shared" si="130"/>
        <v>333.16733400540249</v>
      </c>
      <c r="C198" s="148">
        <f t="shared" si="131"/>
        <v>8.0191462528234894</v>
      </c>
      <c r="D198" s="261" t="str">
        <f t="shared" si="132"/>
        <v/>
      </c>
      <c r="E198" s="147" t="str">
        <f t="shared" si="133"/>
        <v/>
      </c>
      <c r="F198" s="148" t="str">
        <f t="shared" si="134"/>
        <v/>
      </c>
      <c r="G198" s="261" t="str">
        <f t="shared" si="135"/>
        <v/>
      </c>
      <c r="H198" s="147" t="str">
        <f t="shared" si="136"/>
        <v/>
      </c>
      <c r="I198" s="148" t="str">
        <f t="shared" si="137"/>
        <v/>
      </c>
      <c r="J198" s="261" t="str">
        <f t="shared" si="138"/>
        <v/>
      </c>
      <c r="K198" s="147" t="str">
        <f t="shared" si="139"/>
        <v/>
      </c>
      <c r="L198" s="148" t="str">
        <f t="shared" si="140"/>
        <v/>
      </c>
      <c r="M198" s="261" t="str">
        <f t="shared" si="141"/>
        <v/>
      </c>
      <c r="N198" s="147" t="str">
        <f t="shared" si="142"/>
        <v/>
      </c>
      <c r="O198" s="148" t="str">
        <f t="shared" si="143"/>
        <v/>
      </c>
      <c r="P198" s="261" t="str">
        <f t="shared" si="144"/>
        <v/>
      </c>
      <c r="Q198" s="147" t="str">
        <f t="shared" si="145"/>
        <v/>
      </c>
      <c r="R198" s="148" t="str">
        <f t="shared" si="146"/>
        <v/>
      </c>
      <c r="S198" s="261" t="str">
        <f t="shared" si="147"/>
        <v/>
      </c>
      <c r="T198" s="147" t="str">
        <f t="shared" si="148"/>
        <v/>
      </c>
      <c r="U198" s="148" t="str">
        <f t="shared" si="149"/>
        <v/>
      </c>
      <c r="V198" s="261" t="str">
        <f t="shared" si="150"/>
        <v/>
      </c>
      <c r="W198" s="147" t="str">
        <f t="shared" si="151"/>
        <v/>
      </c>
      <c r="X198" s="148" t="str">
        <f t="shared" si="152"/>
        <v/>
      </c>
      <c r="Y198" s="259"/>
      <c r="Z198" s="2"/>
      <c r="AA198" s="264">
        <v>194</v>
      </c>
      <c r="AB198" s="16" t="str">
        <f t="shared" si="123"/>
        <v/>
      </c>
      <c r="AC198" s="16" t="str">
        <f t="shared" si="124"/>
        <v/>
      </c>
      <c r="AD198" s="16" t="str">
        <f t="shared" si="153"/>
        <v/>
      </c>
      <c r="AE198" s="16" t="str">
        <f t="shared" si="154"/>
        <v/>
      </c>
      <c r="AF198" s="16" t="str">
        <f t="shared" si="155"/>
        <v/>
      </c>
      <c r="AG198" s="16" t="str">
        <f t="shared" si="125"/>
        <v/>
      </c>
      <c r="AH198" s="16" t="str">
        <f t="shared" si="126"/>
        <v/>
      </c>
      <c r="AI198" s="29" t="str">
        <f t="shared" si="156"/>
        <v/>
      </c>
      <c r="AJ198" s="29" t="str">
        <f t="shared" si="157"/>
        <v/>
      </c>
      <c r="AK198" s="2"/>
      <c r="AL198" s="2"/>
      <c r="AM198" s="2"/>
      <c r="AN198" s="2"/>
      <c r="AO198" s="2"/>
      <c r="AP198" s="2"/>
      <c r="AQ198" s="2"/>
      <c r="AR198" s="2"/>
      <c r="AS198" s="2"/>
      <c r="AT198" s="2"/>
      <c r="AU198" s="2"/>
      <c r="AV198" s="2"/>
      <c r="AW198" s="2"/>
      <c r="AX198" s="2"/>
      <c r="AY198" s="2"/>
      <c r="AZ198" s="2"/>
      <c r="BA198" s="2"/>
      <c r="BB198" s="2"/>
      <c r="BC198" s="2"/>
    </row>
    <row r="199" spans="1:55" x14ac:dyDescent="0.25">
      <c r="A199" s="260" t="str">
        <f t="shared" si="129"/>
        <v>#20:</v>
      </c>
      <c r="B199" s="147">
        <f t="shared" si="130"/>
        <v>330.9207540324449</v>
      </c>
      <c r="C199" s="148">
        <f t="shared" si="131"/>
        <v>8.0191462528234894</v>
      </c>
      <c r="D199" s="261" t="str">
        <f t="shared" si="132"/>
        <v/>
      </c>
      <c r="E199" s="147" t="str">
        <f t="shared" si="133"/>
        <v/>
      </c>
      <c r="F199" s="148" t="str">
        <f t="shared" si="134"/>
        <v/>
      </c>
      <c r="G199" s="261" t="str">
        <f t="shared" si="135"/>
        <v/>
      </c>
      <c r="H199" s="147" t="str">
        <f t="shared" si="136"/>
        <v/>
      </c>
      <c r="I199" s="148" t="str">
        <f t="shared" si="137"/>
        <v/>
      </c>
      <c r="J199" s="261" t="str">
        <f t="shared" si="138"/>
        <v/>
      </c>
      <c r="K199" s="147" t="str">
        <f t="shared" si="139"/>
        <v/>
      </c>
      <c r="L199" s="148" t="str">
        <f t="shared" si="140"/>
        <v/>
      </c>
      <c r="M199" s="261" t="str">
        <f t="shared" si="141"/>
        <v/>
      </c>
      <c r="N199" s="147" t="str">
        <f t="shared" si="142"/>
        <v/>
      </c>
      <c r="O199" s="148" t="str">
        <f t="shared" si="143"/>
        <v/>
      </c>
      <c r="P199" s="261" t="str">
        <f t="shared" si="144"/>
        <v/>
      </c>
      <c r="Q199" s="147" t="str">
        <f t="shared" si="145"/>
        <v/>
      </c>
      <c r="R199" s="148" t="str">
        <f t="shared" si="146"/>
        <v/>
      </c>
      <c r="S199" s="261" t="str">
        <f t="shared" si="147"/>
        <v/>
      </c>
      <c r="T199" s="147" t="str">
        <f t="shared" si="148"/>
        <v/>
      </c>
      <c r="U199" s="148" t="str">
        <f t="shared" si="149"/>
        <v/>
      </c>
      <c r="V199" s="261" t="str">
        <f t="shared" si="150"/>
        <v/>
      </c>
      <c r="W199" s="147" t="str">
        <f t="shared" si="151"/>
        <v/>
      </c>
      <c r="X199" s="148" t="str">
        <f t="shared" si="152"/>
        <v/>
      </c>
      <c r="Y199" s="259"/>
      <c r="Z199" s="2"/>
      <c r="AA199" s="264">
        <v>195</v>
      </c>
      <c r="AB199" s="16" t="str">
        <f t="shared" si="123"/>
        <v/>
      </c>
      <c r="AC199" s="16" t="str">
        <f t="shared" si="124"/>
        <v/>
      </c>
      <c r="AD199" s="16" t="str">
        <f t="shared" si="153"/>
        <v/>
      </c>
      <c r="AE199" s="16" t="str">
        <f t="shared" si="154"/>
        <v/>
      </c>
      <c r="AF199" s="16" t="str">
        <f t="shared" si="155"/>
        <v/>
      </c>
      <c r="AG199" s="16" t="str">
        <f t="shared" si="125"/>
        <v/>
      </c>
      <c r="AH199" s="16" t="str">
        <f t="shared" si="126"/>
        <v/>
      </c>
      <c r="AI199" s="29" t="str">
        <f t="shared" si="156"/>
        <v/>
      </c>
      <c r="AJ199" s="29" t="str">
        <f t="shared" si="157"/>
        <v/>
      </c>
      <c r="AK199" s="2"/>
      <c r="AL199" s="2"/>
      <c r="AM199" s="2"/>
      <c r="AN199" s="2"/>
      <c r="AO199" s="2"/>
      <c r="AP199" s="2"/>
      <c r="AQ199" s="2"/>
      <c r="AR199" s="2"/>
      <c r="AS199" s="2"/>
      <c r="AT199" s="2"/>
      <c r="AU199" s="2"/>
      <c r="AV199" s="2"/>
      <c r="AW199" s="2"/>
      <c r="AX199" s="2"/>
      <c r="AY199" s="2"/>
      <c r="AZ199" s="2"/>
      <c r="BA199" s="2"/>
      <c r="BB199" s="2"/>
      <c r="BC199" s="2"/>
    </row>
    <row r="200" spans="1:55" x14ac:dyDescent="0.25">
      <c r="A200" s="260" t="str">
        <f t="shared" si="129"/>
        <v>#21:</v>
      </c>
      <c r="B200" s="147">
        <f t="shared" si="130"/>
        <v>336.3125459675552</v>
      </c>
      <c r="C200" s="148">
        <f t="shared" si="131"/>
        <v>8.0191462528234894</v>
      </c>
      <c r="D200" s="261" t="str">
        <f t="shared" si="132"/>
        <v/>
      </c>
      <c r="E200" s="147" t="str">
        <f t="shared" si="133"/>
        <v/>
      </c>
      <c r="F200" s="148" t="str">
        <f t="shared" si="134"/>
        <v/>
      </c>
      <c r="G200" s="261" t="str">
        <f t="shared" si="135"/>
        <v/>
      </c>
      <c r="H200" s="147" t="str">
        <f t="shared" si="136"/>
        <v/>
      </c>
      <c r="I200" s="148" t="str">
        <f t="shared" si="137"/>
        <v/>
      </c>
      <c r="J200" s="261" t="str">
        <f t="shared" si="138"/>
        <v/>
      </c>
      <c r="K200" s="147" t="str">
        <f t="shared" si="139"/>
        <v/>
      </c>
      <c r="L200" s="148" t="str">
        <f t="shared" si="140"/>
        <v/>
      </c>
      <c r="M200" s="261" t="str">
        <f t="shared" si="141"/>
        <v/>
      </c>
      <c r="N200" s="147" t="str">
        <f t="shared" si="142"/>
        <v/>
      </c>
      <c r="O200" s="148" t="str">
        <f t="shared" si="143"/>
        <v/>
      </c>
      <c r="P200" s="261" t="str">
        <f t="shared" si="144"/>
        <v/>
      </c>
      <c r="Q200" s="147" t="str">
        <f t="shared" si="145"/>
        <v/>
      </c>
      <c r="R200" s="148" t="str">
        <f t="shared" si="146"/>
        <v/>
      </c>
      <c r="S200" s="261" t="str">
        <f t="shared" si="147"/>
        <v/>
      </c>
      <c r="T200" s="147" t="str">
        <f t="shared" si="148"/>
        <v/>
      </c>
      <c r="U200" s="148" t="str">
        <f t="shared" si="149"/>
        <v/>
      </c>
      <c r="V200" s="261" t="str">
        <f t="shared" si="150"/>
        <v/>
      </c>
      <c r="W200" s="147" t="str">
        <f t="shared" si="151"/>
        <v/>
      </c>
      <c r="X200" s="148" t="str">
        <f t="shared" si="152"/>
        <v/>
      </c>
      <c r="Y200" s="259"/>
      <c r="Z200" s="2"/>
      <c r="AA200" s="264">
        <v>196</v>
      </c>
      <c r="AB200" s="16" t="str">
        <f t="shared" si="123"/>
        <v/>
      </c>
      <c r="AC200" s="16" t="str">
        <f t="shared" si="124"/>
        <v/>
      </c>
      <c r="AD200" s="16" t="str">
        <f t="shared" si="153"/>
        <v/>
      </c>
      <c r="AE200" s="16" t="str">
        <f t="shared" si="154"/>
        <v/>
      </c>
      <c r="AF200" s="16" t="str">
        <f t="shared" si="155"/>
        <v/>
      </c>
      <c r="AG200" s="16" t="str">
        <f t="shared" si="125"/>
        <v/>
      </c>
      <c r="AH200" s="16" t="str">
        <f t="shared" si="126"/>
        <v/>
      </c>
      <c r="AI200" s="29" t="str">
        <f t="shared" si="156"/>
        <v/>
      </c>
      <c r="AJ200" s="29" t="str">
        <f t="shared" si="157"/>
        <v/>
      </c>
      <c r="AK200" s="2"/>
      <c r="AL200" s="2"/>
      <c r="AM200" s="2"/>
      <c r="AN200" s="2"/>
      <c r="AO200" s="2"/>
      <c r="AP200" s="2"/>
      <c r="AQ200" s="2"/>
      <c r="AR200" s="2"/>
      <c r="AS200" s="2"/>
      <c r="AT200" s="2"/>
      <c r="AU200" s="2"/>
      <c r="AV200" s="2"/>
      <c r="AW200" s="2"/>
      <c r="AX200" s="2"/>
      <c r="AY200" s="2"/>
      <c r="AZ200" s="2"/>
      <c r="BA200" s="2"/>
      <c r="BB200" s="2"/>
      <c r="BC200" s="2"/>
    </row>
    <row r="201" spans="1:55" x14ac:dyDescent="0.25">
      <c r="A201" s="260" t="str">
        <f t="shared" si="129"/>
        <v>#22:</v>
      </c>
      <c r="B201" s="147">
        <f t="shared" si="130"/>
        <v>334.0659659945976</v>
      </c>
      <c r="C201" s="148">
        <f t="shared" si="131"/>
        <v>8.0191462528234894</v>
      </c>
      <c r="D201" s="261" t="str">
        <f t="shared" si="132"/>
        <v/>
      </c>
      <c r="E201" s="147" t="str">
        <f t="shared" si="133"/>
        <v/>
      </c>
      <c r="F201" s="148" t="str">
        <f t="shared" si="134"/>
        <v/>
      </c>
      <c r="G201" s="261" t="str">
        <f t="shared" si="135"/>
        <v/>
      </c>
      <c r="H201" s="147" t="str">
        <f t="shared" si="136"/>
        <v/>
      </c>
      <c r="I201" s="148" t="str">
        <f t="shared" si="137"/>
        <v/>
      </c>
      <c r="J201" s="261" t="str">
        <f t="shared" si="138"/>
        <v/>
      </c>
      <c r="K201" s="147" t="str">
        <f t="shared" si="139"/>
        <v/>
      </c>
      <c r="L201" s="148" t="str">
        <f t="shared" si="140"/>
        <v/>
      </c>
      <c r="M201" s="261" t="str">
        <f t="shared" si="141"/>
        <v/>
      </c>
      <c r="N201" s="147" t="str">
        <f t="shared" si="142"/>
        <v/>
      </c>
      <c r="O201" s="148" t="str">
        <f t="shared" si="143"/>
        <v/>
      </c>
      <c r="P201" s="261" t="str">
        <f t="shared" si="144"/>
        <v/>
      </c>
      <c r="Q201" s="147" t="str">
        <f t="shared" si="145"/>
        <v/>
      </c>
      <c r="R201" s="148" t="str">
        <f t="shared" si="146"/>
        <v/>
      </c>
      <c r="S201" s="261" t="str">
        <f t="shared" si="147"/>
        <v/>
      </c>
      <c r="T201" s="147" t="str">
        <f t="shared" si="148"/>
        <v/>
      </c>
      <c r="U201" s="148" t="str">
        <f t="shared" si="149"/>
        <v/>
      </c>
      <c r="V201" s="261" t="str">
        <f t="shared" si="150"/>
        <v/>
      </c>
      <c r="W201" s="147" t="str">
        <f t="shared" si="151"/>
        <v/>
      </c>
      <c r="X201" s="148" t="str">
        <f t="shared" si="152"/>
        <v/>
      </c>
      <c r="Y201" s="259"/>
      <c r="Z201" s="2"/>
      <c r="AA201" s="264">
        <v>197</v>
      </c>
      <c r="AB201" s="16" t="str">
        <f t="shared" si="123"/>
        <v/>
      </c>
      <c r="AC201" s="16" t="str">
        <f t="shared" si="124"/>
        <v/>
      </c>
      <c r="AD201" s="16" t="str">
        <f t="shared" si="153"/>
        <v/>
      </c>
      <c r="AE201" s="16" t="str">
        <f t="shared" si="154"/>
        <v/>
      </c>
      <c r="AF201" s="16" t="str">
        <f t="shared" si="155"/>
        <v/>
      </c>
      <c r="AG201" s="16" t="str">
        <f t="shared" si="125"/>
        <v/>
      </c>
      <c r="AH201" s="16" t="str">
        <f t="shared" si="126"/>
        <v/>
      </c>
      <c r="AI201" s="29" t="str">
        <f t="shared" si="156"/>
        <v/>
      </c>
      <c r="AJ201" s="29" t="str">
        <f t="shared" si="157"/>
        <v/>
      </c>
      <c r="AK201" s="2"/>
      <c r="AL201" s="2"/>
      <c r="AM201" s="2"/>
      <c r="AN201" s="2"/>
      <c r="AO201" s="2"/>
      <c r="AP201" s="2"/>
      <c r="AQ201" s="2"/>
      <c r="AR201" s="2"/>
      <c r="AS201" s="2"/>
      <c r="AT201" s="2"/>
      <c r="AU201" s="2"/>
      <c r="AV201" s="2"/>
      <c r="AW201" s="2"/>
      <c r="AX201" s="2"/>
      <c r="AY201" s="2"/>
      <c r="AZ201" s="2"/>
      <c r="BA201" s="2"/>
      <c r="BB201" s="2"/>
      <c r="BC201" s="2"/>
    </row>
    <row r="202" spans="1:55" x14ac:dyDescent="0.25">
      <c r="A202" s="260" t="str">
        <f t="shared" si="129"/>
        <v>#23:</v>
      </c>
      <c r="B202" s="147">
        <f t="shared" si="130"/>
        <v>331.81938602164001</v>
      </c>
      <c r="C202" s="148">
        <f t="shared" si="131"/>
        <v>8.0191462528234894</v>
      </c>
      <c r="D202" s="261" t="str">
        <f t="shared" si="132"/>
        <v/>
      </c>
      <c r="E202" s="147" t="str">
        <f t="shared" si="133"/>
        <v/>
      </c>
      <c r="F202" s="148" t="str">
        <f t="shared" si="134"/>
        <v/>
      </c>
      <c r="G202" s="261" t="str">
        <f t="shared" si="135"/>
        <v/>
      </c>
      <c r="H202" s="147" t="str">
        <f t="shared" si="136"/>
        <v/>
      </c>
      <c r="I202" s="148" t="str">
        <f t="shared" si="137"/>
        <v/>
      </c>
      <c r="J202" s="261" t="str">
        <f t="shared" si="138"/>
        <v/>
      </c>
      <c r="K202" s="147" t="str">
        <f t="shared" si="139"/>
        <v/>
      </c>
      <c r="L202" s="148" t="str">
        <f t="shared" si="140"/>
        <v/>
      </c>
      <c r="M202" s="261" t="str">
        <f t="shared" si="141"/>
        <v/>
      </c>
      <c r="N202" s="147" t="str">
        <f t="shared" si="142"/>
        <v/>
      </c>
      <c r="O202" s="148" t="str">
        <f t="shared" si="143"/>
        <v/>
      </c>
      <c r="P202" s="261" t="str">
        <f t="shared" si="144"/>
        <v/>
      </c>
      <c r="Q202" s="147" t="str">
        <f t="shared" si="145"/>
        <v/>
      </c>
      <c r="R202" s="148" t="str">
        <f t="shared" si="146"/>
        <v/>
      </c>
      <c r="S202" s="261" t="str">
        <f t="shared" si="147"/>
        <v/>
      </c>
      <c r="T202" s="147" t="str">
        <f t="shared" si="148"/>
        <v/>
      </c>
      <c r="U202" s="148" t="str">
        <f t="shared" si="149"/>
        <v/>
      </c>
      <c r="V202" s="261" t="str">
        <f t="shared" si="150"/>
        <v/>
      </c>
      <c r="W202" s="147" t="str">
        <f t="shared" si="151"/>
        <v/>
      </c>
      <c r="X202" s="148" t="str">
        <f t="shared" si="152"/>
        <v/>
      </c>
      <c r="Y202" s="259"/>
      <c r="Z202" s="2"/>
      <c r="AA202" s="264">
        <v>198</v>
      </c>
      <c r="AB202" s="16" t="str">
        <f t="shared" si="123"/>
        <v/>
      </c>
      <c r="AC202" s="16" t="str">
        <f t="shared" si="124"/>
        <v/>
      </c>
      <c r="AD202" s="16" t="str">
        <f t="shared" si="153"/>
        <v/>
      </c>
      <c r="AE202" s="16" t="str">
        <f t="shared" si="154"/>
        <v/>
      </c>
      <c r="AF202" s="16" t="str">
        <f t="shared" si="155"/>
        <v/>
      </c>
      <c r="AG202" s="16" t="str">
        <f t="shared" si="125"/>
        <v/>
      </c>
      <c r="AH202" s="16" t="str">
        <f t="shared" si="126"/>
        <v/>
      </c>
      <c r="AI202" s="29" t="str">
        <f t="shared" si="156"/>
        <v/>
      </c>
      <c r="AJ202" s="29" t="str">
        <f t="shared" si="157"/>
        <v/>
      </c>
      <c r="AK202" s="2"/>
      <c r="AL202" s="2"/>
      <c r="AM202" s="2"/>
      <c r="AN202" s="2"/>
      <c r="AO202" s="2"/>
      <c r="AP202" s="2"/>
      <c r="AQ202" s="2"/>
      <c r="AR202" s="2"/>
      <c r="AS202" s="2"/>
      <c r="AT202" s="2"/>
      <c r="AU202" s="2"/>
      <c r="AV202" s="2"/>
      <c r="AW202" s="2"/>
      <c r="AX202" s="2"/>
      <c r="AY202" s="2"/>
      <c r="AZ202" s="2"/>
      <c r="BA202" s="2"/>
      <c r="BB202" s="2"/>
      <c r="BC202" s="2"/>
    </row>
    <row r="203" spans="1:55" x14ac:dyDescent="0.25">
      <c r="A203" s="260" t="str">
        <f t="shared" si="129"/>
        <v>#24:</v>
      </c>
      <c r="B203" s="147">
        <f t="shared" si="130"/>
        <v>329.57280604868242</v>
      </c>
      <c r="C203" s="148">
        <f t="shared" si="131"/>
        <v>8.0191462528234894</v>
      </c>
      <c r="D203" s="261" t="str">
        <f t="shared" si="132"/>
        <v/>
      </c>
      <c r="E203" s="147" t="str">
        <f t="shared" si="133"/>
        <v/>
      </c>
      <c r="F203" s="148" t="str">
        <f t="shared" si="134"/>
        <v/>
      </c>
      <c r="G203" s="261" t="str">
        <f t="shared" si="135"/>
        <v/>
      </c>
      <c r="H203" s="147" t="str">
        <f t="shared" si="136"/>
        <v/>
      </c>
      <c r="I203" s="148" t="str">
        <f t="shared" si="137"/>
        <v/>
      </c>
      <c r="J203" s="261" t="str">
        <f t="shared" si="138"/>
        <v/>
      </c>
      <c r="K203" s="147" t="str">
        <f t="shared" si="139"/>
        <v/>
      </c>
      <c r="L203" s="148" t="str">
        <f t="shared" si="140"/>
        <v/>
      </c>
      <c r="M203" s="261" t="str">
        <f t="shared" si="141"/>
        <v/>
      </c>
      <c r="N203" s="147" t="str">
        <f t="shared" si="142"/>
        <v/>
      </c>
      <c r="O203" s="148" t="str">
        <f t="shared" si="143"/>
        <v/>
      </c>
      <c r="P203" s="261" t="str">
        <f t="shared" si="144"/>
        <v/>
      </c>
      <c r="Q203" s="147" t="str">
        <f t="shared" si="145"/>
        <v/>
      </c>
      <c r="R203" s="148" t="str">
        <f t="shared" si="146"/>
        <v/>
      </c>
      <c r="S203" s="261" t="str">
        <f t="shared" si="147"/>
        <v/>
      </c>
      <c r="T203" s="147" t="str">
        <f t="shared" si="148"/>
        <v/>
      </c>
      <c r="U203" s="148" t="str">
        <f t="shared" si="149"/>
        <v/>
      </c>
      <c r="V203" s="261" t="str">
        <f t="shared" si="150"/>
        <v/>
      </c>
      <c r="W203" s="147" t="str">
        <f t="shared" si="151"/>
        <v/>
      </c>
      <c r="X203" s="148" t="str">
        <f t="shared" si="152"/>
        <v/>
      </c>
      <c r="Y203" s="259"/>
      <c r="Z203" s="2"/>
      <c r="AA203" s="264">
        <v>199</v>
      </c>
      <c r="AB203" s="16" t="str">
        <f t="shared" si="123"/>
        <v/>
      </c>
      <c r="AC203" s="16" t="str">
        <f t="shared" si="124"/>
        <v/>
      </c>
      <c r="AD203" s="16" t="str">
        <f t="shared" si="153"/>
        <v/>
      </c>
      <c r="AE203" s="16" t="str">
        <f t="shared" si="154"/>
        <v/>
      </c>
      <c r="AF203" s="16" t="str">
        <f t="shared" si="155"/>
        <v/>
      </c>
      <c r="AG203" s="16" t="str">
        <f t="shared" si="125"/>
        <v/>
      </c>
      <c r="AH203" s="16" t="str">
        <f t="shared" si="126"/>
        <v/>
      </c>
      <c r="AI203" s="29" t="str">
        <f t="shared" si="156"/>
        <v/>
      </c>
      <c r="AJ203" s="29" t="str">
        <f t="shared" si="157"/>
        <v/>
      </c>
      <c r="AK203" s="2"/>
      <c r="AL203" s="2"/>
      <c r="AM203" s="2"/>
      <c r="AN203" s="2"/>
      <c r="AO203" s="2"/>
      <c r="AP203" s="2"/>
      <c r="AQ203" s="2"/>
      <c r="AR203" s="2"/>
      <c r="AS203" s="2"/>
      <c r="AT203" s="2"/>
      <c r="AU203" s="2"/>
      <c r="AV203" s="2"/>
      <c r="AW203" s="2"/>
      <c r="AX203" s="2"/>
      <c r="AY203" s="2"/>
      <c r="AZ203" s="2"/>
      <c r="BA203" s="2"/>
      <c r="BB203" s="2"/>
      <c r="BC203" s="2"/>
    </row>
    <row r="204" spans="1:55" x14ac:dyDescent="0.25">
      <c r="A204" s="260" t="str">
        <f t="shared" si="129"/>
        <v>#25:</v>
      </c>
      <c r="B204" s="147">
        <f t="shared" si="130"/>
        <v>327.32622607572483</v>
      </c>
      <c r="C204" s="148">
        <f t="shared" si="131"/>
        <v>8.0191462528234894</v>
      </c>
      <c r="D204" s="261" t="str">
        <f t="shared" si="132"/>
        <v/>
      </c>
      <c r="E204" s="147" t="str">
        <f t="shared" si="133"/>
        <v/>
      </c>
      <c r="F204" s="148" t="str">
        <f t="shared" si="134"/>
        <v/>
      </c>
      <c r="G204" s="261" t="str">
        <f t="shared" si="135"/>
        <v/>
      </c>
      <c r="H204" s="147" t="str">
        <f t="shared" si="136"/>
        <v/>
      </c>
      <c r="I204" s="148" t="str">
        <f t="shared" si="137"/>
        <v/>
      </c>
      <c r="J204" s="261" t="str">
        <f t="shared" si="138"/>
        <v/>
      </c>
      <c r="K204" s="147" t="str">
        <f t="shared" si="139"/>
        <v/>
      </c>
      <c r="L204" s="148" t="str">
        <f t="shared" si="140"/>
        <v/>
      </c>
      <c r="M204" s="261" t="str">
        <f t="shared" si="141"/>
        <v/>
      </c>
      <c r="N204" s="147" t="str">
        <f t="shared" si="142"/>
        <v/>
      </c>
      <c r="O204" s="148" t="str">
        <f t="shared" si="143"/>
        <v/>
      </c>
      <c r="P204" s="261" t="str">
        <f t="shared" si="144"/>
        <v/>
      </c>
      <c r="Q204" s="147" t="str">
        <f t="shared" si="145"/>
        <v/>
      </c>
      <c r="R204" s="148" t="str">
        <f t="shared" si="146"/>
        <v/>
      </c>
      <c r="S204" s="261" t="str">
        <f t="shared" si="147"/>
        <v/>
      </c>
      <c r="T204" s="147" t="str">
        <f t="shared" si="148"/>
        <v/>
      </c>
      <c r="U204" s="148" t="str">
        <f t="shared" si="149"/>
        <v/>
      </c>
      <c r="V204" s="261" t="str">
        <f t="shared" si="150"/>
        <v/>
      </c>
      <c r="W204" s="147" t="str">
        <f t="shared" si="151"/>
        <v/>
      </c>
      <c r="X204" s="148" t="str">
        <f t="shared" si="152"/>
        <v/>
      </c>
      <c r="Y204" s="259"/>
      <c r="Z204" s="2"/>
      <c r="AA204" s="264">
        <v>200</v>
      </c>
      <c r="AB204" s="16" t="str">
        <f t="shared" si="123"/>
        <v/>
      </c>
      <c r="AC204" s="16" t="str">
        <f t="shared" si="124"/>
        <v/>
      </c>
      <c r="AD204" s="16" t="str">
        <f t="shared" si="153"/>
        <v/>
      </c>
      <c r="AE204" s="16" t="str">
        <f t="shared" si="154"/>
        <v/>
      </c>
      <c r="AF204" s="16" t="str">
        <f t="shared" si="155"/>
        <v/>
      </c>
      <c r="AG204" s="16" t="str">
        <f t="shared" si="125"/>
        <v/>
      </c>
      <c r="AH204" s="16" t="str">
        <f t="shared" si="126"/>
        <v/>
      </c>
      <c r="AI204" s="29" t="str">
        <f t="shared" si="156"/>
        <v/>
      </c>
      <c r="AJ204" s="29" t="str">
        <f t="shared" si="157"/>
        <v/>
      </c>
      <c r="AK204" s="2"/>
      <c r="AL204" s="2"/>
      <c r="AM204" s="2"/>
      <c r="AN204" s="2"/>
      <c r="AO204" s="2"/>
      <c r="AP204" s="2"/>
      <c r="AQ204" s="2"/>
      <c r="AR204" s="2"/>
      <c r="AS204" s="2"/>
      <c r="AT204" s="2"/>
      <c r="AU204" s="2"/>
      <c r="AV204" s="2"/>
      <c r="AW204" s="2"/>
      <c r="AX204" s="2"/>
      <c r="AY204" s="2"/>
      <c r="AZ204" s="2"/>
      <c r="BA204" s="2"/>
      <c r="BB204" s="2"/>
      <c r="BC204" s="2"/>
    </row>
    <row r="205" spans="1:55" x14ac:dyDescent="0.25">
      <c r="A205" s="260" t="str">
        <f t="shared" si="129"/>
        <v>#26:</v>
      </c>
      <c r="B205" s="147">
        <f t="shared" si="130"/>
        <v>325.07964610276719</v>
      </c>
      <c r="C205" s="148">
        <f t="shared" si="131"/>
        <v>8.0191462528234894</v>
      </c>
      <c r="D205" s="261" t="str">
        <f t="shared" si="132"/>
        <v/>
      </c>
      <c r="E205" s="147" t="str">
        <f t="shared" si="133"/>
        <v/>
      </c>
      <c r="F205" s="148" t="str">
        <f t="shared" si="134"/>
        <v/>
      </c>
      <c r="G205" s="261" t="str">
        <f t="shared" si="135"/>
        <v/>
      </c>
      <c r="H205" s="147" t="str">
        <f t="shared" si="136"/>
        <v/>
      </c>
      <c r="I205" s="148" t="str">
        <f t="shared" si="137"/>
        <v/>
      </c>
      <c r="J205" s="261" t="str">
        <f t="shared" si="138"/>
        <v/>
      </c>
      <c r="K205" s="147" t="str">
        <f t="shared" si="139"/>
        <v/>
      </c>
      <c r="L205" s="148" t="str">
        <f t="shared" si="140"/>
        <v/>
      </c>
      <c r="M205" s="261" t="str">
        <f t="shared" si="141"/>
        <v/>
      </c>
      <c r="N205" s="147" t="str">
        <f t="shared" si="142"/>
        <v/>
      </c>
      <c r="O205" s="148" t="str">
        <f t="shared" si="143"/>
        <v/>
      </c>
      <c r="P205" s="261" t="str">
        <f t="shared" si="144"/>
        <v/>
      </c>
      <c r="Q205" s="147" t="str">
        <f t="shared" si="145"/>
        <v/>
      </c>
      <c r="R205" s="148" t="str">
        <f t="shared" si="146"/>
        <v/>
      </c>
      <c r="S205" s="261" t="str">
        <f t="shared" si="147"/>
        <v/>
      </c>
      <c r="T205" s="147" t="str">
        <f t="shared" si="148"/>
        <v/>
      </c>
      <c r="U205" s="148" t="str">
        <f t="shared" si="149"/>
        <v/>
      </c>
      <c r="V205" s="261" t="str">
        <f t="shared" si="150"/>
        <v/>
      </c>
      <c r="W205" s="147" t="str">
        <f t="shared" si="151"/>
        <v/>
      </c>
      <c r="X205" s="148" t="str">
        <f t="shared" si="152"/>
        <v/>
      </c>
      <c r="Y205" s="259"/>
      <c r="Z205" s="2"/>
      <c r="AA205" s="264">
        <v>201</v>
      </c>
      <c r="AB205" s="16" t="str">
        <f t="shared" ref="AB205:AB254" si="158">IF($C$9&gt;=$AA205,$O13+0.000001-$AB$410,"")</f>
        <v/>
      </c>
      <c r="AC205" s="16" t="str">
        <f t="shared" ref="AC205:AC254" si="159">IF($C$9&gt;=$AA205,$N13+0.000001-$AB$409,"")</f>
        <v/>
      </c>
      <c r="AD205" s="16" t="str">
        <f t="shared" si="153"/>
        <v/>
      </c>
      <c r="AE205" s="16" t="str">
        <f t="shared" si="154"/>
        <v/>
      </c>
      <c r="AF205" s="16" t="str">
        <f t="shared" si="155"/>
        <v/>
      </c>
      <c r="AG205" s="16" t="str">
        <f t="shared" ref="AG205:AG254" si="160">IF($C$9&gt;=$AA205,$N13-$AB$409,"")</f>
        <v/>
      </c>
      <c r="AH205" s="16" t="str">
        <f t="shared" ref="AH205:AH254" si="161">IF($C$9&gt;=$AA205,$O13-$AB$410,"")</f>
        <v/>
      </c>
      <c r="AI205" s="29" t="str">
        <f t="shared" si="156"/>
        <v/>
      </c>
      <c r="AJ205" s="29" t="str">
        <f t="shared" si="157"/>
        <v/>
      </c>
      <c r="AK205" s="2"/>
      <c r="AL205" s="2"/>
      <c r="AM205" s="2"/>
      <c r="AN205" s="2"/>
      <c r="AO205" s="2"/>
      <c r="AP205" s="2"/>
      <c r="AQ205" s="2"/>
      <c r="AR205" s="2"/>
      <c r="AS205" s="2"/>
      <c r="AT205" s="2"/>
      <c r="AU205" s="2"/>
      <c r="AV205" s="2"/>
      <c r="AW205" s="2"/>
      <c r="AX205" s="2"/>
      <c r="AY205" s="2"/>
      <c r="AZ205" s="2"/>
      <c r="BA205" s="2"/>
      <c r="BB205" s="2"/>
      <c r="BC205" s="2"/>
    </row>
    <row r="206" spans="1:55" x14ac:dyDescent="0.25">
      <c r="A206" s="260" t="str">
        <f t="shared" si="129"/>
        <v>#27:</v>
      </c>
      <c r="B206" s="147">
        <f t="shared" si="130"/>
        <v>322.83306612980959</v>
      </c>
      <c r="C206" s="148">
        <f t="shared" si="131"/>
        <v>8.0191462528234894</v>
      </c>
      <c r="D206" s="261" t="str">
        <f t="shared" si="132"/>
        <v/>
      </c>
      <c r="E206" s="147" t="str">
        <f t="shared" si="133"/>
        <v/>
      </c>
      <c r="F206" s="148" t="str">
        <f t="shared" si="134"/>
        <v/>
      </c>
      <c r="G206" s="261" t="str">
        <f t="shared" si="135"/>
        <v/>
      </c>
      <c r="H206" s="147" t="str">
        <f t="shared" si="136"/>
        <v/>
      </c>
      <c r="I206" s="148" t="str">
        <f t="shared" si="137"/>
        <v/>
      </c>
      <c r="J206" s="261" t="str">
        <f t="shared" si="138"/>
        <v/>
      </c>
      <c r="K206" s="147" t="str">
        <f t="shared" si="139"/>
        <v/>
      </c>
      <c r="L206" s="148" t="str">
        <f t="shared" si="140"/>
        <v/>
      </c>
      <c r="M206" s="261" t="str">
        <f t="shared" si="141"/>
        <v/>
      </c>
      <c r="N206" s="147" t="str">
        <f t="shared" si="142"/>
        <v/>
      </c>
      <c r="O206" s="148" t="str">
        <f t="shared" si="143"/>
        <v/>
      </c>
      <c r="P206" s="261" t="str">
        <f t="shared" si="144"/>
        <v/>
      </c>
      <c r="Q206" s="147" t="str">
        <f t="shared" si="145"/>
        <v/>
      </c>
      <c r="R206" s="148" t="str">
        <f t="shared" si="146"/>
        <v/>
      </c>
      <c r="S206" s="261" t="str">
        <f t="shared" si="147"/>
        <v/>
      </c>
      <c r="T206" s="147" t="str">
        <f t="shared" si="148"/>
        <v/>
      </c>
      <c r="U206" s="148" t="str">
        <f t="shared" si="149"/>
        <v/>
      </c>
      <c r="V206" s="261" t="str">
        <f t="shared" si="150"/>
        <v/>
      </c>
      <c r="W206" s="147" t="str">
        <f t="shared" si="151"/>
        <v/>
      </c>
      <c r="X206" s="148" t="str">
        <f t="shared" si="152"/>
        <v/>
      </c>
      <c r="Y206" s="259"/>
      <c r="Z206" s="2"/>
      <c r="AA206" s="264">
        <v>202</v>
      </c>
      <c r="AB206" s="16" t="str">
        <f t="shared" si="158"/>
        <v/>
      </c>
      <c r="AC206" s="16" t="str">
        <f t="shared" si="159"/>
        <v/>
      </c>
      <c r="AD206" s="16" t="str">
        <f t="shared" si="153"/>
        <v/>
      </c>
      <c r="AE206" s="16" t="str">
        <f t="shared" si="154"/>
        <v/>
      </c>
      <c r="AF206" s="16" t="str">
        <f t="shared" si="155"/>
        <v/>
      </c>
      <c r="AG206" s="16" t="str">
        <f t="shared" si="160"/>
        <v/>
      </c>
      <c r="AH206" s="16" t="str">
        <f t="shared" si="161"/>
        <v/>
      </c>
      <c r="AI206" s="29" t="str">
        <f t="shared" si="156"/>
        <v/>
      </c>
      <c r="AJ206" s="29" t="str">
        <f t="shared" si="157"/>
        <v/>
      </c>
      <c r="AK206" s="2"/>
      <c r="AL206" s="2"/>
      <c r="AM206" s="2"/>
      <c r="AN206" s="2"/>
      <c r="AO206" s="2"/>
      <c r="AP206" s="2"/>
      <c r="AQ206" s="2"/>
      <c r="AR206" s="2"/>
      <c r="AS206" s="2"/>
      <c r="AT206" s="2"/>
      <c r="AU206" s="2"/>
      <c r="AV206" s="2"/>
      <c r="AW206" s="2"/>
      <c r="AX206" s="2"/>
      <c r="AY206" s="2"/>
      <c r="AZ206" s="2"/>
      <c r="BA206" s="2"/>
      <c r="BB206" s="2"/>
      <c r="BC206" s="2"/>
    </row>
    <row r="207" spans="1:55" x14ac:dyDescent="0.25">
      <c r="A207" s="260" t="str">
        <f t="shared" si="129"/>
        <v>#28:</v>
      </c>
      <c r="B207" s="147">
        <f t="shared" si="130"/>
        <v>320.586486156852</v>
      </c>
      <c r="C207" s="148">
        <f t="shared" si="131"/>
        <v>8.0191462528234894</v>
      </c>
      <c r="D207" s="261" t="str">
        <f t="shared" si="132"/>
        <v/>
      </c>
      <c r="E207" s="147" t="str">
        <f t="shared" si="133"/>
        <v/>
      </c>
      <c r="F207" s="148" t="str">
        <f t="shared" si="134"/>
        <v/>
      </c>
      <c r="G207" s="261" t="str">
        <f t="shared" si="135"/>
        <v/>
      </c>
      <c r="H207" s="147" t="str">
        <f t="shared" si="136"/>
        <v/>
      </c>
      <c r="I207" s="148" t="str">
        <f t="shared" si="137"/>
        <v/>
      </c>
      <c r="J207" s="261" t="str">
        <f t="shared" si="138"/>
        <v/>
      </c>
      <c r="K207" s="147" t="str">
        <f t="shared" si="139"/>
        <v/>
      </c>
      <c r="L207" s="148" t="str">
        <f t="shared" si="140"/>
        <v/>
      </c>
      <c r="M207" s="261" t="str">
        <f t="shared" si="141"/>
        <v/>
      </c>
      <c r="N207" s="147" t="str">
        <f t="shared" si="142"/>
        <v/>
      </c>
      <c r="O207" s="148" t="str">
        <f t="shared" si="143"/>
        <v/>
      </c>
      <c r="P207" s="261" t="str">
        <f t="shared" si="144"/>
        <v/>
      </c>
      <c r="Q207" s="147" t="str">
        <f t="shared" si="145"/>
        <v/>
      </c>
      <c r="R207" s="148" t="str">
        <f t="shared" si="146"/>
        <v/>
      </c>
      <c r="S207" s="261" t="str">
        <f t="shared" si="147"/>
        <v/>
      </c>
      <c r="T207" s="147" t="str">
        <f t="shared" si="148"/>
        <v/>
      </c>
      <c r="U207" s="148" t="str">
        <f t="shared" si="149"/>
        <v/>
      </c>
      <c r="V207" s="261" t="str">
        <f t="shared" si="150"/>
        <v/>
      </c>
      <c r="W207" s="147" t="str">
        <f t="shared" si="151"/>
        <v/>
      </c>
      <c r="X207" s="148" t="str">
        <f t="shared" si="152"/>
        <v/>
      </c>
      <c r="Y207" s="259"/>
      <c r="Z207" s="2"/>
      <c r="AA207" s="264">
        <v>203</v>
      </c>
      <c r="AB207" s="16" t="str">
        <f t="shared" si="158"/>
        <v/>
      </c>
      <c r="AC207" s="16" t="str">
        <f t="shared" si="159"/>
        <v/>
      </c>
      <c r="AD207" s="16" t="str">
        <f t="shared" si="153"/>
        <v/>
      </c>
      <c r="AE207" s="16" t="str">
        <f t="shared" si="154"/>
        <v/>
      </c>
      <c r="AF207" s="16" t="str">
        <f t="shared" si="155"/>
        <v/>
      </c>
      <c r="AG207" s="16" t="str">
        <f t="shared" si="160"/>
        <v/>
      </c>
      <c r="AH207" s="16" t="str">
        <f t="shared" si="161"/>
        <v/>
      </c>
      <c r="AI207" s="29" t="str">
        <f t="shared" si="156"/>
        <v/>
      </c>
      <c r="AJ207" s="29" t="str">
        <f t="shared" si="157"/>
        <v/>
      </c>
      <c r="AK207" s="2"/>
      <c r="AL207" s="2"/>
      <c r="AM207" s="2"/>
      <c r="AN207" s="2"/>
      <c r="AO207" s="2"/>
      <c r="AP207" s="2"/>
      <c r="AQ207" s="2"/>
      <c r="AR207" s="2"/>
      <c r="AS207" s="2"/>
      <c r="AT207" s="2"/>
      <c r="AU207" s="2"/>
      <c r="AV207" s="2"/>
      <c r="AW207" s="2"/>
      <c r="AX207" s="2"/>
      <c r="AY207" s="2"/>
      <c r="AZ207" s="2"/>
      <c r="BA207" s="2"/>
      <c r="BB207" s="2"/>
      <c r="BC207" s="2"/>
    </row>
    <row r="208" spans="1:55" x14ac:dyDescent="0.25">
      <c r="A208" s="260" t="str">
        <f t="shared" si="129"/>
        <v>#29:</v>
      </c>
      <c r="B208" s="147">
        <f t="shared" si="130"/>
        <v>318.33990618389441</v>
      </c>
      <c r="C208" s="148">
        <f t="shared" si="131"/>
        <v>8.0191462528234894</v>
      </c>
      <c r="D208" s="261" t="str">
        <f t="shared" si="132"/>
        <v/>
      </c>
      <c r="E208" s="147" t="str">
        <f t="shared" si="133"/>
        <v/>
      </c>
      <c r="F208" s="148" t="str">
        <f t="shared" si="134"/>
        <v/>
      </c>
      <c r="G208" s="261" t="str">
        <f t="shared" si="135"/>
        <v/>
      </c>
      <c r="H208" s="147" t="str">
        <f t="shared" si="136"/>
        <v/>
      </c>
      <c r="I208" s="148" t="str">
        <f t="shared" si="137"/>
        <v/>
      </c>
      <c r="J208" s="261" t="str">
        <f t="shared" si="138"/>
        <v/>
      </c>
      <c r="K208" s="147" t="str">
        <f t="shared" si="139"/>
        <v/>
      </c>
      <c r="L208" s="148" t="str">
        <f t="shared" si="140"/>
        <v/>
      </c>
      <c r="M208" s="261" t="str">
        <f t="shared" si="141"/>
        <v/>
      </c>
      <c r="N208" s="147" t="str">
        <f t="shared" si="142"/>
        <v/>
      </c>
      <c r="O208" s="148" t="str">
        <f t="shared" si="143"/>
        <v/>
      </c>
      <c r="P208" s="261" t="str">
        <f t="shared" si="144"/>
        <v/>
      </c>
      <c r="Q208" s="147" t="str">
        <f t="shared" si="145"/>
        <v/>
      </c>
      <c r="R208" s="148" t="str">
        <f t="shared" si="146"/>
        <v/>
      </c>
      <c r="S208" s="261" t="str">
        <f t="shared" si="147"/>
        <v/>
      </c>
      <c r="T208" s="147" t="str">
        <f t="shared" si="148"/>
        <v/>
      </c>
      <c r="U208" s="148" t="str">
        <f t="shared" si="149"/>
        <v/>
      </c>
      <c r="V208" s="261" t="str">
        <f t="shared" si="150"/>
        <v/>
      </c>
      <c r="W208" s="147" t="str">
        <f t="shared" si="151"/>
        <v/>
      </c>
      <c r="X208" s="148" t="str">
        <f t="shared" si="152"/>
        <v/>
      </c>
      <c r="Y208" s="259"/>
      <c r="Z208" s="2"/>
      <c r="AA208" s="264">
        <v>204</v>
      </c>
      <c r="AB208" s="16" t="str">
        <f t="shared" si="158"/>
        <v/>
      </c>
      <c r="AC208" s="16" t="str">
        <f t="shared" si="159"/>
        <v/>
      </c>
      <c r="AD208" s="16" t="str">
        <f t="shared" si="153"/>
        <v/>
      </c>
      <c r="AE208" s="16" t="str">
        <f t="shared" si="154"/>
        <v/>
      </c>
      <c r="AF208" s="16" t="str">
        <f t="shared" si="155"/>
        <v/>
      </c>
      <c r="AG208" s="16" t="str">
        <f t="shared" si="160"/>
        <v/>
      </c>
      <c r="AH208" s="16" t="str">
        <f t="shared" si="161"/>
        <v/>
      </c>
      <c r="AI208" s="29" t="str">
        <f t="shared" si="156"/>
        <v/>
      </c>
      <c r="AJ208" s="29" t="str">
        <f t="shared" si="157"/>
        <v/>
      </c>
      <c r="AK208" s="2"/>
      <c r="AL208" s="2"/>
      <c r="AM208" s="2"/>
      <c r="AN208" s="2"/>
      <c r="AO208" s="2"/>
      <c r="AP208" s="2"/>
      <c r="AQ208" s="2"/>
      <c r="AR208" s="2"/>
      <c r="AS208" s="2"/>
      <c r="AT208" s="2"/>
      <c r="AU208" s="2"/>
      <c r="AV208" s="2"/>
      <c r="AW208" s="2"/>
      <c r="AX208" s="2"/>
      <c r="AY208" s="2"/>
      <c r="AZ208" s="2"/>
      <c r="BA208" s="2"/>
      <c r="BB208" s="2"/>
      <c r="BC208" s="2"/>
    </row>
    <row r="209" spans="1:55" x14ac:dyDescent="0.25">
      <c r="A209" s="260" t="str">
        <f t="shared" si="129"/>
        <v>#30:</v>
      </c>
      <c r="B209" s="147">
        <f t="shared" si="130"/>
        <v>316.09332621093682</v>
      </c>
      <c r="C209" s="148">
        <f t="shared" si="131"/>
        <v>8.0191462528234894</v>
      </c>
      <c r="D209" s="261" t="str">
        <f t="shared" si="132"/>
        <v/>
      </c>
      <c r="E209" s="147" t="str">
        <f t="shared" si="133"/>
        <v/>
      </c>
      <c r="F209" s="148" t="str">
        <f t="shared" si="134"/>
        <v/>
      </c>
      <c r="G209" s="261" t="str">
        <f t="shared" si="135"/>
        <v/>
      </c>
      <c r="H209" s="147" t="str">
        <f t="shared" si="136"/>
        <v/>
      </c>
      <c r="I209" s="148" t="str">
        <f t="shared" si="137"/>
        <v/>
      </c>
      <c r="J209" s="261" t="str">
        <f t="shared" si="138"/>
        <v/>
      </c>
      <c r="K209" s="147" t="str">
        <f t="shared" si="139"/>
        <v/>
      </c>
      <c r="L209" s="148" t="str">
        <f t="shared" si="140"/>
        <v/>
      </c>
      <c r="M209" s="261" t="str">
        <f t="shared" si="141"/>
        <v/>
      </c>
      <c r="N209" s="147" t="str">
        <f t="shared" si="142"/>
        <v/>
      </c>
      <c r="O209" s="148" t="str">
        <f t="shared" si="143"/>
        <v/>
      </c>
      <c r="P209" s="261" t="str">
        <f t="shared" si="144"/>
        <v/>
      </c>
      <c r="Q209" s="147" t="str">
        <f t="shared" si="145"/>
        <v/>
      </c>
      <c r="R209" s="148" t="str">
        <f t="shared" si="146"/>
        <v/>
      </c>
      <c r="S209" s="261" t="str">
        <f t="shared" si="147"/>
        <v/>
      </c>
      <c r="T209" s="147" t="str">
        <f t="shared" si="148"/>
        <v/>
      </c>
      <c r="U209" s="148" t="str">
        <f t="shared" si="149"/>
        <v/>
      </c>
      <c r="V209" s="261" t="str">
        <f t="shared" si="150"/>
        <v/>
      </c>
      <c r="W209" s="147" t="str">
        <f t="shared" si="151"/>
        <v/>
      </c>
      <c r="X209" s="148" t="str">
        <f t="shared" si="152"/>
        <v/>
      </c>
      <c r="Y209" s="259"/>
      <c r="Z209" s="2"/>
      <c r="AA209" s="264">
        <v>205</v>
      </c>
      <c r="AB209" s="16" t="str">
        <f t="shared" si="158"/>
        <v/>
      </c>
      <c r="AC209" s="16" t="str">
        <f t="shared" si="159"/>
        <v/>
      </c>
      <c r="AD209" s="16" t="str">
        <f t="shared" si="153"/>
        <v/>
      </c>
      <c r="AE209" s="16" t="str">
        <f t="shared" si="154"/>
        <v/>
      </c>
      <c r="AF209" s="16" t="str">
        <f t="shared" si="155"/>
        <v/>
      </c>
      <c r="AG209" s="16" t="str">
        <f t="shared" si="160"/>
        <v/>
      </c>
      <c r="AH209" s="16" t="str">
        <f t="shared" si="161"/>
        <v/>
      </c>
      <c r="AI209" s="29" t="str">
        <f t="shared" si="156"/>
        <v/>
      </c>
      <c r="AJ209" s="29" t="str">
        <f t="shared" si="157"/>
        <v/>
      </c>
      <c r="AK209" s="2"/>
      <c r="AL209" s="2"/>
      <c r="AM209" s="2"/>
      <c r="AN209" s="2"/>
      <c r="AO209" s="2"/>
      <c r="AP209" s="2"/>
      <c r="AQ209" s="2"/>
      <c r="AR209" s="2"/>
      <c r="AS209" s="2"/>
      <c r="AT209" s="2"/>
      <c r="AU209" s="2"/>
      <c r="AV209" s="2"/>
      <c r="AW209" s="2"/>
      <c r="AX209" s="2"/>
      <c r="AY209" s="2"/>
      <c r="AZ209" s="2"/>
      <c r="BA209" s="2"/>
      <c r="BB209" s="2"/>
      <c r="BC209" s="2"/>
    </row>
    <row r="210" spans="1:55" x14ac:dyDescent="0.25">
      <c r="A210" s="260" t="str">
        <f t="shared" si="129"/>
        <v>#31:</v>
      </c>
      <c r="B210" s="147">
        <f t="shared" si="130"/>
        <v>321.48511814604706</v>
      </c>
      <c r="C210" s="148">
        <f t="shared" si="131"/>
        <v>8.0191462528234894</v>
      </c>
      <c r="D210" s="261" t="str">
        <f t="shared" si="132"/>
        <v/>
      </c>
      <c r="E210" s="147" t="str">
        <f t="shared" si="133"/>
        <v/>
      </c>
      <c r="F210" s="148" t="str">
        <f t="shared" si="134"/>
        <v/>
      </c>
      <c r="G210" s="261" t="str">
        <f t="shared" si="135"/>
        <v/>
      </c>
      <c r="H210" s="147" t="str">
        <f t="shared" si="136"/>
        <v/>
      </c>
      <c r="I210" s="148" t="str">
        <f t="shared" si="137"/>
        <v/>
      </c>
      <c r="J210" s="261" t="str">
        <f t="shared" si="138"/>
        <v/>
      </c>
      <c r="K210" s="147" t="str">
        <f t="shared" si="139"/>
        <v/>
      </c>
      <c r="L210" s="148" t="str">
        <f t="shared" si="140"/>
        <v/>
      </c>
      <c r="M210" s="261" t="str">
        <f t="shared" si="141"/>
        <v/>
      </c>
      <c r="N210" s="147" t="str">
        <f t="shared" si="142"/>
        <v/>
      </c>
      <c r="O210" s="148" t="str">
        <f t="shared" si="143"/>
        <v/>
      </c>
      <c r="P210" s="261" t="str">
        <f t="shared" si="144"/>
        <v/>
      </c>
      <c r="Q210" s="147" t="str">
        <f t="shared" si="145"/>
        <v/>
      </c>
      <c r="R210" s="148" t="str">
        <f t="shared" si="146"/>
        <v/>
      </c>
      <c r="S210" s="261" t="str">
        <f t="shared" si="147"/>
        <v/>
      </c>
      <c r="T210" s="147" t="str">
        <f t="shared" si="148"/>
        <v/>
      </c>
      <c r="U210" s="148" t="str">
        <f t="shared" si="149"/>
        <v/>
      </c>
      <c r="V210" s="261" t="str">
        <f t="shared" si="150"/>
        <v/>
      </c>
      <c r="W210" s="147" t="str">
        <f t="shared" si="151"/>
        <v/>
      </c>
      <c r="X210" s="148" t="str">
        <f t="shared" si="152"/>
        <v/>
      </c>
      <c r="Y210" s="259"/>
      <c r="Z210" s="2"/>
      <c r="AA210" s="264">
        <v>206</v>
      </c>
      <c r="AB210" s="16" t="str">
        <f t="shared" si="158"/>
        <v/>
      </c>
      <c r="AC210" s="16" t="str">
        <f t="shared" si="159"/>
        <v/>
      </c>
      <c r="AD210" s="16" t="str">
        <f t="shared" si="153"/>
        <v/>
      </c>
      <c r="AE210" s="16" t="str">
        <f t="shared" si="154"/>
        <v/>
      </c>
      <c r="AF210" s="16" t="str">
        <f t="shared" si="155"/>
        <v/>
      </c>
      <c r="AG210" s="16" t="str">
        <f t="shared" si="160"/>
        <v/>
      </c>
      <c r="AH210" s="16" t="str">
        <f t="shared" si="161"/>
        <v/>
      </c>
      <c r="AI210" s="29" t="str">
        <f t="shared" si="156"/>
        <v/>
      </c>
      <c r="AJ210" s="29" t="str">
        <f t="shared" si="157"/>
        <v/>
      </c>
      <c r="AK210" s="2"/>
      <c r="AL210" s="2"/>
      <c r="AM210" s="2"/>
      <c r="AN210" s="2"/>
      <c r="AO210" s="2"/>
      <c r="AP210" s="2"/>
      <c r="AQ210" s="2"/>
      <c r="AR210" s="2"/>
      <c r="AS210" s="2"/>
      <c r="AT210" s="2"/>
      <c r="AU210" s="2"/>
      <c r="AV210" s="2"/>
      <c r="AW210" s="2"/>
      <c r="AX210" s="2"/>
      <c r="AY210" s="2"/>
      <c r="AZ210" s="2"/>
      <c r="BA210" s="2"/>
      <c r="BB210" s="2"/>
      <c r="BC210" s="2"/>
    </row>
    <row r="211" spans="1:55" x14ac:dyDescent="0.25">
      <c r="A211" s="260" t="str">
        <f t="shared" si="129"/>
        <v>#32:</v>
      </c>
      <c r="B211" s="147">
        <f t="shared" si="130"/>
        <v>319.23853817308947</v>
      </c>
      <c r="C211" s="148">
        <f t="shared" si="131"/>
        <v>8.0191462528234894</v>
      </c>
      <c r="D211" s="261" t="str">
        <f t="shared" si="132"/>
        <v/>
      </c>
      <c r="E211" s="147" t="str">
        <f t="shared" si="133"/>
        <v/>
      </c>
      <c r="F211" s="148" t="str">
        <f t="shared" si="134"/>
        <v/>
      </c>
      <c r="G211" s="261" t="str">
        <f t="shared" si="135"/>
        <v/>
      </c>
      <c r="H211" s="147" t="str">
        <f t="shared" si="136"/>
        <v/>
      </c>
      <c r="I211" s="148" t="str">
        <f t="shared" si="137"/>
        <v/>
      </c>
      <c r="J211" s="261" t="str">
        <f t="shared" si="138"/>
        <v/>
      </c>
      <c r="K211" s="147" t="str">
        <f t="shared" si="139"/>
        <v/>
      </c>
      <c r="L211" s="148" t="str">
        <f t="shared" si="140"/>
        <v/>
      </c>
      <c r="M211" s="261" t="str">
        <f t="shared" si="141"/>
        <v/>
      </c>
      <c r="N211" s="147" t="str">
        <f t="shared" si="142"/>
        <v/>
      </c>
      <c r="O211" s="148" t="str">
        <f t="shared" si="143"/>
        <v/>
      </c>
      <c r="P211" s="261" t="str">
        <f t="shared" si="144"/>
        <v/>
      </c>
      <c r="Q211" s="147" t="str">
        <f t="shared" si="145"/>
        <v/>
      </c>
      <c r="R211" s="148" t="str">
        <f t="shared" si="146"/>
        <v/>
      </c>
      <c r="S211" s="261" t="str">
        <f t="shared" si="147"/>
        <v/>
      </c>
      <c r="T211" s="147" t="str">
        <f t="shared" si="148"/>
        <v/>
      </c>
      <c r="U211" s="148" t="str">
        <f t="shared" si="149"/>
        <v/>
      </c>
      <c r="V211" s="261" t="str">
        <f t="shared" si="150"/>
        <v/>
      </c>
      <c r="W211" s="147" t="str">
        <f t="shared" si="151"/>
        <v/>
      </c>
      <c r="X211" s="148" t="str">
        <f t="shared" si="152"/>
        <v/>
      </c>
      <c r="Y211" s="259"/>
      <c r="Z211" s="2"/>
      <c r="AA211" s="264">
        <v>207</v>
      </c>
      <c r="AB211" s="16" t="str">
        <f t="shared" si="158"/>
        <v/>
      </c>
      <c r="AC211" s="16" t="str">
        <f t="shared" si="159"/>
        <v/>
      </c>
      <c r="AD211" s="16" t="str">
        <f t="shared" si="153"/>
        <v/>
      </c>
      <c r="AE211" s="16" t="str">
        <f t="shared" si="154"/>
        <v/>
      </c>
      <c r="AF211" s="16" t="str">
        <f t="shared" si="155"/>
        <v/>
      </c>
      <c r="AG211" s="16" t="str">
        <f t="shared" si="160"/>
        <v/>
      </c>
      <c r="AH211" s="16" t="str">
        <f t="shared" si="161"/>
        <v/>
      </c>
      <c r="AI211" s="29" t="str">
        <f t="shared" si="156"/>
        <v/>
      </c>
      <c r="AJ211" s="29" t="str">
        <f t="shared" si="157"/>
        <v/>
      </c>
      <c r="AK211" s="2"/>
      <c r="AL211" s="2"/>
      <c r="AM211" s="2"/>
      <c r="AN211" s="2"/>
      <c r="AO211" s="2"/>
      <c r="AP211" s="2"/>
      <c r="AQ211" s="2"/>
      <c r="AR211" s="2"/>
      <c r="AS211" s="2"/>
      <c r="AT211" s="2"/>
      <c r="AU211" s="2"/>
      <c r="AV211" s="2"/>
      <c r="AW211" s="2"/>
      <c r="AX211" s="2"/>
      <c r="AY211" s="2"/>
      <c r="AZ211" s="2"/>
      <c r="BA211" s="2"/>
      <c r="BB211" s="2"/>
      <c r="BC211" s="2"/>
    </row>
    <row r="212" spans="1:55" x14ac:dyDescent="0.25">
      <c r="A212" s="260" t="str">
        <f t="shared" ref="A212:A229" si="162">IF($C$9&gt;=$AA37,"#"&amp;$AA37&amp;":","")</f>
        <v>#33:</v>
      </c>
      <c r="B212" s="147">
        <f t="shared" ref="B212:B229" si="163">$AI37</f>
        <v>316.99195820013188</v>
      </c>
      <c r="C212" s="148">
        <f t="shared" ref="C212:C229" si="164">$AJ37</f>
        <v>8.0191462528234894</v>
      </c>
      <c r="D212" s="261" t="str">
        <f t="shared" ref="D212:D229" si="165">IF($C$9&gt;=$AA87,"#"&amp;$AA87&amp;":","")</f>
        <v/>
      </c>
      <c r="E212" s="147" t="str">
        <f t="shared" ref="E212:E229" si="166">$AI87</f>
        <v/>
      </c>
      <c r="F212" s="148" t="str">
        <f t="shared" ref="F212:F229" si="167">$AJ87</f>
        <v/>
      </c>
      <c r="G212" s="261" t="str">
        <f t="shared" ref="G212:G229" si="168">IF($C$9&gt;=$AA137,"#"&amp;$AA137&amp;":","")</f>
        <v/>
      </c>
      <c r="H212" s="147" t="str">
        <f t="shared" ref="H212:H229" si="169">$AI137</f>
        <v/>
      </c>
      <c r="I212" s="148" t="str">
        <f t="shared" ref="I212:I229" si="170">$AJ137</f>
        <v/>
      </c>
      <c r="J212" s="261" t="str">
        <f t="shared" ref="J212:J229" si="171">IF($C$9&gt;=$AA187,"#"&amp;$AA187&amp;":","")</f>
        <v/>
      </c>
      <c r="K212" s="147" t="str">
        <f t="shared" ref="K212:K229" si="172">$AI187</f>
        <v/>
      </c>
      <c r="L212" s="148" t="str">
        <f t="shared" ref="L212:L229" si="173">$AJ187</f>
        <v/>
      </c>
      <c r="M212" s="261" t="str">
        <f t="shared" ref="M212:M229" si="174">IF($C$9&gt;=$AA237,"#"&amp;$AA237&amp;":","")</f>
        <v/>
      </c>
      <c r="N212" s="147" t="str">
        <f t="shared" ref="N212:N229" si="175">$AI237</f>
        <v/>
      </c>
      <c r="O212" s="148" t="str">
        <f t="shared" ref="O212:O229" si="176">$AJ237</f>
        <v/>
      </c>
      <c r="P212" s="261" t="str">
        <f t="shared" ref="P212:P229" si="177">IF($C$9&gt;=$AA287,"#"&amp;$AA287&amp;":","")</f>
        <v/>
      </c>
      <c r="Q212" s="147" t="str">
        <f t="shared" ref="Q212:Q229" si="178">$AI287</f>
        <v/>
      </c>
      <c r="R212" s="148" t="str">
        <f t="shared" ref="R212:R229" si="179">$AJ287</f>
        <v/>
      </c>
      <c r="S212" s="261" t="str">
        <f t="shared" si="147"/>
        <v/>
      </c>
      <c r="T212" s="147" t="str">
        <f t="shared" si="148"/>
        <v/>
      </c>
      <c r="U212" s="148" t="str">
        <f t="shared" si="149"/>
        <v/>
      </c>
      <c r="V212" s="261" t="str">
        <f t="shared" si="150"/>
        <v/>
      </c>
      <c r="W212" s="147" t="str">
        <f t="shared" si="151"/>
        <v/>
      </c>
      <c r="X212" s="148" t="str">
        <f t="shared" si="152"/>
        <v/>
      </c>
      <c r="Y212" s="259"/>
      <c r="Z212" s="2"/>
      <c r="AA212" s="264">
        <v>208</v>
      </c>
      <c r="AB212" s="16" t="str">
        <f t="shared" si="158"/>
        <v/>
      </c>
      <c r="AC212" s="16" t="str">
        <f t="shared" si="159"/>
        <v/>
      </c>
      <c r="AD212" s="16" t="str">
        <f t="shared" si="153"/>
        <v/>
      </c>
      <c r="AE212" s="16" t="str">
        <f t="shared" si="154"/>
        <v/>
      </c>
      <c r="AF212" s="16" t="str">
        <f t="shared" si="155"/>
        <v/>
      </c>
      <c r="AG212" s="16" t="str">
        <f t="shared" si="160"/>
        <v/>
      </c>
      <c r="AH212" s="16" t="str">
        <f t="shared" si="161"/>
        <v/>
      </c>
      <c r="AI212" s="29" t="str">
        <f t="shared" si="156"/>
        <v/>
      </c>
      <c r="AJ212" s="29" t="str">
        <f t="shared" si="157"/>
        <v/>
      </c>
      <c r="AK212" s="2"/>
      <c r="AL212" s="2"/>
      <c r="AM212" s="2"/>
      <c r="AN212" s="2"/>
      <c r="AO212" s="2"/>
      <c r="AP212" s="2"/>
      <c r="AQ212" s="2"/>
      <c r="AR212" s="2"/>
      <c r="AS212" s="2"/>
      <c r="AT212" s="2"/>
      <c r="AU212" s="2"/>
      <c r="AV212" s="2"/>
      <c r="AW212" s="2"/>
      <c r="AX212" s="2"/>
      <c r="AY212" s="2"/>
      <c r="AZ212" s="2"/>
      <c r="BA212" s="2"/>
      <c r="BB212" s="2"/>
      <c r="BC212" s="2"/>
    </row>
    <row r="213" spans="1:55" x14ac:dyDescent="0.25">
      <c r="A213" s="260" t="str">
        <f t="shared" si="162"/>
        <v>#34:</v>
      </c>
      <c r="B213" s="147">
        <f t="shared" si="163"/>
        <v>314.74537822717429</v>
      </c>
      <c r="C213" s="148">
        <f t="shared" si="164"/>
        <v>8.0191462528234894</v>
      </c>
      <c r="D213" s="261" t="str">
        <f t="shared" si="165"/>
        <v/>
      </c>
      <c r="E213" s="147" t="str">
        <f t="shared" si="166"/>
        <v/>
      </c>
      <c r="F213" s="148" t="str">
        <f t="shared" si="167"/>
        <v/>
      </c>
      <c r="G213" s="261" t="str">
        <f t="shared" si="168"/>
        <v/>
      </c>
      <c r="H213" s="147" t="str">
        <f t="shared" si="169"/>
        <v/>
      </c>
      <c r="I213" s="148" t="str">
        <f t="shared" si="170"/>
        <v/>
      </c>
      <c r="J213" s="261" t="str">
        <f t="shared" si="171"/>
        <v/>
      </c>
      <c r="K213" s="147" t="str">
        <f t="shared" si="172"/>
        <v/>
      </c>
      <c r="L213" s="148" t="str">
        <f t="shared" si="173"/>
        <v/>
      </c>
      <c r="M213" s="261" t="str">
        <f t="shared" si="174"/>
        <v/>
      </c>
      <c r="N213" s="147" t="str">
        <f t="shared" si="175"/>
        <v/>
      </c>
      <c r="O213" s="148" t="str">
        <f t="shared" si="176"/>
        <v/>
      </c>
      <c r="P213" s="261" t="str">
        <f t="shared" si="177"/>
        <v/>
      </c>
      <c r="Q213" s="147" t="str">
        <f t="shared" si="178"/>
        <v/>
      </c>
      <c r="R213" s="148" t="str">
        <f t="shared" si="179"/>
        <v/>
      </c>
      <c r="S213" s="261" t="str">
        <f t="shared" si="147"/>
        <v/>
      </c>
      <c r="T213" s="147" t="str">
        <f t="shared" si="148"/>
        <v/>
      </c>
      <c r="U213" s="148" t="str">
        <f t="shared" si="149"/>
        <v/>
      </c>
      <c r="V213" s="261" t="str">
        <f t="shared" si="150"/>
        <v/>
      </c>
      <c r="W213" s="147" t="str">
        <f t="shared" si="151"/>
        <v/>
      </c>
      <c r="X213" s="148" t="str">
        <f t="shared" si="152"/>
        <v/>
      </c>
      <c r="Y213" s="259"/>
      <c r="Z213" s="2"/>
      <c r="AA213" s="264">
        <v>209</v>
      </c>
      <c r="AB213" s="16" t="str">
        <f t="shared" si="158"/>
        <v/>
      </c>
      <c r="AC213" s="16" t="str">
        <f t="shared" si="159"/>
        <v/>
      </c>
      <c r="AD213" s="16" t="str">
        <f t="shared" si="153"/>
        <v/>
      </c>
      <c r="AE213" s="16" t="str">
        <f t="shared" si="154"/>
        <v/>
      </c>
      <c r="AF213" s="16" t="str">
        <f t="shared" si="155"/>
        <v/>
      </c>
      <c r="AG213" s="16" t="str">
        <f t="shared" si="160"/>
        <v/>
      </c>
      <c r="AH213" s="16" t="str">
        <f t="shared" si="161"/>
        <v/>
      </c>
      <c r="AI213" s="29" t="str">
        <f t="shared" si="156"/>
        <v/>
      </c>
      <c r="AJ213" s="29" t="str">
        <f t="shared" si="157"/>
        <v/>
      </c>
      <c r="AK213" s="2"/>
      <c r="AL213" s="2"/>
      <c r="AM213" s="2"/>
      <c r="AN213" s="2"/>
      <c r="AO213" s="2"/>
      <c r="AP213" s="2"/>
      <c r="AQ213" s="2"/>
      <c r="AR213" s="2"/>
      <c r="AS213" s="2"/>
      <c r="AT213" s="2"/>
      <c r="AU213" s="2"/>
      <c r="AV213" s="2"/>
      <c r="AW213" s="2"/>
      <c r="AX213" s="2"/>
      <c r="AY213" s="2"/>
      <c r="AZ213" s="2"/>
      <c r="BA213" s="2"/>
      <c r="BB213" s="2"/>
      <c r="BC213" s="2"/>
    </row>
    <row r="214" spans="1:55" x14ac:dyDescent="0.25">
      <c r="A214" s="260" t="str">
        <f t="shared" si="162"/>
        <v>#35:</v>
      </c>
      <c r="B214" s="147">
        <f t="shared" si="163"/>
        <v>312.49879825421669</v>
      </c>
      <c r="C214" s="148">
        <f t="shared" si="164"/>
        <v>8.0191462528234894</v>
      </c>
      <c r="D214" s="261" t="str">
        <f t="shared" si="165"/>
        <v/>
      </c>
      <c r="E214" s="147" t="str">
        <f t="shared" si="166"/>
        <v/>
      </c>
      <c r="F214" s="148" t="str">
        <f t="shared" si="167"/>
        <v/>
      </c>
      <c r="G214" s="261" t="str">
        <f t="shared" si="168"/>
        <v/>
      </c>
      <c r="H214" s="147" t="str">
        <f t="shared" si="169"/>
        <v/>
      </c>
      <c r="I214" s="148" t="str">
        <f t="shared" si="170"/>
        <v/>
      </c>
      <c r="J214" s="261" t="str">
        <f t="shared" si="171"/>
        <v/>
      </c>
      <c r="K214" s="147" t="str">
        <f t="shared" si="172"/>
        <v/>
      </c>
      <c r="L214" s="148" t="str">
        <f t="shared" si="173"/>
        <v/>
      </c>
      <c r="M214" s="261" t="str">
        <f t="shared" si="174"/>
        <v/>
      </c>
      <c r="N214" s="147" t="str">
        <f t="shared" si="175"/>
        <v/>
      </c>
      <c r="O214" s="148" t="str">
        <f t="shared" si="176"/>
        <v/>
      </c>
      <c r="P214" s="261" t="str">
        <f t="shared" si="177"/>
        <v/>
      </c>
      <c r="Q214" s="147" t="str">
        <f t="shared" si="178"/>
        <v/>
      </c>
      <c r="R214" s="148" t="str">
        <f t="shared" si="179"/>
        <v/>
      </c>
      <c r="S214" s="261" t="str">
        <f t="shared" si="147"/>
        <v/>
      </c>
      <c r="T214" s="147" t="str">
        <f t="shared" si="148"/>
        <v/>
      </c>
      <c r="U214" s="148" t="str">
        <f t="shared" si="149"/>
        <v/>
      </c>
      <c r="V214" s="261" t="str">
        <f t="shared" si="150"/>
        <v/>
      </c>
      <c r="W214" s="147" t="str">
        <f t="shared" si="151"/>
        <v/>
      </c>
      <c r="X214" s="148" t="str">
        <f t="shared" si="152"/>
        <v/>
      </c>
      <c r="Y214" s="259"/>
      <c r="Z214" s="2"/>
      <c r="AA214" s="264">
        <v>210</v>
      </c>
      <c r="AB214" s="16" t="str">
        <f t="shared" si="158"/>
        <v/>
      </c>
      <c r="AC214" s="16" t="str">
        <f t="shared" si="159"/>
        <v/>
      </c>
      <c r="AD214" s="16" t="str">
        <f t="shared" si="153"/>
        <v/>
      </c>
      <c r="AE214" s="16" t="str">
        <f t="shared" si="154"/>
        <v/>
      </c>
      <c r="AF214" s="16" t="str">
        <f t="shared" si="155"/>
        <v/>
      </c>
      <c r="AG214" s="16" t="str">
        <f t="shared" si="160"/>
        <v/>
      </c>
      <c r="AH214" s="16" t="str">
        <f t="shared" si="161"/>
        <v/>
      </c>
      <c r="AI214" s="29" t="str">
        <f t="shared" si="156"/>
        <v/>
      </c>
      <c r="AJ214" s="29" t="str">
        <f t="shared" si="157"/>
        <v/>
      </c>
      <c r="AK214" s="2"/>
      <c r="AL214" s="2"/>
      <c r="AM214" s="2"/>
      <c r="AN214" s="2"/>
      <c r="AO214" s="2"/>
      <c r="AP214" s="2"/>
      <c r="AQ214" s="2"/>
      <c r="AR214" s="2"/>
      <c r="AS214" s="2"/>
      <c r="AT214" s="2"/>
      <c r="AU214" s="2"/>
      <c r="AV214" s="2"/>
      <c r="AW214" s="2"/>
      <c r="AX214" s="2"/>
      <c r="AY214" s="2"/>
      <c r="AZ214" s="2"/>
      <c r="BA214" s="2"/>
      <c r="BB214" s="2"/>
      <c r="BC214" s="2"/>
    </row>
    <row r="215" spans="1:55" x14ac:dyDescent="0.25">
      <c r="A215" s="260" t="str">
        <f t="shared" si="162"/>
        <v>#36:</v>
      </c>
      <c r="B215" s="147">
        <f t="shared" si="163"/>
        <v>310.25221828125905</v>
      </c>
      <c r="C215" s="148">
        <f t="shared" si="164"/>
        <v>8.0191462528234894</v>
      </c>
      <c r="D215" s="261" t="str">
        <f t="shared" si="165"/>
        <v/>
      </c>
      <c r="E215" s="147" t="str">
        <f t="shared" si="166"/>
        <v/>
      </c>
      <c r="F215" s="148" t="str">
        <f t="shared" si="167"/>
        <v/>
      </c>
      <c r="G215" s="261" t="str">
        <f t="shared" si="168"/>
        <v/>
      </c>
      <c r="H215" s="147" t="str">
        <f t="shared" si="169"/>
        <v/>
      </c>
      <c r="I215" s="148" t="str">
        <f t="shared" si="170"/>
        <v/>
      </c>
      <c r="J215" s="261" t="str">
        <f t="shared" si="171"/>
        <v/>
      </c>
      <c r="K215" s="147" t="str">
        <f t="shared" si="172"/>
        <v/>
      </c>
      <c r="L215" s="148" t="str">
        <f t="shared" si="173"/>
        <v/>
      </c>
      <c r="M215" s="261" t="str">
        <f t="shared" si="174"/>
        <v/>
      </c>
      <c r="N215" s="147" t="str">
        <f t="shared" si="175"/>
        <v/>
      </c>
      <c r="O215" s="148" t="str">
        <f t="shared" si="176"/>
        <v/>
      </c>
      <c r="P215" s="261" t="str">
        <f t="shared" si="177"/>
        <v/>
      </c>
      <c r="Q215" s="147" t="str">
        <f t="shared" si="178"/>
        <v/>
      </c>
      <c r="R215" s="148" t="str">
        <f t="shared" si="179"/>
        <v/>
      </c>
      <c r="S215" s="261" t="str">
        <f t="shared" si="147"/>
        <v/>
      </c>
      <c r="T215" s="147" t="str">
        <f t="shared" si="148"/>
        <v/>
      </c>
      <c r="U215" s="148" t="str">
        <f t="shared" si="149"/>
        <v/>
      </c>
      <c r="V215" s="261" t="str">
        <f t="shared" si="150"/>
        <v/>
      </c>
      <c r="W215" s="147" t="str">
        <f t="shared" si="151"/>
        <v/>
      </c>
      <c r="X215" s="148" t="str">
        <f t="shared" si="152"/>
        <v/>
      </c>
      <c r="Y215" s="259"/>
      <c r="Z215" s="2"/>
      <c r="AA215" s="264">
        <v>211</v>
      </c>
      <c r="AB215" s="16" t="str">
        <f t="shared" si="158"/>
        <v/>
      </c>
      <c r="AC215" s="16" t="str">
        <f t="shared" si="159"/>
        <v/>
      </c>
      <c r="AD215" s="16" t="str">
        <f t="shared" si="153"/>
        <v/>
      </c>
      <c r="AE215" s="16" t="str">
        <f t="shared" si="154"/>
        <v/>
      </c>
      <c r="AF215" s="16" t="str">
        <f t="shared" si="155"/>
        <v/>
      </c>
      <c r="AG215" s="16" t="str">
        <f t="shared" si="160"/>
        <v/>
      </c>
      <c r="AH215" s="16" t="str">
        <f t="shared" si="161"/>
        <v/>
      </c>
      <c r="AI215" s="29" t="str">
        <f t="shared" si="156"/>
        <v/>
      </c>
      <c r="AJ215" s="29" t="str">
        <f t="shared" si="157"/>
        <v/>
      </c>
      <c r="AK215" s="2"/>
      <c r="AL215" s="2"/>
      <c r="AM215" s="2"/>
      <c r="AN215" s="2"/>
      <c r="AO215" s="2"/>
      <c r="AP215" s="2"/>
      <c r="AQ215" s="2"/>
      <c r="AR215" s="2"/>
      <c r="AS215" s="2"/>
      <c r="AT215" s="2"/>
      <c r="AU215" s="2"/>
      <c r="AV215" s="2"/>
      <c r="AW215" s="2"/>
      <c r="AX215" s="2"/>
      <c r="AY215" s="2"/>
      <c r="AZ215" s="2"/>
      <c r="BA215" s="2"/>
      <c r="BB215" s="2"/>
      <c r="BC215" s="2"/>
    </row>
    <row r="216" spans="1:55" x14ac:dyDescent="0.25">
      <c r="A216" s="260" t="str">
        <f t="shared" si="162"/>
        <v>#37:</v>
      </c>
      <c r="B216" s="147">
        <f t="shared" si="163"/>
        <v>308.00563830830146</v>
      </c>
      <c r="C216" s="148">
        <f t="shared" si="164"/>
        <v>8.0191462528234894</v>
      </c>
      <c r="D216" s="261" t="str">
        <f t="shared" si="165"/>
        <v/>
      </c>
      <c r="E216" s="147" t="str">
        <f t="shared" si="166"/>
        <v/>
      </c>
      <c r="F216" s="148" t="str">
        <f t="shared" si="167"/>
        <v/>
      </c>
      <c r="G216" s="261" t="str">
        <f t="shared" si="168"/>
        <v/>
      </c>
      <c r="H216" s="147" t="str">
        <f t="shared" si="169"/>
        <v/>
      </c>
      <c r="I216" s="148" t="str">
        <f t="shared" si="170"/>
        <v/>
      </c>
      <c r="J216" s="261" t="str">
        <f t="shared" si="171"/>
        <v/>
      </c>
      <c r="K216" s="147" t="str">
        <f t="shared" si="172"/>
        <v/>
      </c>
      <c r="L216" s="148" t="str">
        <f t="shared" si="173"/>
        <v/>
      </c>
      <c r="M216" s="261" t="str">
        <f t="shared" si="174"/>
        <v/>
      </c>
      <c r="N216" s="147" t="str">
        <f t="shared" si="175"/>
        <v/>
      </c>
      <c r="O216" s="148" t="str">
        <f t="shared" si="176"/>
        <v/>
      </c>
      <c r="P216" s="261" t="str">
        <f t="shared" si="177"/>
        <v/>
      </c>
      <c r="Q216" s="147" t="str">
        <f t="shared" si="178"/>
        <v/>
      </c>
      <c r="R216" s="148" t="str">
        <f t="shared" si="179"/>
        <v/>
      </c>
      <c r="S216" s="261" t="str">
        <f t="shared" si="147"/>
        <v/>
      </c>
      <c r="T216" s="147" t="str">
        <f t="shared" si="148"/>
        <v/>
      </c>
      <c r="U216" s="148" t="str">
        <f t="shared" si="149"/>
        <v/>
      </c>
      <c r="V216" s="261" t="str">
        <f t="shared" si="150"/>
        <v/>
      </c>
      <c r="W216" s="147" t="str">
        <f t="shared" si="151"/>
        <v/>
      </c>
      <c r="X216" s="148" t="str">
        <f t="shared" si="152"/>
        <v/>
      </c>
      <c r="Y216" s="259"/>
      <c r="Z216" s="2"/>
      <c r="AA216" s="264">
        <v>212</v>
      </c>
      <c r="AB216" s="16" t="str">
        <f t="shared" si="158"/>
        <v/>
      </c>
      <c r="AC216" s="16" t="str">
        <f t="shared" si="159"/>
        <v/>
      </c>
      <c r="AD216" s="16" t="str">
        <f t="shared" si="153"/>
        <v/>
      </c>
      <c r="AE216" s="16" t="str">
        <f t="shared" si="154"/>
        <v/>
      </c>
      <c r="AF216" s="16" t="str">
        <f t="shared" si="155"/>
        <v/>
      </c>
      <c r="AG216" s="16" t="str">
        <f t="shared" si="160"/>
        <v/>
      </c>
      <c r="AH216" s="16" t="str">
        <f t="shared" si="161"/>
        <v/>
      </c>
      <c r="AI216" s="29" t="str">
        <f t="shared" si="156"/>
        <v/>
      </c>
      <c r="AJ216" s="29" t="str">
        <f t="shared" si="157"/>
        <v/>
      </c>
      <c r="AK216" s="2"/>
      <c r="AL216" s="2"/>
      <c r="AM216" s="2"/>
      <c r="AN216" s="2"/>
      <c r="AO216" s="2"/>
      <c r="AP216" s="2"/>
      <c r="AQ216" s="2"/>
      <c r="AR216" s="2"/>
      <c r="AS216" s="2"/>
      <c r="AT216" s="2"/>
      <c r="AU216" s="2"/>
      <c r="AV216" s="2"/>
      <c r="AW216" s="2"/>
      <c r="AX216" s="2"/>
      <c r="AY216" s="2"/>
      <c r="AZ216" s="2"/>
      <c r="BA216" s="2"/>
      <c r="BB216" s="2"/>
      <c r="BC216" s="2"/>
    </row>
    <row r="217" spans="1:55" x14ac:dyDescent="0.25">
      <c r="A217" s="260" t="str">
        <f t="shared" si="162"/>
        <v>#38:</v>
      </c>
      <c r="B217" s="147">
        <f t="shared" si="163"/>
        <v>305.75905833534387</v>
      </c>
      <c r="C217" s="148">
        <f t="shared" si="164"/>
        <v>8.0191462528234894</v>
      </c>
      <c r="D217" s="261" t="str">
        <f t="shared" si="165"/>
        <v/>
      </c>
      <c r="E217" s="147" t="str">
        <f t="shared" si="166"/>
        <v/>
      </c>
      <c r="F217" s="148" t="str">
        <f t="shared" si="167"/>
        <v/>
      </c>
      <c r="G217" s="261" t="str">
        <f t="shared" si="168"/>
        <v/>
      </c>
      <c r="H217" s="147" t="str">
        <f t="shared" si="169"/>
        <v/>
      </c>
      <c r="I217" s="148" t="str">
        <f t="shared" si="170"/>
        <v/>
      </c>
      <c r="J217" s="261" t="str">
        <f t="shared" si="171"/>
        <v/>
      </c>
      <c r="K217" s="147" t="str">
        <f t="shared" si="172"/>
        <v/>
      </c>
      <c r="L217" s="148" t="str">
        <f t="shared" si="173"/>
        <v/>
      </c>
      <c r="M217" s="261" t="str">
        <f t="shared" si="174"/>
        <v/>
      </c>
      <c r="N217" s="147" t="str">
        <f t="shared" si="175"/>
        <v/>
      </c>
      <c r="O217" s="148" t="str">
        <f t="shared" si="176"/>
        <v/>
      </c>
      <c r="P217" s="261" t="str">
        <f t="shared" si="177"/>
        <v/>
      </c>
      <c r="Q217" s="147" t="str">
        <f t="shared" si="178"/>
        <v/>
      </c>
      <c r="R217" s="148" t="str">
        <f t="shared" si="179"/>
        <v/>
      </c>
      <c r="S217" s="261" t="str">
        <f t="shared" si="147"/>
        <v/>
      </c>
      <c r="T217" s="147" t="str">
        <f t="shared" si="148"/>
        <v/>
      </c>
      <c r="U217" s="148" t="str">
        <f t="shared" si="149"/>
        <v/>
      </c>
      <c r="V217" s="261" t="str">
        <f t="shared" si="150"/>
        <v/>
      </c>
      <c r="W217" s="147" t="str">
        <f t="shared" si="151"/>
        <v/>
      </c>
      <c r="X217" s="148" t="str">
        <f t="shared" si="152"/>
        <v/>
      </c>
      <c r="Y217" s="259"/>
      <c r="Z217" s="2"/>
      <c r="AA217" s="264">
        <v>213</v>
      </c>
      <c r="AB217" s="16" t="str">
        <f t="shared" si="158"/>
        <v/>
      </c>
      <c r="AC217" s="16" t="str">
        <f t="shared" si="159"/>
        <v/>
      </c>
      <c r="AD217" s="16" t="str">
        <f t="shared" si="153"/>
        <v/>
      </c>
      <c r="AE217" s="16" t="str">
        <f t="shared" si="154"/>
        <v/>
      </c>
      <c r="AF217" s="16" t="str">
        <f t="shared" si="155"/>
        <v/>
      </c>
      <c r="AG217" s="16" t="str">
        <f t="shared" si="160"/>
        <v/>
      </c>
      <c r="AH217" s="16" t="str">
        <f t="shared" si="161"/>
        <v/>
      </c>
      <c r="AI217" s="29" t="str">
        <f t="shared" si="156"/>
        <v/>
      </c>
      <c r="AJ217" s="29" t="str">
        <f t="shared" si="157"/>
        <v/>
      </c>
      <c r="AK217" s="2"/>
      <c r="AL217" s="2"/>
      <c r="AM217" s="2"/>
      <c r="AN217" s="2"/>
      <c r="AO217" s="2"/>
      <c r="AP217" s="2"/>
      <c r="AQ217" s="2"/>
      <c r="AR217" s="2"/>
      <c r="AS217" s="2"/>
      <c r="AT217" s="2"/>
      <c r="AU217" s="2"/>
      <c r="AV217" s="2"/>
      <c r="AW217" s="2"/>
      <c r="AX217" s="2"/>
      <c r="AY217" s="2"/>
      <c r="AZ217" s="2"/>
      <c r="BA217" s="2"/>
      <c r="BB217" s="2"/>
      <c r="BC217" s="2"/>
    </row>
    <row r="218" spans="1:55" x14ac:dyDescent="0.25">
      <c r="A218" s="260" t="str">
        <f t="shared" si="162"/>
        <v>#39:</v>
      </c>
      <c r="B218" s="147">
        <f t="shared" si="163"/>
        <v>303.51247836238628</v>
      </c>
      <c r="C218" s="148">
        <f t="shared" si="164"/>
        <v>8.0191462528234894</v>
      </c>
      <c r="D218" s="261" t="str">
        <f t="shared" si="165"/>
        <v/>
      </c>
      <c r="E218" s="147" t="str">
        <f t="shared" si="166"/>
        <v/>
      </c>
      <c r="F218" s="148" t="str">
        <f t="shared" si="167"/>
        <v/>
      </c>
      <c r="G218" s="261" t="str">
        <f t="shared" si="168"/>
        <v/>
      </c>
      <c r="H218" s="147" t="str">
        <f t="shared" si="169"/>
        <v/>
      </c>
      <c r="I218" s="148" t="str">
        <f t="shared" si="170"/>
        <v/>
      </c>
      <c r="J218" s="261" t="str">
        <f t="shared" si="171"/>
        <v/>
      </c>
      <c r="K218" s="147" t="str">
        <f t="shared" si="172"/>
        <v/>
      </c>
      <c r="L218" s="148" t="str">
        <f t="shared" si="173"/>
        <v/>
      </c>
      <c r="M218" s="261" t="str">
        <f t="shared" si="174"/>
        <v/>
      </c>
      <c r="N218" s="147" t="str">
        <f t="shared" si="175"/>
        <v/>
      </c>
      <c r="O218" s="148" t="str">
        <f t="shared" si="176"/>
        <v/>
      </c>
      <c r="P218" s="261" t="str">
        <f t="shared" si="177"/>
        <v/>
      </c>
      <c r="Q218" s="147" t="str">
        <f t="shared" si="178"/>
        <v/>
      </c>
      <c r="R218" s="148" t="str">
        <f t="shared" si="179"/>
        <v/>
      </c>
      <c r="S218" s="261" t="str">
        <f t="shared" si="147"/>
        <v/>
      </c>
      <c r="T218" s="147" t="str">
        <f t="shared" si="148"/>
        <v/>
      </c>
      <c r="U218" s="148" t="str">
        <f t="shared" si="149"/>
        <v/>
      </c>
      <c r="V218" s="261" t="str">
        <f t="shared" si="150"/>
        <v/>
      </c>
      <c r="W218" s="147" t="str">
        <f t="shared" si="151"/>
        <v/>
      </c>
      <c r="X218" s="148" t="str">
        <f t="shared" si="152"/>
        <v/>
      </c>
      <c r="Y218" s="259"/>
      <c r="Z218" s="2"/>
      <c r="AA218" s="264">
        <v>214</v>
      </c>
      <c r="AB218" s="16" t="str">
        <f t="shared" si="158"/>
        <v/>
      </c>
      <c r="AC218" s="16" t="str">
        <f t="shared" si="159"/>
        <v/>
      </c>
      <c r="AD218" s="16" t="str">
        <f t="shared" si="153"/>
        <v/>
      </c>
      <c r="AE218" s="16" t="str">
        <f t="shared" si="154"/>
        <v/>
      </c>
      <c r="AF218" s="16" t="str">
        <f t="shared" si="155"/>
        <v/>
      </c>
      <c r="AG218" s="16" t="str">
        <f t="shared" si="160"/>
        <v/>
      </c>
      <c r="AH218" s="16" t="str">
        <f t="shared" si="161"/>
        <v/>
      </c>
      <c r="AI218" s="29" t="str">
        <f t="shared" si="156"/>
        <v/>
      </c>
      <c r="AJ218" s="29" t="str">
        <f t="shared" si="157"/>
        <v/>
      </c>
      <c r="AK218" s="2"/>
      <c r="AL218" s="2"/>
      <c r="AM218" s="2"/>
      <c r="AN218" s="2"/>
      <c r="AO218" s="2"/>
      <c r="AP218" s="2"/>
      <c r="AQ218" s="2"/>
      <c r="AR218" s="2"/>
      <c r="AS218" s="2"/>
      <c r="AT218" s="2"/>
      <c r="AU218" s="2"/>
      <c r="AV218" s="2"/>
      <c r="AW218" s="2"/>
      <c r="AX218" s="2"/>
      <c r="AY218" s="2"/>
      <c r="AZ218" s="2"/>
      <c r="BA218" s="2"/>
      <c r="BB218" s="2"/>
      <c r="BC218" s="2"/>
    </row>
    <row r="219" spans="1:55" x14ac:dyDescent="0.25">
      <c r="A219" s="260" t="str">
        <f t="shared" si="162"/>
        <v>#40:</v>
      </c>
      <c r="B219" s="147">
        <f t="shared" si="163"/>
        <v>301.26589838942868</v>
      </c>
      <c r="C219" s="148">
        <f t="shared" si="164"/>
        <v>8.0191462528234894</v>
      </c>
      <c r="D219" s="261" t="str">
        <f t="shared" si="165"/>
        <v/>
      </c>
      <c r="E219" s="147" t="str">
        <f t="shared" si="166"/>
        <v/>
      </c>
      <c r="F219" s="148" t="str">
        <f t="shared" si="167"/>
        <v/>
      </c>
      <c r="G219" s="261" t="str">
        <f t="shared" si="168"/>
        <v/>
      </c>
      <c r="H219" s="147" t="str">
        <f t="shared" si="169"/>
        <v/>
      </c>
      <c r="I219" s="148" t="str">
        <f t="shared" si="170"/>
        <v/>
      </c>
      <c r="J219" s="261" t="str">
        <f t="shared" si="171"/>
        <v/>
      </c>
      <c r="K219" s="147" t="str">
        <f t="shared" si="172"/>
        <v/>
      </c>
      <c r="L219" s="148" t="str">
        <f t="shared" si="173"/>
        <v/>
      </c>
      <c r="M219" s="261" t="str">
        <f t="shared" si="174"/>
        <v/>
      </c>
      <c r="N219" s="147" t="str">
        <f t="shared" si="175"/>
        <v/>
      </c>
      <c r="O219" s="148" t="str">
        <f t="shared" si="176"/>
        <v/>
      </c>
      <c r="P219" s="261" t="str">
        <f t="shared" si="177"/>
        <v/>
      </c>
      <c r="Q219" s="147" t="str">
        <f t="shared" si="178"/>
        <v/>
      </c>
      <c r="R219" s="148" t="str">
        <f t="shared" si="179"/>
        <v/>
      </c>
      <c r="S219" s="261" t="str">
        <f t="shared" si="147"/>
        <v/>
      </c>
      <c r="T219" s="147" t="str">
        <f t="shared" si="148"/>
        <v/>
      </c>
      <c r="U219" s="148" t="str">
        <f t="shared" si="149"/>
        <v/>
      </c>
      <c r="V219" s="261" t="str">
        <f t="shared" si="150"/>
        <v/>
      </c>
      <c r="W219" s="147" t="str">
        <f t="shared" si="151"/>
        <v/>
      </c>
      <c r="X219" s="148" t="str">
        <f t="shared" si="152"/>
        <v/>
      </c>
      <c r="Y219" s="259"/>
      <c r="Z219" s="2"/>
      <c r="AA219" s="264">
        <v>215</v>
      </c>
      <c r="AB219" s="16" t="str">
        <f t="shared" si="158"/>
        <v/>
      </c>
      <c r="AC219" s="16" t="str">
        <f t="shared" si="159"/>
        <v/>
      </c>
      <c r="AD219" s="16" t="str">
        <f t="shared" si="153"/>
        <v/>
      </c>
      <c r="AE219" s="16" t="str">
        <f t="shared" si="154"/>
        <v/>
      </c>
      <c r="AF219" s="16" t="str">
        <f t="shared" si="155"/>
        <v/>
      </c>
      <c r="AG219" s="16" t="str">
        <f t="shared" si="160"/>
        <v/>
      </c>
      <c r="AH219" s="16" t="str">
        <f t="shared" si="161"/>
        <v/>
      </c>
      <c r="AI219" s="29" t="str">
        <f t="shared" si="156"/>
        <v/>
      </c>
      <c r="AJ219" s="29" t="str">
        <f t="shared" si="157"/>
        <v/>
      </c>
      <c r="AK219" s="2"/>
      <c r="AL219" s="2"/>
      <c r="AM219" s="2"/>
      <c r="AN219" s="2"/>
      <c r="AO219" s="2"/>
      <c r="AP219" s="2"/>
      <c r="AQ219" s="2"/>
      <c r="AR219" s="2"/>
      <c r="AS219" s="2"/>
      <c r="AT219" s="2"/>
      <c r="AU219" s="2"/>
      <c r="AV219" s="2"/>
      <c r="AW219" s="2"/>
      <c r="AX219" s="2"/>
      <c r="AY219" s="2"/>
      <c r="AZ219" s="2"/>
      <c r="BA219" s="2"/>
      <c r="BB219" s="2"/>
      <c r="BC219" s="2"/>
    </row>
    <row r="220" spans="1:55" x14ac:dyDescent="0.25">
      <c r="A220" s="260" t="str">
        <f t="shared" si="162"/>
        <v/>
      </c>
      <c r="B220" s="147" t="str">
        <f t="shared" si="163"/>
        <v/>
      </c>
      <c r="C220" s="148" t="str">
        <f t="shared" si="164"/>
        <v/>
      </c>
      <c r="D220" s="261" t="str">
        <f t="shared" si="165"/>
        <v/>
      </c>
      <c r="E220" s="147" t="str">
        <f t="shared" si="166"/>
        <v/>
      </c>
      <c r="F220" s="148" t="str">
        <f t="shared" si="167"/>
        <v/>
      </c>
      <c r="G220" s="261" t="str">
        <f t="shared" si="168"/>
        <v/>
      </c>
      <c r="H220" s="147" t="str">
        <f t="shared" si="169"/>
        <v/>
      </c>
      <c r="I220" s="148" t="str">
        <f t="shared" si="170"/>
        <v/>
      </c>
      <c r="J220" s="261" t="str">
        <f t="shared" si="171"/>
        <v/>
      </c>
      <c r="K220" s="147" t="str">
        <f t="shared" si="172"/>
        <v/>
      </c>
      <c r="L220" s="148" t="str">
        <f t="shared" si="173"/>
        <v/>
      </c>
      <c r="M220" s="261" t="str">
        <f t="shared" si="174"/>
        <v/>
      </c>
      <c r="N220" s="147" t="str">
        <f t="shared" si="175"/>
        <v/>
      </c>
      <c r="O220" s="148" t="str">
        <f t="shared" si="176"/>
        <v/>
      </c>
      <c r="P220" s="261" t="str">
        <f t="shared" si="177"/>
        <v/>
      </c>
      <c r="Q220" s="147" t="str">
        <f t="shared" si="178"/>
        <v/>
      </c>
      <c r="R220" s="148" t="str">
        <f t="shared" si="179"/>
        <v/>
      </c>
      <c r="S220" s="261" t="str">
        <f t="shared" si="147"/>
        <v/>
      </c>
      <c r="T220" s="147" t="str">
        <f t="shared" si="148"/>
        <v/>
      </c>
      <c r="U220" s="148" t="str">
        <f t="shared" si="149"/>
        <v/>
      </c>
      <c r="V220" s="261" t="str">
        <f t="shared" si="150"/>
        <v/>
      </c>
      <c r="W220" s="147" t="str">
        <f t="shared" si="151"/>
        <v/>
      </c>
      <c r="X220" s="148" t="str">
        <f t="shared" si="152"/>
        <v/>
      </c>
      <c r="Y220" s="259"/>
      <c r="Z220" s="2"/>
      <c r="AA220" s="264">
        <v>216</v>
      </c>
      <c r="AB220" s="16" t="str">
        <f t="shared" si="158"/>
        <v/>
      </c>
      <c r="AC220" s="16" t="str">
        <f t="shared" si="159"/>
        <v/>
      </c>
      <c r="AD220" s="16" t="str">
        <f t="shared" si="153"/>
        <v/>
      </c>
      <c r="AE220" s="16" t="str">
        <f t="shared" si="154"/>
        <v/>
      </c>
      <c r="AF220" s="16" t="str">
        <f t="shared" si="155"/>
        <v/>
      </c>
      <c r="AG220" s="16" t="str">
        <f t="shared" si="160"/>
        <v/>
      </c>
      <c r="AH220" s="16" t="str">
        <f t="shared" si="161"/>
        <v/>
      </c>
      <c r="AI220" s="29" t="str">
        <f t="shared" si="156"/>
        <v/>
      </c>
      <c r="AJ220" s="29" t="str">
        <f t="shared" si="157"/>
        <v/>
      </c>
      <c r="AK220" s="2"/>
      <c r="AL220" s="2"/>
      <c r="AM220" s="2"/>
      <c r="AN220" s="2"/>
      <c r="AO220" s="2"/>
      <c r="AP220" s="2"/>
      <c r="AQ220" s="2"/>
      <c r="AR220" s="2"/>
      <c r="AS220" s="2"/>
      <c r="AT220" s="2"/>
      <c r="AU220" s="2"/>
      <c r="AV220" s="2"/>
      <c r="AW220" s="2"/>
      <c r="AX220" s="2"/>
      <c r="AY220" s="2"/>
      <c r="AZ220" s="2"/>
      <c r="BA220" s="2"/>
      <c r="BB220" s="2"/>
      <c r="BC220" s="2"/>
    </row>
    <row r="221" spans="1:55" x14ac:dyDescent="0.25">
      <c r="A221" s="260" t="str">
        <f t="shared" si="162"/>
        <v/>
      </c>
      <c r="B221" s="147" t="str">
        <f t="shared" si="163"/>
        <v/>
      </c>
      <c r="C221" s="148" t="str">
        <f t="shared" si="164"/>
        <v/>
      </c>
      <c r="D221" s="261" t="str">
        <f t="shared" si="165"/>
        <v/>
      </c>
      <c r="E221" s="147" t="str">
        <f t="shared" si="166"/>
        <v/>
      </c>
      <c r="F221" s="148" t="str">
        <f t="shared" si="167"/>
        <v/>
      </c>
      <c r="G221" s="261" t="str">
        <f t="shared" si="168"/>
        <v/>
      </c>
      <c r="H221" s="147" t="str">
        <f t="shared" si="169"/>
        <v/>
      </c>
      <c r="I221" s="148" t="str">
        <f t="shared" si="170"/>
        <v/>
      </c>
      <c r="J221" s="261" t="str">
        <f t="shared" si="171"/>
        <v/>
      </c>
      <c r="K221" s="147" t="str">
        <f t="shared" si="172"/>
        <v/>
      </c>
      <c r="L221" s="148" t="str">
        <f t="shared" si="173"/>
        <v/>
      </c>
      <c r="M221" s="261" t="str">
        <f t="shared" si="174"/>
        <v/>
      </c>
      <c r="N221" s="147" t="str">
        <f t="shared" si="175"/>
        <v/>
      </c>
      <c r="O221" s="148" t="str">
        <f t="shared" si="176"/>
        <v/>
      </c>
      <c r="P221" s="261" t="str">
        <f t="shared" si="177"/>
        <v/>
      </c>
      <c r="Q221" s="147" t="str">
        <f t="shared" si="178"/>
        <v/>
      </c>
      <c r="R221" s="148" t="str">
        <f t="shared" si="179"/>
        <v/>
      </c>
      <c r="S221" s="261" t="str">
        <f t="shared" si="147"/>
        <v/>
      </c>
      <c r="T221" s="147" t="str">
        <f t="shared" si="148"/>
        <v/>
      </c>
      <c r="U221" s="148" t="str">
        <f t="shared" si="149"/>
        <v/>
      </c>
      <c r="V221" s="261" t="str">
        <f t="shared" si="150"/>
        <v/>
      </c>
      <c r="W221" s="147" t="str">
        <f t="shared" si="151"/>
        <v/>
      </c>
      <c r="X221" s="148" t="str">
        <f t="shared" si="152"/>
        <v/>
      </c>
      <c r="Y221" s="259"/>
      <c r="Z221" s="2"/>
      <c r="AA221" s="264">
        <v>217</v>
      </c>
      <c r="AB221" s="16" t="str">
        <f t="shared" si="158"/>
        <v/>
      </c>
      <c r="AC221" s="16" t="str">
        <f t="shared" si="159"/>
        <v/>
      </c>
      <c r="AD221" s="16" t="str">
        <f t="shared" si="153"/>
        <v/>
      </c>
      <c r="AE221" s="16" t="str">
        <f t="shared" si="154"/>
        <v/>
      </c>
      <c r="AF221" s="16" t="str">
        <f t="shared" si="155"/>
        <v/>
      </c>
      <c r="AG221" s="16" t="str">
        <f t="shared" si="160"/>
        <v/>
      </c>
      <c r="AH221" s="16" t="str">
        <f t="shared" si="161"/>
        <v/>
      </c>
      <c r="AI221" s="29" t="str">
        <f t="shared" si="156"/>
        <v/>
      </c>
      <c r="AJ221" s="29" t="str">
        <f t="shared" si="157"/>
        <v/>
      </c>
      <c r="AK221" s="2"/>
      <c r="AL221" s="2"/>
      <c r="AM221" s="2"/>
      <c r="AN221" s="2"/>
      <c r="AO221" s="2"/>
      <c r="AP221" s="2"/>
      <c r="AQ221" s="2"/>
      <c r="AR221" s="2"/>
      <c r="AS221" s="2"/>
      <c r="AT221" s="2"/>
      <c r="AU221" s="2"/>
      <c r="AV221" s="2"/>
      <c r="AW221" s="2"/>
      <c r="AX221" s="2"/>
      <c r="AY221" s="2"/>
      <c r="AZ221" s="2"/>
      <c r="BA221" s="2"/>
      <c r="BB221" s="2"/>
      <c r="BC221" s="2"/>
    </row>
    <row r="222" spans="1:55" x14ac:dyDescent="0.25">
      <c r="A222" s="260" t="str">
        <f t="shared" si="162"/>
        <v/>
      </c>
      <c r="B222" s="147" t="str">
        <f t="shared" si="163"/>
        <v/>
      </c>
      <c r="C222" s="148" t="str">
        <f t="shared" si="164"/>
        <v/>
      </c>
      <c r="D222" s="261" t="str">
        <f t="shared" si="165"/>
        <v/>
      </c>
      <c r="E222" s="147" t="str">
        <f t="shared" si="166"/>
        <v/>
      </c>
      <c r="F222" s="148" t="str">
        <f t="shared" si="167"/>
        <v/>
      </c>
      <c r="G222" s="261" t="str">
        <f t="shared" si="168"/>
        <v/>
      </c>
      <c r="H222" s="147" t="str">
        <f t="shared" si="169"/>
        <v/>
      </c>
      <c r="I222" s="148" t="str">
        <f t="shared" si="170"/>
        <v/>
      </c>
      <c r="J222" s="261" t="str">
        <f t="shared" si="171"/>
        <v/>
      </c>
      <c r="K222" s="147" t="str">
        <f t="shared" si="172"/>
        <v/>
      </c>
      <c r="L222" s="148" t="str">
        <f t="shared" si="173"/>
        <v/>
      </c>
      <c r="M222" s="261" t="str">
        <f t="shared" si="174"/>
        <v/>
      </c>
      <c r="N222" s="147" t="str">
        <f t="shared" si="175"/>
        <v/>
      </c>
      <c r="O222" s="148" t="str">
        <f t="shared" si="176"/>
        <v/>
      </c>
      <c r="P222" s="261" t="str">
        <f t="shared" si="177"/>
        <v/>
      </c>
      <c r="Q222" s="147" t="str">
        <f t="shared" si="178"/>
        <v/>
      </c>
      <c r="R222" s="148" t="str">
        <f t="shared" si="179"/>
        <v/>
      </c>
      <c r="S222" s="261" t="str">
        <f t="shared" si="147"/>
        <v/>
      </c>
      <c r="T222" s="147" t="str">
        <f t="shared" si="148"/>
        <v/>
      </c>
      <c r="U222" s="148" t="str">
        <f t="shared" si="149"/>
        <v/>
      </c>
      <c r="V222" s="261" t="str">
        <f t="shared" si="150"/>
        <v/>
      </c>
      <c r="W222" s="147" t="str">
        <f t="shared" si="151"/>
        <v/>
      </c>
      <c r="X222" s="148" t="str">
        <f t="shared" si="152"/>
        <v/>
      </c>
      <c r="Y222" s="259"/>
      <c r="Z222" s="2"/>
      <c r="AA222" s="264">
        <v>218</v>
      </c>
      <c r="AB222" s="16" t="str">
        <f t="shared" si="158"/>
        <v/>
      </c>
      <c r="AC222" s="16" t="str">
        <f t="shared" si="159"/>
        <v/>
      </c>
      <c r="AD222" s="16" t="str">
        <f t="shared" si="153"/>
        <v/>
      </c>
      <c r="AE222" s="16" t="str">
        <f t="shared" si="154"/>
        <v/>
      </c>
      <c r="AF222" s="16" t="str">
        <f t="shared" si="155"/>
        <v/>
      </c>
      <c r="AG222" s="16" t="str">
        <f t="shared" si="160"/>
        <v/>
      </c>
      <c r="AH222" s="16" t="str">
        <f t="shared" si="161"/>
        <v/>
      </c>
      <c r="AI222" s="29" t="str">
        <f t="shared" si="156"/>
        <v/>
      </c>
      <c r="AJ222" s="29" t="str">
        <f t="shared" si="157"/>
        <v/>
      </c>
      <c r="AK222" s="2"/>
      <c r="AL222" s="2"/>
      <c r="AM222" s="2"/>
      <c r="AN222" s="2"/>
      <c r="AO222" s="2"/>
      <c r="AP222" s="2"/>
      <c r="AQ222" s="2"/>
      <c r="AR222" s="2"/>
      <c r="AS222" s="2"/>
      <c r="AT222" s="2"/>
      <c r="AU222" s="2"/>
      <c r="AV222" s="2"/>
      <c r="AW222" s="2"/>
      <c r="AX222" s="2"/>
      <c r="AY222" s="2"/>
      <c r="AZ222" s="2"/>
      <c r="BA222" s="2"/>
      <c r="BB222" s="2"/>
      <c r="BC222" s="2"/>
    </row>
    <row r="223" spans="1:55" x14ac:dyDescent="0.25">
      <c r="A223" s="260" t="str">
        <f t="shared" si="162"/>
        <v/>
      </c>
      <c r="B223" s="147" t="str">
        <f t="shared" si="163"/>
        <v/>
      </c>
      <c r="C223" s="148" t="str">
        <f t="shared" si="164"/>
        <v/>
      </c>
      <c r="D223" s="261" t="str">
        <f t="shared" si="165"/>
        <v/>
      </c>
      <c r="E223" s="147" t="str">
        <f t="shared" si="166"/>
        <v/>
      </c>
      <c r="F223" s="148" t="str">
        <f t="shared" si="167"/>
        <v/>
      </c>
      <c r="G223" s="261" t="str">
        <f t="shared" si="168"/>
        <v/>
      </c>
      <c r="H223" s="147" t="str">
        <f t="shared" si="169"/>
        <v/>
      </c>
      <c r="I223" s="148" t="str">
        <f t="shared" si="170"/>
        <v/>
      </c>
      <c r="J223" s="261" t="str">
        <f t="shared" si="171"/>
        <v/>
      </c>
      <c r="K223" s="147" t="str">
        <f t="shared" si="172"/>
        <v/>
      </c>
      <c r="L223" s="148" t="str">
        <f t="shared" si="173"/>
        <v/>
      </c>
      <c r="M223" s="261" t="str">
        <f t="shared" si="174"/>
        <v/>
      </c>
      <c r="N223" s="147" t="str">
        <f t="shared" si="175"/>
        <v/>
      </c>
      <c r="O223" s="148" t="str">
        <f t="shared" si="176"/>
        <v/>
      </c>
      <c r="P223" s="261" t="str">
        <f t="shared" si="177"/>
        <v/>
      </c>
      <c r="Q223" s="147" t="str">
        <f t="shared" si="178"/>
        <v/>
      </c>
      <c r="R223" s="148" t="str">
        <f t="shared" si="179"/>
        <v/>
      </c>
      <c r="S223" s="261" t="str">
        <f t="shared" si="147"/>
        <v/>
      </c>
      <c r="T223" s="147" t="str">
        <f t="shared" si="148"/>
        <v/>
      </c>
      <c r="U223" s="148" t="str">
        <f t="shared" si="149"/>
        <v/>
      </c>
      <c r="V223" s="261" t="str">
        <f t="shared" si="150"/>
        <v/>
      </c>
      <c r="W223" s="147" t="str">
        <f t="shared" si="151"/>
        <v/>
      </c>
      <c r="X223" s="148" t="str">
        <f t="shared" si="152"/>
        <v/>
      </c>
      <c r="Y223" s="259"/>
      <c r="Z223" s="2"/>
      <c r="AA223" s="264">
        <v>219</v>
      </c>
      <c r="AB223" s="16" t="str">
        <f t="shared" si="158"/>
        <v/>
      </c>
      <c r="AC223" s="16" t="str">
        <f t="shared" si="159"/>
        <v/>
      </c>
      <c r="AD223" s="16" t="str">
        <f t="shared" si="153"/>
        <v/>
      </c>
      <c r="AE223" s="16" t="str">
        <f t="shared" si="154"/>
        <v/>
      </c>
      <c r="AF223" s="16" t="str">
        <f t="shared" si="155"/>
        <v/>
      </c>
      <c r="AG223" s="16" t="str">
        <f t="shared" si="160"/>
        <v/>
      </c>
      <c r="AH223" s="16" t="str">
        <f t="shared" si="161"/>
        <v/>
      </c>
      <c r="AI223" s="29" t="str">
        <f t="shared" si="156"/>
        <v/>
      </c>
      <c r="AJ223" s="29" t="str">
        <f t="shared" si="157"/>
        <v/>
      </c>
      <c r="AK223" s="2"/>
      <c r="AL223" s="2"/>
      <c r="AM223" s="2"/>
      <c r="AN223" s="2"/>
      <c r="AO223" s="2"/>
      <c r="AP223" s="2"/>
      <c r="AQ223" s="2"/>
      <c r="AR223" s="2"/>
      <c r="AS223" s="2"/>
      <c r="AT223" s="2"/>
      <c r="AU223" s="2"/>
      <c r="AV223" s="2"/>
      <c r="AW223" s="2"/>
      <c r="AX223" s="2"/>
      <c r="AY223" s="2"/>
      <c r="AZ223" s="2"/>
      <c r="BA223" s="2"/>
      <c r="BB223" s="2"/>
      <c r="BC223" s="2"/>
    </row>
    <row r="224" spans="1:55" x14ac:dyDescent="0.25">
      <c r="A224" s="260" t="str">
        <f t="shared" si="162"/>
        <v/>
      </c>
      <c r="B224" s="147" t="str">
        <f t="shared" si="163"/>
        <v/>
      </c>
      <c r="C224" s="148" t="str">
        <f t="shared" si="164"/>
        <v/>
      </c>
      <c r="D224" s="261" t="str">
        <f t="shared" si="165"/>
        <v/>
      </c>
      <c r="E224" s="147" t="str">
        <f t="shared" si="166"/>
        <v/>
      </c>
      <c r="F224" s="148" t="str">
        <f t="shared" si="167"/>
        <v/>
      </c>
      <c r="G224" s="261" t="str">
        <f t="shared" si="168"/>
        <v/>
      </c>
      <c r="H224" s="147" t="str">
        <f t="shared" si="169"/>
        <v/>
      </c>
      <c r="I224" s="148" t="str">
        <f t="shared" si="170"/>
        <v/>
      </c>
      <c r="J224" s="261" t="str">
        <f t="shared" si="171"/>
        <v/>
      </c>
      <c r="K224" s="147" t="str">
        <f t="shared" si="172"/>
        <v/>
      </c>
      <c r="L224" s="148" t="str">
        <f t="shared" si="173"/>
        <v/>
      </c>
      <c r="M224" s="261" t="str">
        <f t="shared" si="174"/>
        <v/>
      </c>
      <c r="N224" s="147" t="str">
        <f t="shared" si="175"/>
        <v/>
      </c>
      <c r="O224" s="148" t="str">
        <f t="shared" si="176"/>
        <v/>
      </c>
      <c r="P224" s="261" t="str">
        <f t="shared" si="177"/>
        <v/>
      </c>
      <c r="Q224" s="147" t="str">
        <f t="shared" si="178"/>
        <v/>
      </c>
      <c r="R224" s="148" t="str">
        <f t="shared" si="179"/>
        <v/>
      </c>
      <c r="S224" s="261" t="str">
        <f t="shared" si="147"/>
        <v/>
      </c>
      <c r="T224" s="147" t="str">
        <f t="shared" si="148"/>
        <v/>
      </c>
      <c r="U224" s="148" t="str">
        <f t="shared" si="149"/>
        <v/>
      </c>
      <c r="V224" s="261" t="str">
        <f t="shared" si="150"/>
        <v/>
      </c>
      <c r="W224" s="147" t="str">
        <f t="shared" si="151"/>
        <v/>
      </c>
      <c r="X224" s="148" t="str">
        <f t="shared" si="152"/>
        <v/>
      </c>
      <c r="Y224" s="259"/>
      <c r="Z224" s="2"/>
      <c r="AA224" s="264">
        <v>220</v>
      </c>
      <c r="AB224" s="16" t="str">
        <f t="shared" si="158"/>
        <v/>
      </c>
      <c r="AC224" s="16" t="str">
        <f t="shared" si="159"/>
        <v/>
      </c>
      <c r="AD224" s="16" t="str">
        <f t="shared" si="153"/>
        <v/>
      </c>
      <c r="AE224" s="16" t="str">
        <f t="shared" si="154"/>
        <v/>
      </c>
      <c r="AF224" s="16" t="str">
        <f t="shared" si="155"/>
        <v/>
      </c>
      <c r="AG224" s="16" t="str">
        <f t="shared" si="160"/>
        <v/>
      </c>
      <c r="AH224" s="16" t="str">
        <f t="shared" si="161"/>
        <v/>
      </c>
      <c r="AI224" s="29" t="str">
        <f t="shared" si="156"/>
        <v/>
      </c>
      <c r="AJ224" s="29" t="str">
        <f t="shared" si="157"/>
        <v/>
      </c>
      <c r="AK224" s="2"/>
      <c r="AL224" s="2"/>
      <c r="AM224" s="2"/>
      <c r="AN224" s="2"/>
      <c r="AO224" s="2"/>
      <c r="AP224" s="2"/>
      <c r="AQ224" s="2"/>
      <c r="AR224" s="2"/>
      <c r="AS224" s="2"/>
      <c r="AT224" s="2"/>
      <c r="AU224" s="2"/>
      <c r="AV224" s="2"/>
      <c r="AW224" s="2"/>
      <c r="AX224" s="2"/>
      <c r="AY224" s="2"/>
      <c r="AZ224" s="2"/>
      <c r="BA224" s="2"/>
      <c r="BB224" s="2"/>
      <c r="BC224" s="2"/>
    </row>
    <row r="225" spans="1:55" x14ac:dyDescent="0.25">
      <c r="A225" s="260" t="str">
        <f t="shared" si="162"/>
        <v/>
      </c>
      <c r="B225" s="147" t="str">
        <f t="shared" si="163"/>
        <v/>
      </c>
      <c r="C225" s="148" t="str">
        <f t="shared" si="164"/>
        <v/>
      </c>
      <c r="D225" s="261" t="str">
        <f t="shared" si="165"/>
        <v/>
      </c>
      <c r="E225" s="147" t="str">
        <f t="shared" si="166"/>
        <v/>
      </c>
      <c r="F225" s="148" t="str">
        <f t="shared" si="167"/>
        <v/>
      </c>
      <c r="G225" s="261" t="str">
        <f t="shared" si="168"/>
        <v/>
      </c>
      <c r="H225" s="147" t="str">
        <f t="shared" si="169"/>
        <v/>
      </c>
      <c r="I225" s="148" t="str">
        <f t="shared" si="170"/>
        <v/>
      </c>
      <c r="J225" s="261" t="str">
        <f t="shared" si="171"/>
        <v/>
      </c>
      <c r="K225" s="147" t="str">
        <f t="shared" si="172"/>
        <v/>
      </c>
      <c r="L225" s="148" t="str">
        <f t="shared" si="173"/>
        <v/>
      </c>
      <c r="M225" s="261" t="str">
        <f t="shared" si="174"/>
        <v/>
      </c>
      <c r="N225" s="147" t="str">
        <f t="shared" si="175"/>
        <v/>
      </c>
      <c r="O225" s="148" t="str">
        <f t="shared" si="176"/>
        <v/>
      </c>
      <c r="P225" s="261" t="str">
        <f t="shared" si="177"/>
        <v/>
      </c>
      <c r="Q225" s="147" t="str">
        <f t="shared" si="178"/>
        <v/>
      </c>
      <c r="R225" s="148" t="str">
        <f t="shared" si="179"/>
        <v/>
      </c>
      <c r="S225" s="261" t="str">
        <f t="shared" si="147"/>
        <v/>
      </c>
      <c r="T225" s="147" t="str">
        <f t="shared" si="148"/>
        <v/>
      </c>
      <c r="U225" s="148" t="str">
        <f t="shared" si="149"/>
        <v/>
      </c>
      <c r="V225" s="261" t="str">
        <f t="shared" si="150"/>
        <v/>
      </c>
      <c r="W225" s="147" t="str">
        <f t="shared" si="151"/>
        <v/>
      </c>
      <c r="X225" s="148" t="str">
        <f t="shared" si="152"/>
        <v/>
      </c>
      <c r="Y225" s="259"/>
      <c r="Z225" s="2"/>
      <c r="AA225" s="264">
        <v>221</v>
      </c>
      <c r="AB225" s="16" t="str">
        <f t="shared" si="158"/>
        <v/>
      </c>
      <c r="AC225" s="16" t="str">
        <f t="shared" si="159"/>
        <v/>
      </c>
      <c r="AD225" s="16" t="str">
        <f t="shared" si="153"/>
        <v/>
      </c>
      <c r="AE225" s="16" t="str">
        <f t="shared" si="154"/>
        <v/>
      </c>
      <c r="AF225" s="16" t="str">
        <f t="shared" si="155"/>
        <v/>
      </c>
      <c r="AG225" s="16" t="str">
        <f t="shared" si="160"/>
        <v/>
      </c>
      <c r="AH225" s="16" t="str">
        <f t="shared" si="161"/>
        <v/>
      </c>
      <c r="AI225" s="29" t="str">
        <f t="shared" si="156"/>
        <v/>
      </c>
      <c r="AJ225" s="29" t="str">
        <f t="shared" si="157"/>
        <v/>
      </c>
      <c r="AK225" s="2"/>
      <c r="AL225" s="2"/>
      <c r="AM225" s="2"/>
      <c r="AN225" s="2"/>
      <c r="AO225" s="2"/>
      <c r="AP225" s="2"/>
      <c r="AQ225" s="2"/>
      <c r="AR225" s="2"/>
      <c r="AS225" s="2"/>
      <c r="AT225" s="2"/>
      <c r="AU225" s="2"/>
      <c r="AV225" s="2"/>
      <c r="AW225" s="2"/>
      <c r="AX225" s="2"/>
      <c r="AY225" s="2"/>
      <c r="AZ225" s="2"/>
      <c r="BA225" s="2"/>
      <c r="BB225" s="2"/>
      <c r="BC225" s="2"/>
    </row>
    <row r="226" spans="1:55" x14ac:dyDescent="0.25">
      <c r="A226" s="260" t="str">
        <f t="shared" si="162"/>
        <v/>
      </c>
      <c r="B226" s="147" t="str">
        <f t="shared" si="163"/>
        <v/>
      </c>
      <c r="C226" s="148" t="str">
        <f t="shared" si="164"/>
        <v/>
      </c>
      <c r="D226" s="261" t="str">
        <f t="shared" si="165"/>
        <v/>
      </c>
      <c r="E226" s="147" t="str">
        <f t="shared" si="166"/>
        <v/>
      </c>
      <c r="F226" s="148" t="str">
        <f t="shared" si="167"/>
        <v/>
      </c>
      <c r="G226" s="261" t="str">
        <f t="shared" si="168"/>
        <v/>
      </c>
      <c r="H226" s="147" t="str">
        <f t="shared" si="169"/>
        <v/>
      </c>
      <c r="I226" s="148" t="str">
        <f t="shared" si="170"/>
        <v/>
      </c>
      <c r="J226" s="261" t="str">
        <f t="shared" si="171"/>
        <v/>
      </c>
      <c r="K226" s="147" t="str">
        <f t="shared" si="172"/>
        <v/>
      </c>
      <c r="L226" s="148" t="str">
        <f t="shared" si="173"/>
        <v/>
      </c>
      <c r="M226" s="261" t="str">
        <f t="shared" si="174"/>
        <v/>
      </c>
      <c r="N226" s="147" t="str">
        <f t="shared" si="175"/>
        <v/>
      </c>
      <c r="O226" s="148" t="str">
        <f t="shared" si="176"/>
        <v/>
      </c>
      <c r="P226" s="261" t="str">
        <f t="shared" si="177"/>
        <v/>
      </c>
      <c r="Q226" s="147" t="str">
        <f t="shared" si="178"/>
        <v/>
      </c>
      <c r="R226" s="148" t="str">
        <f t="shared" si="179"/>
        <v/>
      </c>
      <c r="S226" s="261" t="str">
        <f t="shared" si="147"/>
        <v/>
      </c>
      <c r="T226" s="147" t="str">
        <f t="shared" si="148"/>
        <v/>
      </c>
      <c r="U226" s="148" t="str">
        <f t="shared" si="149"/>
        <v/>
      </c>
      <c r="V226" s="261" t="str">
        <f t="shared" si="150"/>
        <v/>
      </c>
      <c r="W226" s="147" t="str">
        <f t="shared" si="151"/>
        <v/>
      </c>
      <c r="X226" s="148" t="str">
        <f t="shared" si="152"/>
        <v/>
      </c>
      <c r="Y226" s="259"/>
      <c r="Z226" s="2"/>
      <c r="AA226" s="264">
        <v>222</v>
      </c>
      <c r="AB226" s="16" t="str">
        <f t="shared" si="158"/>
        <v/>
      </c>
      <c r="AC226" s="16" t="str">
        <f t="shared" si="159"/>
        <v/>
      </c>
      <c r="AD226" s="16" t="str">
        <f t="shared" si="153"/>
        <v/>
      </c>
      <c r="AE226" s="16" t="str">
        <f t="shared" si="154"/>
        <v/>
      </c>
      <c r="AF226" s="16" t="str">
        <f t="shared" si="155"/>
        <v/>
      </c>
      <c r="AG226" s="16" t="str">
        <f t="shared" si="160"/>
        <v/>
      </c>
      <c r="AH226" s="16" t="str">
        <f t="shared" si="161"/>
        <v/>
      </c>
      <c r="AI226" s="29" t="str">
        <f t="shared" si="156"/>
        <v/>
      </c>
      <c r="AJ226" s="29" t="str">
        <f t="shared" si="157"/>
        <v/>
      </c>
      <c r="AK226" s="2"/>
      <c r="AL226" s="2"/>
      <c r="AM226" s="2"/>
      <c r="AN226" s="2"/>
      <c r="AO226" s="2"/>
      <c r="AP226" s="2"/>
      <c r="AQ226" s="2"/>
      <c r="AR226" s="2"/>
      <c r="AS226" s="2"/>
      <c r="AT226" s="2"/>
      <c r="AU226" s="2"/>
      <c r="AV226" s="2"/>
      <c r="AW226" s="2"/>
      <c r="AX226" s="2"/>
      <c r="AY226" s="2"/>
      <c r="AZ226" s="2"/>
      <c r="BA226" s="2"/>
      <c r="BB226" s="2"/>
      <c r="BC226" s="2"/>
    </row>
    <row r="227" spans="1:55" x14ac:dyDescent="0.25">
      <c r="A227" s="260" t="str">
        <f t="shared" si="162"/>
        <v/>
      </c>
      <c r="B227" s="147" t="str">
        <f t="shared" si="163"/>
        <v/>
      </c>
      <c r="C227" s="148" t="str">
        <f t="shared" si="164"/>
        <v/>
      </c>
      <c r="D227" s="261" t="str">
        <f t="shared" si="165"/>
        <v/>
      </c>
      <c r="E227" s="147" t="str">
        <f t="shared" si="166"/>
        <v/>
      </c>
      <c r="F227" s="148" t="str">
        <f t="shared" si="167"/>
        <v/>
      </c>
      <c r="G227" s="261" t="str">
        <f t="shared" si="168"/>
        <v/>
      </c>
      <c r="H227" s="147" t="str">
        <f t="shared" si="169"/>
        <v/>
      </c>
      <c r="I227" s="148" t="str">
        <f t="shared" si="170"/>
        <v/>
      </c>
      <c r="J227" s="261" t="str">
        <f t="shared" si="171"/>
        <v/>
      </c>
      <c r="K227" s="147" t="str">
        <f t="shared" si="172"/>
        <v/>
      </c>
      <c r="L227" s="148" t="str">
        <f t="shared" si="173"/>
        <v/>
      </c>
      <c r="M227" s="261" t="str">
        <f t="shared" si="174"/>
        <v/>
      </c>
      <c r="N227" s="147" t="str">
        <f t="shared" si="175"/>
        <v/>
      </c>
      <c r="O227" s="148" t="str">
        <f t="shared" si="176"/>
        <v/>
      </c>
      <c r="P227" s="261" t="str">
        <f t="shared" si="177"/>
        <v/>
      </c>
      <c r="Q227" s="147" t="str">
        <f t="shared" si="178"/>
        <v/>
      </c>
      <c r="R227" s="148" t="str">
        <f t="shared" si="179"/>
        <v/>
      </c>
      <c r="S227" s="261" t="str">
        <f t="shared" si="147"/>
        <v/>
      </c>
      <c r="T227" s="147" t="str">
        <f t="shared" si="148"/>
        <v/>
      </c>
      <c r="U227" s="148" t="str">
        <f t="shared" si="149"/>
        <v/>
      </c>
      <c r="V227" s="261" t="str">
        <f t="shared" si="150"/>
        <v/>
      </c>
      <c r="W227" s="147" t="str">
        <f t="shared" si="151"/>
        <v/>
      </c>
      <c r="X227" s="148" t="str">
        <f t="shared" si="152"/>
        <v/>
      </c>
      <c r="Y227" s="259"/>
      <c r="Z227" s="2"/>
      <c r="AA227" s="264">
        <v>223</v>
      </c>
      <c r="AB227" s="16" t="str">
        <f t="shared" si="158"/>
        <v/>
      </c>
      <c r="AC227" s="16" t="str">
        <f t="shared" si="159"/>
        <v/>
      </c>
      <c r="AD227" s="16" t="str">
        <f t="shared" si="153"/>
        <v/>
      </c>
      <c r="AE227" s="16" t="str">
        <f t="shared" si="154"/>
        <v/>
      </c>
      <c r="AF227" s="16" t="str">
        <f t="shared" si="155"/>
        <v/>
      </c>
      <c r="AG227" s="16" t="str">
        <f t="shared" si="160"/>
        <v/>
      </c>
      <c r="AH227" s="16" t="str">
        <f t="shared" si="161"/>
        <v/>
      </c>
      <c r="AI227" s="29" t="str">
        <f t="shared" si="156"/>
        <v/>
      </c>
      <c r="AJ227" s="29" t="str">
        <f t="shared" si="157"/>
        <v/>
      </c>
      <c r="AK227" s="2"/>
      <c r="AL227" s="2"/>
      <c r="AM227" s="2"/>
      <c r="AN227" s="2"/>
      <c r="AO227" s="2"/>
      <c r="AP227" s="2"/>
      <c r="AQ227" s="2"/>
      <c r="AR227" s="2"/>
      <c r="AS227" s="2"/>
      <c r="AT227" s="2"/>
      <c r="AU227" s="2"/>
      <c r="AV227" s="2"/>
      <c r="AW227" s="2"/>
      <c r="AX227" s="2"/>
      <c r="AY227" s="2"/>
      <c r="AZ227" s="2"/>
      <c r="BA227" s="2"/>
      <c r="BB227" s="2"/>
      <c r="BC227" s="2"/>
    </row>
    <row r="228" spans="1:55" x14ac:dyDescent="0.25">
      <c r="A228" s="260" t="str">
        <f t="shared" si="162"/>
        <v/>
      </c>
      <c r="B228" s="147" t="str">
        <f t="shared" si="163"/>
        <v/>
      </c>
      <c r="C228" s="148" t="str">
        <f t="shared" si="164"/>
        <v/>
      </c>
      <c r="D228" s="261" t="str">
        <f t="shared" si="165"/>
        <v/>
      </c>
      <c r="E228" s="147" t="str">
        <f t="shared" si="166"/>
        <v/>
      </c>
      <c r="F228" s="148" t="str">
        <f t="shared" si="167"/>
        <v/>
      </c>
      <c r="G228" s="261" t="str">
        <f t="shared" si="168"/>
        <v/>
      </c>
      <c r="H228" s="147" t="str">
        <f t="shared" si="169"/>
        <v/>
      </c>
      <c r="I228" s="148" t="str">
        <f t="shared" si="170"/>
        <v/>
      </c>
      <c r="J228" s="261" t="str">
        <f t="shared" si="171"/>
        <v/>
      </c>
      <c r="K228" s="147" t="str">
        <f t="shared" si="172"/>
        <v/>
      </c>
      <c r="L228" s="148" t="str">
        <f t="shared" si="173"/>
        <v/>
      </c>
      <c r="M228" s="261" t="str">
        <f t="shared" si="174"/>
        <v/>
      </c>
      <c r="N228" s="147" t="str">
        <f t="shared" si="175"/>
        <v/>
      </c>
      <c r="O228" s="148" t="str">
        <f t="shared" si="176"/>
        <v/>
      </c>
      <c r="P228" s="261" t="str">
        <f t="shared" si="177"/>
        <v/>
      </c>
      <c r="Q228" s="147" t="str">
        <f t="shared" si="178"/>
        <v/>
      </c>
      <c r="R228" s="148" t="str">
        <f t="shared" si="179"/>
        <v/>
      </c>
      <c r="S228" s="261" t="str">
        <f t="shared" si="147"/>
        <v/>
      </c>
      <c r="T228" s="147" t="str">
        <f t="shared" si="148"/>
        <v/>
      </c>
      <c r="U228" s="148" t="str">
        <f t="shared" si="149"/>
        <v/>
      </c>
      <c r="V228" s="261" t="str">
        <f t="shared" si="150"/>
        <v/>
      </c>
      <c r="W228" s="147" t="str">
        <f t="shared" si="151"/>
        <v/>
      </c>
      <c r="X228" s="148" t="str">
        <f t="shared" si="152"/>
        <v/>
      </c>
      <c r="Y228" s="259"/>
      <c r="Z228" s="2"/>
      <c r="AA228" s="264">
        <v>224</v>
      </c>
      <c r="AB228" s="16" t="str">
        <f t="shared" si="158"/>
        <v/>
      </c>
      <c r="AC228" s="16" t="str">
        <f t="shared" si="159"/>
        <v/>
      </c>
      <c r="AD228" s="16" t="str">
        <f t="shared" si="153"/>
        <v/>
      </c>
      <c r="AE228" s="16" t="str">
        <f t="shared" si="154"/>
        <v/>
      </c>
      <c r="AF228" s="16" t="str">
        <f t="shared" si="155"/>
        <v/>
      </c>
      <c r="AG228" s="16" t="str">
        <f t="shared" si="160"/>
        <v/>
      </c>
      <c r="AH228" s="16" t="str">
        <f t="shared" si="161"/>
        <v/>
      </c>
      <c r="AI228" s="29" t="str">
        <f t="shared" si="156"/>
        <v/>
      </c>
      <c r="AJ228" s="29" t="str">
        <f t="shared" si="157"/>
        <v/>
      </c>
      <c r="AK228" s="2"/>
      <c r="AL228" s="2"/>
      <c r="AM228" s="2"/>
      <c r="AN228" s="2"/>
      <c r="AO228" s="2"/>
      <c r="AP228" s="2"/>
      <c r="AQ228" s="2"/>
      <c r="AR228" s="2"/>
      <c r="AS228" s="2"/>
      <c r="AT228" s="2"/>
      <c r="AU228" s="2"/>
      <c r="AV228" s="2"/>
      <c r="AW228" s="2"/>
      <c r="AX228" s="2"/>
      <c r="AY228" s="2"/>
      <c r="AZ228" s="2"/>
      <c r="BA228" s="2"/>
      <c r="BB228" s="2"/>
      <c r="BC228" s="2"/>
    </row>
    <row r="229" spans="1:55" x14ac:dyDescent="0.25">
      <c r="A229" s="260" t="str">
        <f t="shared" si="162"/>
        <v/>
      </c>
      <c r="B229" s="154" t="str">
        <f t="shared" si="163"/>
        <v/>
      </c>
      <c r="C229" s="155" t="str">
        <f t="shared" si="164"/>
        <v/>
      </c>
      <c r="D229" s="261" t="str">
        <f t="shared" si="165"/>
        <v/>
      </c>
      <c r="E229" s="154" t="str">
        <f t="shared" si="166"/>
        <v/>
      </c>
      <c r="F229" s="155" t="str">
        <f t="shared" si="167"/>
        <v/>
      </c>
      <c r="G229" s="261" t="str">
        <f t="shared" si="168"/>
        <v/>
      </c>
      <c r="H229" s="154" t="str">
        <f t="shared" si="169"/>
        <v/>
      </c>
      <c r="I229" s="155" t="str">
        <f t="shared" si="170"/>
        <v/>
      </c>
      <c r="J229" s="261" t="str">
        <f t="shared" si="171"/>
        <v/>
      </c>
      <c r="K229" s="154" t="str">
        <f t="shared" si="172"/>
        <v/>
      </c>
      <c r="L229" s="155" t="str">
        <f t="shared" si="173"/>
        <v/>
      </c>
      <c r="M229" s="261" t="str">
        <f t="shared" si="174"/>
        <v/>
      </c>
      <c r="N229" s="154" t="str">
        <f t="shared" si="175"/>
        <v/>
      </c>
      <c r="O229" s="155" t="str">
        <f t="shared" si="176"/>
        <v/>
      </c>
      <c r="P229" s="261" t="str">
        <f t="shared" si="177"/>
        <v/>
      </c>
      <c r="Q229" s="154" t="str">
        <f t="shared" si="178"/>
        <v/>
      </c>
      <c r="R229" s="155" t="str">
        <f t="shared" si="179"/>
        <v/>
      </c>
      <c r="S229" s="261" t="str">
        <f t="shared" si="147"/>
        <v/>
      </c>
      <c r="T229" s="154" t="str">
        <f t="shared" si="148"/>
        <v/>
      </c>
      <c r="U229" s="155" t="str">
        <f t="shared" si="149"/>
        <v/>
      </c>
      <c r="V229" s="261" t="str">
        <f t="shared" si="150"/>
        <v/>
      </c>
      <c r="W229" s="154" t="str">
        <f t="shared" si="151"/>
        <v/>
      </c>
      <c r="X229" s="155" t="str">
        <f t="shared" si="152"/>
        <v/>
      </c>
      <c r="Y229" s="259"/>
      <c r="Z229" s="2"/>
      <c r="AA229" s="264">
        <v>225</v>
      </c>
      <c r="AB229" s="16" t="str">
        <f t="shared" si="158"/>
        <v/>
      </c>
      <c r="AC229" s="16" t="str">
        <f t="shared" si="159"/>
        <v/>
      </c>
      <c r="AD229" s="16" t="str">
        <f t="shared" si="153"/>
        <v/>
      </c>
      <c r="AE229" s="16" t="str">
        <f t="shared" si="154"/>
        <v/>
      </c>
      <c r="AF229" s="16" t="str">
        <f t="shared" si="155"/>
        <v/>
      </c>
      <c r="AG229" s="16" t="str">
        <f t="shared" si="160"/>
        <v/>
      </c>
      <c r="AH229" s="16" t="str">
        <f t="shared" si="161"/>
        <v/>
      </c>
      <c r="AI229" s="29" t="str">
        <f t="shared" si="156"/>
        <v/>
      </c>
      <c r="AJ229" s="29" t="str">
        <f t="shared" si="157"/>
        <v/>
      </c>
      <c r="AK229" s="2"/>
      <c r="AL229" s="2"/>
      <c r="AM229" s="2"/>
      <c r="AN229" s="2"/>
      <c r="AO229" s="2"/>
      <c r="AP229" s="2"/>
      <c r="AQ229" s="2"/>
      <c r="AR229" s="2"/>
      <c r="AS229" s="2"/>
      <c r="AT229" s="2"/>
      <c r="AU229" s="2"/>
      <c r="AV229" s="2"/>
      <c r="AW229" s="2"/>
      <c r="AX229" s="2"/>
      <c r="AY229" s="2"/>
      <c r="AZ229" s="2"/>
      <c r="BA229" s="2"/>
      <c r="BB229" s="2"/>
      <c r="BC229" s="2"/>
    </row>
    <row r="230" spans="1:55" x14ac:dyDescent="0.25">
      <c r="A230" s="48"/>
      <c r="B230" s="54"/>
      <c r="C230" s="54"/>
      <c r="D230" s="54"/>
      <c r="E230" s="54"/>
      <c r="F230" s="54"/>
      <c r="G230" s="54"/>
      <c r="H230" s="54"/>
      <c r="I230" s="54"/>
      <c r="J230" s="2"/>
      <c r="K230" s="2"/>
      <c r="L230" s="2"/>
      <c r="M230" s="2"/>
      <c r="N230" s="2"/>
      <c r="O230" s="2"/>
      <c r="P230" s="2"/>
      <c r="Q230" s="2"/>
      <c r="R230" s="2"/>
      <c r="S230" s="2"/>
      <c r="T230" s="2"/>
      <c r="U230" s="2"/>
      <c r="V230" s="2"/>
      <c r="W230" s="2"/>
      <c r="X230" s="2"/>
      <c r="Y230" s="259"/>
      <c r="Z230" s="2"/>
      <c r="AA230" s="264">
        <v>226</v>
      </c>
      <c r="AB230" s="16" t="str">
        <f t="shared" si="158"/>
        <v/>
      </c>
      <c r="AC230" s="16" t="str">
        <f t="shared" si="159"/>
        <v/>
      </c>
      <c r="AD230" s="16" t="str">
        <f t="shared" si="153"/>
        <v/>
      </c>
      <c r="AE230" s="16" t="str">
        <f t="shared" si="154"/>
        <v/>
      </c>
      <c r="AF230" s="16" t="str">
        <f t="shared" si="155"/>
        <v/>
      </c>
      <c r="AG230" s="16" t="str">
        <f t="shared" si="160"/>
        <v/>
      </c>
      <c r="AH230" s="16" t="str">
        <f t="shared" si="161"/>
        <v/>
      </c>
      <c r="AI230" s="29" t="str">
        <f t="shared" si="156"/>
        <v/>
      </c>
      <c r="AJ230" s="29" t="str">
        <f t="shared" si="157"/>
        <v/>
      </c>
      <c r="AK230" s="2"/>
      <c r="AL230" s="2"/>
      <c r="AM230" s="2"/>
      <c r="AN230" s="2"/>
      <c r="AO230" s="2"/>
      <c r="AP230" s="2"/>
      <c r="AQ230" s="2"/>
      <c r="AR230" s="2"/>
      <c r="AS230" s="2"/>
      <c r="AT230" s="2"/>
      <c r="AU230" s="2"/>
      <c r="AV230" s="2"/>
      <c r="AW230" s="2"/>
      <c r="AX230" s="2"/>
      <c r="AY230" s="2"/>
      <c r="AZ230" s="2"/>
      <c r="BA230" s="2"/>
      <c r="BB230" s="2"/>
      <c r="BC230" s="2"/>
    </row>
    <row r="231" spans="1:55" x14ac:dyDescent="0.25">
      <c r="A231" s="79"/>
      <c r="B231" s="106"/>
      <c r="C231" s="106"/>
      <c r="D231" s="106"/>
      <c r="E231" s="106"/>
      <c r="F231" s="106"/>
      <c r="G231" s="106"/>
      <c r="H231" s="106"/>
      <c r="I231" s="106"/>
      <c r="J231" s="273"/>
      <c r="K231" s="273"/>
      <c r="L231" s="273"/>
      <c r="M231" s="273"/>
      <c r="N231" s="273"/>
      <c r="O231" s="273"/>
      <c r="P231" s="273"/>
      <c r="Q231" s="273"/>
      <c r="R231" s="273"/>
      <c r="S231" s="273"/>
      <c r="T231" s="273"/>
      <c r="U231" s="273"/>
      <c r="V231" s="273"/>
      <c r="W231" s="273"/>
      <c r="X231" s="273"/>
      <c r="Y231" s="274"/>
      <c r="Z231" s="2"/>
      <c r="AA231" s="264">
        <v>227</v>
      </c>
      <c r="AB231" s="16" t="str">
        <f t="shared" si="158"/>
        <v/>
      </c>
      <c r="AC231" s="16" t="str">
        <f t="shared" si="159"/>
        <v/>
      </c>
      <c r="AD231" s="16" t="str">
        <f t="shared" si="153"/>
        <v/>
      </c>
      <c r="AE231" s="16" t="str">
        <f t="shared" si="154"/>
        <v/>
      </c>
      <c r="AF231" s="16" t="str">
        <f t="shared" si="155"/>
        <v/>
      </c>
      <c r="AG231" s="16" t="str">
        <f t="shared" si="160"/>
        <v/>
      </c>
      <c r="AH231" s="16" t="str">
        <f t="shared" si="161"/>
        <v/>
      </c>
      <c r="AI231" s="29" t="str">
        <f t="shared" si="156"/>
        <v/>
      </c>
      <c r="AJ231" s="29" t="str">
        <f t="shared" si="157"/>
        <v/>
      </c>
      <c r="AK231" s="2"/>
      <c r="AL231" s="2"/>
      <c r="AM231" s="2"/>
      <c r="AN231" s="2"/>
      <c r="AO231" s="2"/>
      <c r="AP231" s="2"/>
      <c r="AQ231" s="2"/>
      <c r="AR231" s="2"/>
      <c r="AS231" s="2"/>
      <c r="AT231" s="2"/>
      <c r="AU231" s="2"/>
      <c r="AV231" s="2"/>
      <c r="AW231" s="2"/>
      <c r="AX231" s="2"/>
      <c r="AY231" s="2"/>
      <c r="AZ231" s="2"/>
      <c r="BA231" s="2"/>
      <c r="BB231" s="2"/>
      <c r="BC231" s="2"/>
    </row>
    <row r="232" spans="1:55" x14ac:dyDescent="0.25">
      <c r="D232" s="54"/>
      <c r="E232" s="54"/>
      <c r="F232" s="54"/>
      <c r="G232" s="54"/>
      <c r="H232" s="54"/>
      <c r="I232" s="54"/>
      <c r="J232" s="2"/>
      <c r="K232" s="2"/>
      <c r="L232" s="2"/>
      <c r="M232" s="2"/>
      <c r="N232" s="2"/>
      <c r="O232" s="2"/>
      <c r="P232" s="2"/>
      <c r="Q232" s="2"/>
      <c r="R232" s="2"/>
      <c r="S232" s="2"/>
      <c r="T232" s="2"/>
      <c r="U232" s="2"/>
      <c r="V232" s="2"/>
      <c r="W232" s="2"/>
      <c r="X232" s="2"/>
      <c r="Y232" s="2"/>
      <c r="Z232" s="2"/>
      <c r="AA232" s="264">
        <v>228</v>
      </c>
      <c r="AB232" s="16" t="str">
        <f t="shared" si="158"/>
        <v/>
      </c>
      <c r="AC232" s="16" t="str">
        <f t="shared" si="159"/>
        <v/>
      </c>
      <c r="AD232" s="16" t="str">
        <f t="shared" si="153"/>
        <v/>
      </c>
      <c r="AE232" s="16" t="str">
        <f t="shared" si="154"/>
        <v/>
      </c>
      <c r="AF232" s="16" t="str">
        <f t="shared" si="155"/>
        <v/>
      </c>
      <c r="AG232" s="16" t="str">
        <f t="shared" si="160"/>
        <v/>
      </c>
      <c r="AH232" s="16" t="str">
        <f t="shared" si="161"/>
        <v/>
      </c>
      <c r="AI232" s="29" t="str">
        <f t="shared" si="156"/>
        <v/>
      </c>
      <c r="AJ232" s="29" t="str">
        <f t="shared" si="157"/>
        <v/>
      </c>
      <c r="AK232" s="2"/>
      <c r="AL232" s="2"/>
      <c r="AM232" s="2"/>
      <c r="AN232" s="2"/>
      <c r="AO232" s="2"/>
      <c r="AP232" s="2"/>
      <c r="AQ232" s="2"/>
      <c r="AR232" s="2"/>
      <c r="AS232" s="2"/>
      <c r="AT232" s="2"/>
      <c r="AU232" s="2"/>
      <c r="AV232" s="2"/>
      <c r="AW232" s="2"/>
      <c r="AX232" s="2"/>
      <c r="AY232" s="2"/>
      <c r="AZ232" s="2"/>
      <c r="BA232" s="2"/>
      <c r="BB232" s="2"/>
      <c r="BC232" s="2"/>
    </row>
    <row r="233" spans="1:55" x14ac:dyDescent="0.25">
      <c r="D233" s="54"/>
      <c r="E233" s="54"/>
      <c r="F233" s="54"/>
      <c r="G233" s="54"/>
      <c r="H233" s="54"/>
      <c r="I233" s="54"/>
      <c r="J233" s="2"/>
      <c r="K233" s="2"/>
      <c r="L233" s="2"/>
      <c r="M233" s="2"/>
      <c r="N233" s="2"/>
      <c r="O233" s="2"/>
      <c r="P233" s="2"/>
      <c r="Q233" s="2"/>
      <c r="R233" s="2"/>
      <c r="S233" s="2"/>
      <c r="T233" s="2"/>
      <c r="U233" s="2"/>
      <c r="V233" s="2"/>
      <c r="W233" s="2"/>
      <c r="X233" s="2"/>
      <c r="Y233" s="2"/>
      <c r="Z233" s="2"/>
      <c r="AA233" s="264">
        <v>229</v>
      </c>
      <c r="AB233" s="16" t="str">
        <f t="shared" si="158"/>
        <v/>
      </c>
      <c r="AC233" s="16" t="str">
        <f t="shared" si="159"/>
        <v/>
      </c>
      <c r="AD233" s="16" t="str">
        <f t="shared" si="153"/>
        <v/>
      </c>
      <c r="AE233" s="16" t="str">
        <f t="shared" si="154"/>
        <v/>
      </c>
      <c r="AF233" s="16" t="str">
        <f t="shared" si="155"/>
        <v/>
      </c>
      <c r="AG233" s="16" t="str">
        <f t="shared" si="160"/>
        <v/>
      </c>
      <c r="AH233" s="16" t="str">
        <f t="shared" si="161"/>
        <v/>
      </c>
      <c r="AI233" s="29" t="str">
        <f t="shared" si="156"/>
        <v/>
      </c>
      <c r="AJ233" s="29" t="str">
        <f t="shared" si="157"/>
        <v/>
      </c>
      <c r="AK233" s="2"/>
      <c r="AL233" s="2"/>
      <c r="AM233" s="2"/>
      <c r="AN233" s="2"/>
      <c r="AO233" s="2"/>
      <c r="AP233" s="2"/>
      <c r="AQ233" s="2"/>
      <c r="AR233" s="2"/>
      <c r="AS233" s="2"/>
      <c r="AT233" s="2"/>
      <c r="AU233" s="2"/>
      <c r="AV233" s="2"/>
      <c r="AW233" s="2"/>
      <c r="AX233" s="2"/>
      <c r="AY233" s="2"/>
      <c r="AZ233" s="2"/>
      <c r="BA233" s="2"/>
      <c r="BB233" s="2"/>
      <c r="BC233" s="2"/>
    </row>
    <row r="234" spans="1:55" x14ac:dyDescent="0.25">
      <c r="D234" s="54"/>
      <c r="E234" s="54"/>
      <c r="F234" s="54"/>
      <c r="G234" s="54"/>
      <c r="H234" s="54"/>
      <c r="I234" s="54"/>
      <c r="J234" s="2"/>
      <c r="K234" s="2"/>
      <c r="L234" s="2"/>
      <c r="M234" s="2"/>
      <c r="N234" s="2"/>
      <c r="O234" s="2"/>
      <c r="P234" s="2"/>
      <c r="Q234" s="2"/>
      <c r="R234" s="2"/>
      <c r="S234" s="2"/>
      <c r="T234" s="2"/>
      <c r="U234" s="2"/>
      <c r="V234" s="2"/>
      <c r="W234" s="2"/>
      <c r="X234" s="2"/>
      <c r="Y234" s="2"/>
      <c r="Z234" s="2"/>
      <c r="AA234" s="264">
        <v>230</v>
      </c>
      <c r="AB234" s="16" t="str">
        <f t="shared" si="158"/>
        <v/>
      </c>
      <c r="AC234" s="16" t="str">
        <f t="shared" si="159"/>
        <v/>
      </c>
      <c r="AD234" s="16" t="str">
        <f t="shared" si="153"/>
        <v/>
      </c>
      <c r="AE234" s="16" t="str">
        <f t="shared" si="154"/>
        <v/>
      </c>
      <c r="AF234" s="16" t="str">
        <f t="shared" si="155"/>
        <v/>
      </c>
      <c r="AG234" s="16" t="str">
        <f t="shared" si="160"/>
        <v/>
      </c>
      <c r="AH234" s="16" t="str">
        <f t="shared" si="161"/>
        <v/>
      </c>
      <c r="AI234" s="29" t="str">
        <f t="shared" si="156"/>
        <v/>
      </c>
      <c r="AJ234" s="29" t="str">
        <f t="shared" si="157"/>
        <v/>
      </c>
      <c r="AK234" s="2"/>
      <c r="AL234" s="2"/>
      <c r="AM234" s="2"/>
      <c r="AN234" s="2"/>
      <c r="AO234" s="2"/>
      <c r="AP234" s="2"/>
      <c r="AQ234" s="2"/>
      <c r="AR234" s="2"/>
      <c r="AS234" s="2"/>
      <c r="AT234" s="2"/>
      <c r="AU234" s="2"/>
      <c r="AV234" s="2"/>
      <c r="AW234" s="2"/>
      <c r="AX234" s="2"/>
      <c r="AY234" s="2"/>
      <c r="AZ234" s="2"/>
      <c r="BA234" s="2"/>
      <c r="BB234" s="2"/>
      <c r="BC234" s="2"/>
    </row>
    <row r="235" spans="1:55" x14ac:dyDescent="0.25">
      <c r="D235" s="54"/>
      <c r="E235" s="54"/>
      <c r="F235" s="54"/>
      <c r="G235" s="54"/>
      <c r="H235" s="54"/>
      <c r="I235" s="54"/>
      <c r="J235" s="2"/>
      <c r="K235" s="2"/>
      <c r="L235" s="2"/>
      <c r="M235" s="2"/>
      <c r="N235" s="2"/>
      <c r="O235" s="2"/>
      <c r="P235" s="2"/>
      <c r="Q235" s="2"/>
      <c r="R235" s="2"/>
      <c r="S235" s="2"/>
      <c r="T235" s="2"/>
      <c r="U235" s="2"/>
      <c r="V235" s="2"/>
      <c r="W235" s="2"/>
      <c r="X235" s="2"/>
      <c r="Y235" s="2"/>
      <c r="Z235" s="2"/>
      <c r="AA235" s="264">
        <v>231</v>
      </c>
      <c r="AB235" s="16" t="str">
        <f t="shared" si="158"/>
        <v/>
      </c>
      <c r="AC235" s="16" t="str">
        <f t="shared" si="159"/>
        <v/>
      </c>
      <c r="AD235" s="16" t="str">
        <f t="shared" si="153"/>
        <v/>
      </c>
      <c r="AE235" s="16" t="str">
        <f t="shared" si="154"/>
        <v/>
      </c>
      <c r="AF235" s="16" t="str">
        <f t="shared" si="155"/>
        <v/>
      </c>
      <c r="AG235" s="16" t="str">
        <f t="shared" si="160"/>
        <v/>
      </c>
      <c r="AH235" s="16" t="str">
        <f t="shared" si="161"/>
        <v/>
      </c>
      <c r="AI235" s="29" t="str">
        <f t="shared" si="156"/>
        <v/>
      </c>
      <c r="AJ235" s="29" t="str">
        <f t="shared" si="157"/>
        <v/>
      </c>
      <c r="AK235" s="2"/>
      <c r="AL235" s="2"/>
      <c r="AM235" s="2"/>
      <c r="AN235" s="2"/>
      <c r="AO235" s="2"/>
      <c r="AP235" s="2"/>
      <c r="AQ235" s="2"/>
      <c r="AR235" s="2"/>
      <c r="AS235" s="2"/>
      <c r="AT235" s="2"/>
      <c r="AU235" s="2"/>
      <c r="AV235" s="2"/>
      <c r="AW235" s="2"/>
      <c r="AX235" s="2"/>
      <c r="AY235" s="2"/>
      <c r="AZ235" s="2"/>
      <c r="BA235" s="2"/>
      <c r="BB235" s="2"/>
      <c r="BC235" s="2"/>
    </row>
    <row r="236" spans="1:55" x14ac:dyDescent="0.25">
      <c r="D236" s="54"/>
      <c r="E236" s="54"/>
      <c r="F236" s="54"/>
      <c r="G236" s="54"/>
      <c r="H236" s="54"/>
      <c r="I236" s="54"/>
      <c r="J236" s="2"/>
      <c r="K236" s="2"/>
      <c r="L236" s="2"/>
      <c r="M236" s="2"/>
      <c r="N236" s="2"/>
      <c r="O236" s="2"/>
      <c r="P236" s="2"/>
      <c r="Q236" s="2"/>
      <c r="R236" s="2"/>
      <c r="S236" s="2"/>
      <c r="T236" s="2"/>
      <c r="U236" s="2"/>
      <c r="V236" s="2"/>
      <c r="W236" s="2"/>
      <c r="X236" s="2"/>
      <c r="Y236" s="2"/>
      <c r="Z236" s="2"/>
      <c r="AA236" s="264">
        <v>232</v>
      </c>
      <c r="AB236" s="16" t="str">
        <f t="shared" si="158"/>
        <v/>
      </c>
      <c r="AC236" s="16" t="str">
        <f t="shared" si="159"/>
        <v/>
      </c>
      <c r="AD236" s="16" t="str">
        <f t="shared" si="153"/>
        <v/>
      </c>
      <c r="AE236" s="16" t="str">
        <f t="shared" si="154"/>
        <v/>
      </c>
      <c r="AF236" s="16" t="str">
        <f t="shared" si="155"/>
        <v/>
      </c>
      <c r="AG236" s="16" t="str">
        <f t="shared" si="160"/>
        <v/>
      </c>
      <c r="AH236" s="16" t="str">
        <f t="shared" si="161"/>
        <v/>
      </c>
      <c r="AI236" s="29" t="str">
        <f t="shared" si="156"/>
        <v/>
      </c>
      <c r="AJ236" s="29" t="str">
        <f t="shared" si="157"/>
        <v/>
      </c>
      <c r="AK236" s="2"/>
      <c r="AL236" s="2"/>
      <c r="AM236" s="2"/>
      <c r="AN236" s="2"/>
      <c r="AO236" s="2"/>
      <c r="AP236" s="2"/>
      <c r="AQ236" s="2"/>
      <c r="AR236" s="2"/>
      <c r="AS236" s="2"/>
      <c r="AT236" s="2"/>
      <c r="AU236" s="2"/>
      <c r="AV236" s="2"/>
      <c r="AW236" s="2"/>
      <c r="AX236" s="2"/>
      <c r="AY236" s="2"/>
      <c r="AZ236" s="2"/>
      <c r="BA236" s="2"/>
      <c r="BB236" s="2"/>
      <c r="BC236" s="2"/>
    </row>
    <row r="237" spans="1:55" x14ac:dyDescent="0.25">
      <c r="D237" s="54"/>
      <c r="E237" s="54"/>
      <c r="F237" s="54"/>
      <c r="G237" s="54"/>
      <c r="H237" s="54"/>
      <c r="I237" s="54"/>
      <c r="J237" s="2"/>
      <c r="K237" s="2"/>
      <c r="L237" s="2"/>
      <c r="M237" s="2"/>
      <c r="N237" s="2"/>
      <c r="O237" s="2"/>
      <c r="P237" s="2"/>
      <c r="Q237" s="2"/>
      <c r="R237" s="2"/>
      <c r="S237" s="2"/>
      <c r="T237" s="2"/>
      <c r="U237" s="2"/>
      <c r="V237" s="2"/>
      <c r="W237" s="2"/>
      <c r="X237" s="2"/>
      <c r="Y237" s="2"/>
      <c r="Z237" s="2"/>
      <c r="AA237" s="264">
        <v>233</v>
      </c>
      <c r="AB237" s="16" t="str">
        <f t="shared" si="158"/>
        <v/>
      </c>
      <c r="AC237" s="16" t="str">
        <f t="shared" si="159"/>
        <v/>
      </c>
      <c r="AD237" s="16" t="str">
        <f t="shared" si="153"/>
        <v/>
      </c>
      <c r="AE237" s="16" t="str">
        <f t="shared" si="154"/>
        <v/>
      </c>
      <c r="AF237" s="16" t="str">
        <f t="shared" si="155"/>
        <v/>
      </c>
      <c r="AG237" s="16" t="str">
        <f t="shared" si="160"/>
        <v/>
      </c>
      <c r="AH237" s="16" t="str">
        <f t="shared" si="161"/>
        <v/>
      </c>
      <c r="AI237" s="29" t="str">
        <f t="shared" si="156"/>
        <v/>
      </c>
      <c r="AJ237" s="29" t="str">
        <f t="shared" si="157"/>
        <v/>
      </c>
      <c r="AK237" s="2"/>
      <c r="AL237" s="2"/>
      <c r="AM237" s="2"/>
      <c r="AN237" s="2"/>
      <c r="AO237" s="2"/>
      <c r="AP237" s="2"/>
      <c r="AQ237" s="2"/>
      <c r="AR237" s="2"/>
      <c r="AS237" s="2"/>
      <c r="AT237" s="2"/>
      <c r="AU237" s="2"/>
      <c r="AV237" s="2"/>
      <c r="AW237" s="2"/>
      <c r="AX237" s="2"/>
      <c r="AY237" s="2"/>
      <c r="AZ237" s="2"/>
      <c r="BA237" s="2"/>
      <c r="BB237" s="2"/>
      <c r="BC237" s="2"/>
    </row>
    <row r="238" spans="1:55" x14ac:dyDescent="0.25">
      <c r="D238" s="54"/>
      <c r="E238" s="54"/>
      <c r="F238" s="54"/>
      <c r="G238" s="54"/>
      <c r="H238" s="54"/>
      <c r="I238" s="54"/>
      <c r="J238" s="2"/>
      <c r="K238" s="2"/>
      <c r="L238" s="2"/>
      <c r="M238" s="2"/>
      <c r="N238" s="2"/>
      <c r="O238" s="2"/>
      <c r="P238" s="2"/>
      <c r="Q238" s="2"/>
      <c r="R238" s="2"/>
      <c r="S238" s="2"/>
      <c r="T238" s="2"/>
      <c r="U238" s="2"/>
      <c r="V238" s="2"/>
      <c r="W238" s="2"/>
      <c r="X238" s="2"/>
      <c r="Y238" s="2"/>
      <c r="Z238" s="2"/>
      <c r="AA238" s="264">
        <v>234</v>
      </c>
      <c r="AB238" s="16" t="str">
        <f t="shared" si="158"/>
        <v/>
      </c>
      <c r="AC238" s="16" t="str">
        <f t="shared" si="159"/>
        <v/>
      </c>
      <c r="AD238" s="16" t="str">
        <f t="shared" si="153"/>
        <v/>
      </c>
      <c r="AE238" s="16" t="str">
        <f t="shared" si="154"/>
        <v/>
      </c>
      <c r="AF238" s="16" t="str">
        <f t="shared" si="155"/>
        <v/>
      </c>
      <c r="AG238" s="16" t="str">
        <f t="shared" si="160"/>
        <v/>
      </c>
      <c r="AH238" s="16" t="str">
        <f t="shared" si="161"/>
        <v/>
      </c>
      <c r="AI238" s="29" t="str">
        <f t="shared" si="156"/>
        <v/>
      </c>
      <c r="AJ238" s="29" t="str">
        <f t="shared" si="157"/>
        <v/>
      </c>
      <c r="AK238" s="2"/>
      <c r="AL238" s="2"/>
      <c r="AM238" s="2"/>
      <c r="AN238" s="2"/>
      <c r="AO238" s="2"/>
      <c r="AP238" s="2"/>
      <c r="AQ238" s="2"/>
      <c r="AR238" s="2"/>
      <c r="AS238" s="2"/>
      <c r="AT238" s="2"/>
      <c r="AU238" s="2"/>
      <c r="AV238" s="2"/>
      <c r="AW238" s="2"/>
      <c r="AX238" s="2"/>
      <c r="AY238" s="2"/>
      <c r="AZ238" s="2"/>
      <c r="BA238" s="2"/>
      <c r="BB238" s="2"/>
      <c r="BC238" s="2"/>
    </row>
    <row r="239" spans="1:55" x14ac:dyDescent="0.25">
      <c r="D239" s="54"/>
      <c r="E239" s="54"/>
      <c r="F239" s="54"/>
      <c r="G239" s="54"/>
      <c r="H239" s="54"/>
      <c r="I239" s="54"/>
      <c r="J239" s="2"/>
      <c r="K239" s="2"/>
      <c r="L239" s="2"/>
      <c r="M239" s="2"/>
      <c r="N239" s="2"/>
      <c r="O239" s="2"/>
      <c r="P239" s="2"/>
      <c r="Q239" s="2"/>
      <c r="R239" s="2"/>
      <c r="S239" s="2"/>
      <c r="T239" s="2"/>
      <c r="U239" s="2"/>
      <c r="V239" s="2"/>
      <c r="W239" s="2"/>
      <c r="X239" s="2"/>
      <c r="Y239" s="2"/>
      <c r="Z239" s="2"/>
      <c r="AA239" s="264">
        <v>235</v>
      </c>
      <c r="AB239" s="16" t="str">
        <f t="shared" si="158"/>
        <v/>
      </c>
      <c r="AC239" s="16" t="str">
        <f t="shared" si="159"/>
        <v/>
      </c>
      <c r="AD239" s="16" t="str">
        <f t="shared" si="153"/>
        <v/>
      </c>
      <c r="AE239" s="16" t="str">
        <f t="shared" si="154"/>
        <v/>
      </c>
      <c r="AF239" s="16" t="str">
        <f t="shared" si="155"/>
        <v/>
      </c>
      <c r="AG239" s="16" t="str">
        <f t="shared" si="160"/>
        <v/>
      </c>
      <c r="AH239" s="16" t="str">
        <f t="shared" si="161"/>
        <v/>
      </c>
      <c r="AI239" s="29" t="str">
        <f t="shared" si="156"/>
        <v/>
      </c>
      <c r="AJ239" s="29" t="str">
        <f t="shared" si="157"/>
        <v/>
      </c>
      <c r="AK239" s="2"/>
      <c r="AL239" s="2"/>
      <c r="AM239" s="2"/>
      <c r="AN239" s="2"/>
      <c r="AO239" s="2"/>
      <c r="AP239" s="2"/>
      <c r="AQ239" s="2"/>
      <c r="AR239" s="2"/>
      <c r="AS239" s="2"/>
      <c r="AT239" s="2"/>
      <c r="AU239" s="2"/>
      <c r="AV239" s="2"/>
      <c r="AW239" s="2"/>
      <c r="AX239" s="2"/>
      <c r="AY239" s="2"/>
      <c r="AZ239" s="2"/>
      <c r="BA239" s="2"/>
      <c r="BB239" s="2"/>
      <c r="BC239" s="2"/>
    </row>
    <row r="240" spans="1:55" x14ac:dyDescent="0.25">
      <c r="D240" s="54"/>
      <c r="E240" s="54"/>
      <c r="F240" s="54"/>
      <c r="G240" s="54"/>
      <c r="H240" s="54"/>
      <c r="I240" s="54"/>
      <c r="J240" s="2"/>
      <c r="K240" s="2"/>
      <c r="L240" s="2"/>
      <c r="M240" s="2"/>
      <c r="N240" s="2"/>
      <c r="O240" s="2"/>
      <c r="P240" s="2"/>
      <c r="Q240" s="2"/>
      <c r="R240" s="2"/>
      <c r="S240" s="2"/>
      <c r="T240" s="2"/>
      <c r="U240" s="2"/>
      <c r="V240" s="2"/>
      <c r="W240" s="2"/>
      <c r="X240" s="2"/>
      <c r="Y240" s="2"/>
      <c r="Z240" s="2"/>
      <c r="AA240" s="264">
        <v>236</v>
      </c>
      <c r="AB240" s="16" t="str">
        <f t="shared" si="158"/>
        <v/>
      </c>
      <c r="AC240" s="16" t="str">
        <f t="shared" si="159"/>
        <v/>
      </c>
      <c r="AD240" s="16" t="str">
        <f t="shared" si="153"/>
        <v/>
      </c>
      <c r="AE240" s="16" t="str">
        <f t="shared" si="154"/>
        <v/>
      </c>
      <c r="AF240" s="16" t="str">
        <f t="shared" si="155"/>
        <v/>
      </c>
      <c r="AG240" s="16" t="str">
        <f t="shared" si="160"/>
        <v/>
      </c>
      <c r="AH240" s="16" t="str">
        <f t="shared" si="161"/>
        <v/>
      </c>
      <c r="AI240" s="29" t="str">
        <f t="shared" si="156"/>
        <v/>
      </c>
      <c r="AJ240" s="29" t="str">
        <f t="shared" si="157"/>
        <v/>
      </c>
      <c r="AK240" s="2"/>
      <c r="AL240" s="2"/>
      <c r="AM240" s="2"/>
      <c r="AN240" s="2"/>
      <c r="AO240" s="2"/>
      <c r="AP240" s="2"/>
      <c r="AQ240" s="2"/>
      <c r="AR240" s="2"/>
      <c r="AS240" s="2"/>
      <c r="AT240" s="2"/>
      <c r="AU240" s="2"/>
      <c r="AV240" s="2"/>
      <c r="AW240" s="2"/>
      <c r="AX240" s="2"/>
      <c r="AY240" s="2"/>
      <c r="AZ240" s="2"/>
      <c r="BA240" s="2"/>
      <c r="BB240" s="2"/>
      <c r="BC240" s="2"/>
    </row>
    <row r="241" spans="1:55" x14ac:dyDescent="0.25">
      <c r="D241" s="54"/>
      <c r="E241" s="54"/>
      <c r="F241" s="54"/>
      <c r="G241" s="54"/>
      <c r="H241" s="54"/>
      <c r="I241" s="54"/>
      <c r="J241" s="2"/>
      <c r="K241" s="2"/>
      <c r="L241" s="2"/>
      <c r="M241" s="2"/>
      <c r="N241" s="2"/>
      <c r="O241" s="2"/>
      <c r="P241" s="2"/>
      <c r="Q241" s="2"/>
      <c r="R241" s="2"/>
      <c r="S241" s="2"/>
      <c r="T241" s="2"/>
      <c r="U241" s="2"/>
      <c r="V241" s="2"/>
      <c r="W241" s="2"/>
      <c r="X241" s="2"/>
      <c r="Y241" s="2"/>
      <c r="Z241" s="2"/>
      <c r="AA241" s="264">
        <v>237</v>
      </c>
      <c r="AB241" s="16" t="str">
        <f t="shared" si="158"/>
        <v/>
      </c>
      <c r="AC241" s="16" t="str">
        <f t="shared" si="159"/>
        <v/>
      </c>
      <c r="AD241" s="16" t="str">
        <f t="shared" si="153"/>
        <v/>
      </c>
      <c r="AE241" s="16" t="str">
        <f t="shared" si="154"/>
        <v/>
      </c>
      <c r="AF241" s="16" t="str">
        <f t="shared" si="155"/>
        <v/>
      </c>
      <c r="AG241" s="16" t="str">
        <f t="shared" si="160"/>
        <v/>
      </c>
      <c r="AH241" s="16" t="str">
        <f t="shared" si="161"/>
        <v/>
      </c>
      <c r="AI241" s="29" t="str">
        <f t="shared" si="156"/>
        <v/>
      </c>
      <c r="AJ241" s="29" t="str">
        <f t="shared" si="157"/>
        <v/>
      </c>
      <c r="AK241" s="2"/>
      <c r="AL241" s="2"/>
      <c r="AM241" s="2"/>
      <c r="AN241" s="2"/>
      <c r="AO241" s="2"/>
      <c r="AP241" s="2"/>
      <c r="AQ241" s="2"/>
      <c r="AR241" s="2"/>
      <c r="AS241" s="2"/>
      <c r="AT241" s="2"/>
      <c r="AU241" s="2"/>
      <c r="AV241" s="2"/>
      <c r="AW241" s="2"/>
      <c r="AX241" s="2"/>
      <c r="AY241" s="2"/>
      <c r="AZ241" s="2"/>
      <c r="BA241" s="2"/>
      <c r="BB241" s="2"/>
      <c r="BC241" s="2"/>
    </row>
    <row r="242" spans="1:55" x14ac:dyDescent="0.25">
      <c r="D242" s="54"/>
      <c r="E242" s="54"/>
      <c r="F242" s="54"/>
      <c r="G242" s="54"/>
      <c r="H242" s="54"/>
      <c r="I242" s="54"/>
      <c r="J242" s="2"/>
      <c r="K242" s="2"/>
      <c r="L242" s="2"/>
      <c r="M242" s="2"/>
      <c r="N242" s="2"/>
      <c r="O242" s="2"/>
      <c r="P242" s="2"/>
      <c r="Q242" s="2"/>
      <c r="R242" s="2"/>
      <c r="S242" s="2"/>
      <c r="T242" s="2"/>
      <c r="U242" s="2"/>
      <c r="V242" s="2"/>
      <c r="W242" s="2"/>
      <c r="X242" s="2"/>
      <c r="Y242" s="2"/>
      <c r="Z242" s="2"/>
      <c r="AA242" s="264">
        <v>238</v>
      </c>
      <c r="AB242" s="16" t="str">
        <f t="shared" si="158"/>
        <v/>
      </c>
      <c r="AC242" s="16" t="str">
        <f t="shared" si="159"/>
        <v/>
      </c>
      <c r="AD242" s="16" t="str">
        <f t="shared" si="153"/>
        <v/>
      </c>
      <c r="AE242" s="16" t="str">
        <f t="shared" si="154"/>
        <v/>
      </c>
      <c r="AF242" s="16" t="str">
        <f t="shared" si="155"/>
        <v/>
      </c>
      <c r="AG242" s="16" t="str">
        <f t="shared" si="160"/>
        <v/>
      </c>
      <c r="AH242" s="16" t="str">
        <f t="shared" si="161"/>
        <v/>
      </c>
      <c r="AI242" s="29" t="str">
        <f t="shared" si="156"/>
        <v/>
      </c>
      <c r="AJ242" s="29" t="str">
        <f t="shared" si="157"/>
        <v/>
      </c>
      <c r="AK242" s="2"/>
      <c r="AL242" s="2"/>
      <c r="AM242" s="2"/>
      <c r="AN242" s="2"/>
      <c r="AO242" s="2"/>
      <c r="AP242" s="2"/>
      <c r="AQ242" s="2"/>
      <c r="AR242" s="2"/>
      <c r="AS242" s="2"/>
      <c r="AT242" s="2"/>
      <c r="AU242" s="2"/>
      <c r="AV242" s="2"/>
      <c r="AW242" s="2"/>
      <c r="AX242" s="2"/>
      <c r="AY242" s="2"/>
      <c r="AZ242" s="2"/>
      <c r="BA242" s="2"/>
      <c r="BB242" s="2"/>
      <c r="BC242" s="2"/>
    </row>
    <row r="243" spans="1:55" x14ac:dyDescent="0.25">
      <c r="D243" s="54"/>
      <c r="E243" s="54"/>
      <c r="F243" s="54"/>
      <c r="G243" s="54"/>
      <c r="H243" s="54"/>
      <c r="I243" s="54"/>
      <c r="J243" s="2"/>
      <c r="K243" s="2"/>
      <c r="L243" s="2"/>
      <c r="M243" s="2"/>
      <c r="N243" s="2"/>
      <c r="O243" s="2"/>
      <c r="P243" s="2"/>
      <c r="Q243" s="2"/>
      <c r="R243" s="2"/>
      <c r="S243" s="2"/>
      <c r="T243" s="2"/>
      <c r="U243" s="2"/>
      <c r="V243" s="2"/>
      <c r="W243" s="2"/>
      <c r="X243" s="2"/>
      <c r="Y243" s="2"/>
      <c r="Z243" s="2"/>
      <c r="AA243" s="264">
        <v>239</v>
      </c>
      <c r="AB243" s="16" t="str">
        <f t="shared" si="158"/>
        <v/>
      </c>
      <c r="AC243" s="16" t="str">
        <f t="shared" si="159"/>
        <v/>
      </c>
      <c r="AD243" s="16" t="str">
        <f t="shared" si="153"/>
        <v/>
      </c>
      <c r="AE243" s="16" t="str">
        <f t="shared" si="154"/>
        <v/>
      </c>
      <c r="AF243" s="16" t="str">
        <f t="shared" si="155"/>
        <v/>
      </c>
      <c r="AG243" s="16" t="str">
        <f t="shared" si="160"/>
        <v/>
      </c>
      <c r="AH243" s="16" t="str">
        <f t="shared" si="161"/>
        <v/>
      </c>
      <c r="AI243" s="29" t="str">
        <f t="shared" si="156"/>
        <v/>
      </c>
      <c r="AJ243" s="29" t="str">
        <f t="shared" si="157"/>
        <v/>
      </c>
      <c r="AK243" s="2"/>
      <c r="AL243" s="2"/>
      <c r="AM243" s="2"/>
      <c r="AN243" s="2"/>
      <c r="AO243" s="2"/>
      <c r="AP243" s="2"/>
      <c r="AQ243" s="2"/>
      <c r="AR243" s="2"/>
      <c r="AS243" s="2"/>
      <c r="AT243" s="2"/>
      <c r="AU243" s="2"/>
      <c r="AV243" s="2"/>
      <c r="AW243" s="2"/>
      <c r="AX243" s="2"/>
      <c r="AY243" s="2"/>
      <c r="AZ243" s="2"/>
      <c r="BA243" s="2"/>
      <c r="BB243" s="2"/>
      <c r="BC243" s="2"/>
    </row>
    <row r="244" spans="1:55" x14ac:dyDescent="0.25">
      <c r="D244" s="54"/>
      <c r="E244" s="54"/>
      <c r="F244" s="54"/>
      <c r="G244" s="54"/>
      <c r="H244" s="54"/>
      <c r="I244" s="54"/>
      <c r="J244" s="2"/>
      <c r="K244" s="2"/>
      <c r="L244" s="2"/>
      <c r="M244" s="2"/>
      <c r="N244" s="2"/>
      <c r="O244" s="2"/>
      <c r="P244" s="2"/>
      <c r="Q244" s="2"/>
      <c r="R244" s="2"/>
      <c r="S244" s="2"/>
      <c r="T244" s="2"/>
      <c r="U244" s="2"/>
      <c r="V244" s="2"/>
      <c r="W244" s="2"/>
      <c r="X244" s="2"/>
      <c r="Y244" s="2"/>
      <c r="Z244" s="2"/>
      <c r="AA244" s="264">
        <v>240</v>
      </c>
      <c r="AB244" s="16" t="str">
        <f t="shared" si="158"/>
        <v/>
      </c>
      <c r="AC244" s="16" t="str">
        <f t="shared" si="159"/>
        <v/>
      </c>
      <c r="AD244" s="16" t="str">
        <f t="shared" si="153"/>
        <v/>
      </c>
      <c r="AE244" s="16" t="str">
        <f t="shared" si="154"/>
        <v/>
      </c>
      <c r="AF244" s="16" t="str">
        <f t="shared" si="155"/>
        <v/>
      </c>
      <c r="AG244" s="16" t="str">
        <f t="shared" si="160"/>
        <v/>
      </c>
      <c r="AH244" s="16" t="str">
        <f t="shared" si="161"/>
        <v/>
      </c>
      <c r="AI244" s="29" t="str">
        <f t="shared" si="156"/>
        <v/>
      </c>
      <c r="AJ244" s="29" t="str">
        <f t="shared" si="157"/>
        <v/>
      </c>
      <c r="AK244" s="2"/>
      <c r="AL244" s="2"/>
      <c r="AM244" s="2"/>
      <c r="AN244" s="2"/>
      <c r="AO244" s="2"/>
      <c r="AP244" s="2"/>
      <c r="AQ244" s="2"/>
      <c r="AR244" s="2"/>
      <c r="AS244" s="2"/>
      <c r="AT244" s="2"/>
      <c r="AU244" s="2"/>
      <c r="AV244" s="2"/>
      <c r="AW244" s="2"/>
      <c r="AX244" s="2"/>
      <c r="AY244" s="2"/>
      <c r="AZ244" s="2"/>
      <c r="BA244" s="2"/>
      <c r="BB244" s="2"/>
      <c r="BC244" s="2"/>
    </row>
    <row r="245" spans="1:55" x14ac:dyDescent="0.25">
      <c r="D245" s="54"/>
      <c r="E245" s="54"/>
      <c r="F245" s="54"/>
      <c r="G245" s="54"/>
      <c r="H245" s="54"/>
      <c r="I245" s="54"/>
      <c r="J245" s="2"/>
      <c r="K245" s="2"/>
      <c r="L245" s="2"/>
      <c r="M245" s="2"/>
      <c r="N245" s="2"/>
      <c r="O245" s="2"/>
      <c r="P245" s="2"/>
      <c r="Q245" s="2"/>
      <c r="R245" s="2"/>
      <c r="S245" s="2"/>
      <c r="T245" s="2"/>
      <c r="U245" s="2"/>
      <c r="V245" s="2"/>
      <c r="W245" s="2"/>
      <c r="X245" s="2"/>
      <c r="Y245" s="2"/>
      <c r="Z245" s="2"/>
      <c r="AA245" s="264">
        <v>241</v>
      </c>
      <c r="AB245" s="16" t="str">
        <f t="shared" si="158"/>
        <v/>
      </c>
      <c r="AC245" s="16" t="str">
        <f t="shared" si="159"/>
        <v/>
      </c>
      <c r="AD245" s="16" t="str">
        <f t="shared" si="153"/>
        <v/>
      </c>
      <c r="AE245" s="16" t="str">
        <f t="shared" si="154"/>
        <v/>
      </c>
      <c r="AF245" s="16" t="str">
        <f t="shared" si="155"/>
        <v/>
      </c>
      <c r="AG245" s="16" t="str">
        <f t="shared" si="160"/>
        <v/>
      </c>
      <c r="AH245" s="16" t="str">
        <f t="shared" si="161"/>
        <v/>
      </c>
      <c r="AI245" s="29" t="str">
        <f t="shared" si="156"/>
        <v/>
      </c>
      <c r="AJ245" s="29" t="str">
        <f t="shared" si="157"/>
        <v/>
      </c>
      <c r="AK245" s="2"/>
      <c r="AL245" s="2"/>
      <c r="AM245" s="2"/>
      <c r="AN245" s="2"/>
      <c r="AO245" s="2"/>
      <c r="AP245" s="2"/>
      <c r="AQ245" s="2"/>
      <c r="AR245" s="2"/>
      <c r="AS245" s="2"/>
      <c r="AT245" s="2"/>
      <c r="AU245" s="2"/>
      <c r="AV245" s="2"/>
      <c r="AW245" s="2"/>
      <c r="AX245" s="2"/>
      <c r="AY245" s="2"/>
      <c r="AZ245" s="2"/>
      <c r="BA245" s="2"/>
      <c r="BB245" s="2"/>
      <c r="BC245" s="2"/>
    </row>
    <row r="246" spans="1:55" x14ac:dyDescent="0.25">
      <c r="D246" s="54"/>
      <c r="E246" s="54"/>
      <c r="F246" s="54"/>
      <c r="G246" s="54"/>
      <c r="H246" s="54"/>
      <c r="I246" s="54"/>
      <c r="J246" s="2"/>
      <c r="K246" s="2"/>
      <c r="L246" s="2"/>
      <c r="M246" s="2"/>
      <c r="N246" s="2"/>
      <c r="O246" s="2"/>
      <c r="P246" s="2"/>
      <c r="Q246" s="2"/>
      <c r="R246" s="2"/>
      <c r="S246" s="2"/>
      <c r="T246" s="2"/>
      <c r="U246" s="2"/>
      <c r="V246" s="2"/>
      <c r="W246" s="2"/>
      <c r="X246" s="2"/>
      <c r="Y246" s="2"/>
      <c r="Z246" s="2"/>
      <c r="AA246" s="264">
        <v>242</v>
      </c>
      <c r="AB246" s="16" t="str">
        <f t="shared" si="158"/>
        <v/>
      </c>
      <c r="AC246" s="16" t="str">
        <f t="shared" si="159"/>
        <v/>
      </c>
      <c r="AD246" s="16" t="str">
        <f t="shared" si="153"/>
        <v/>
      </c>
      <c r="AE246" s="16" t="str">
        <f t="shared" si="154"/>
        <v/>
      </c>
      <c r="AF246" s="16" t="str">
        <f t="shared" si="155"/>
        <v/>
      </c>
      <c r="AG246" s="16" t="str">
        <f t="shared" si="160"/>
        <v/>
      </c>
      <c r="AH246" s="16" t="str">
        <f t="shared" si="161"/>
        <v/>
      </c>
      <c r="AI246" s="29" t="str">
        <f t="shared" si="156"/>
        <v/>
      </c>
      <c r="AJ246" s="29" t="str">
        <f t="shared" si="157"/>
        <v/>
      </c>
      <c r="AK246" s="2"/>
      <c r="AL246" s="2"/>
      <c r="AM246" s="2"/>
      <c r="AN246" s="2"/>
      <c r="AO246" s="2"/>
      <c r="AP246" s="2"/>
      <c r="AQ246" s="2"/>
      <c r="AR246" s="2"/>
      <c r="AS246" s="2"/>
      <c r="AT246" s="2"/>
      <c r="AU246" s="2"/>
      <c r="AV246" s="2"/>
      <c r="AW246" s="2"/>
      <c r="AX246" s="2"/>
      <c r="AY246" s="2"/>
      <c r="AZ246" s="2"/>
      <c r="BA246" s="2"/>
      <c r="BB246" s="2"/>
      <c r="BC246" s="2"/>
    </row>
    <row r="247" spans="1:55" x14ac:dyDescent="0.25">
      <c r="D247" s="54"/>
      <c r="E247" s="54"/>
      <c r="F247" s="54"/>
      <c r="G247" s="54"/>
      <c r="H247" s="54"/>
      <c r="I247" s="54"/>
      <c r="J247" s="2"/>
      <c r="K247" s="2"/>
      <c r="L247" s="2"/>
      <c r="M247" s="2"/>
      <c r="N247" s="2"/>
      <c r="O247" s="2"/>
      <c r="P247" s="2"/>
      <c r="Q247" s="2"/>
      <c r="R247" s="2"/>
      <c r="S247" s="2"/>
      <c r="T247" s="2"/>
      <c r="U247" s="2"/>
      <c r="V247" s="2"/>
      <c r="W247" s="2"/>
      <c r="X247" s="2"/>
      <c r="Y247" s="2"/>
      <c r="Z247" s="2"/>
      <c r="AA247" s="264">
        <v>243</v>
      </c>
      <c r="AB247" s="16" t="str">
        <f t="shared" si="158"/>
        <v/>
      </c>
      <c r="AC247" s="16" t="str">
        <f t="shared" si="159"/>
        <v/>
      </c>
      <c r="AD247" s="16" t="str">
        <f t="shared" si="153"/>
        <v/>
      </c>
      <c r="AE247" s="16" t="str">
        <f t="shared" si="154"/>
        <v/>
      </c>
      <c r="AF247" s="16" t="str">
        <f t="shared" si="155"/>
        <v/>
      </c>
      <c r="AG247" s="16" t="str">
        <f t="shared" si="160"/>
        <v/>
      </c>
      <c r="AH247" s="16" t="str">
        <f t="shared" si="161"/>
        <v/>
      </c>
      <c r="AI247" s="29" t="str">
        <f t="shared" si="156"/>
        <v/>
      </c>
      <c r="AJ247" s="29" t="str">
        <f t="shared" si="157"/>
        <v/>
      </c>
      <c r="AK247" s="2"/>
      <c r="AL247" s="2"/>
      <c r="AM247" s="2"/>
      <c r="AN247" s="2"/>
      <c r="AO247" s="2"/>
      <c r="AP247" s="2"/>
      <c r="AQ247" s="2"/>
      <c r="AR247" s="2"/>
      <c r="AS247" s="2"/>
      <c r="AT247" s="2"/>
      <c r="AU247" s="2"/>
      <c r="AV247" s="2"/>
      <c r="AW247" s="2"/>
      <c r="AX247" s="2"/>
      <c r="AY247" s="2"/>
      <c r="AZ247" s="2"/>
      <c r="BA247" s="2"/>
      <c r="BB247" s="2"/>
      <c r="BC247" s="2"/>
    </row>
    <row r="248" spans="1:55" x14ac:dyDescent="0.25">
      <c r="D248" s="54"/>
      <c r="E248" s="54"/>
      <c r="F248" s="54"/>
      <c r="G248" s="54"/>
      <c r="H248" s="54"/>
      <c r="I248" s="54"/>
      <c r="J248" s="2"/>
      <c r="K248" s="2"/>
      <c r="L248" s="2"/>
      <c r="M248" s="2"/>
      <c r="N248" s="2"/>
      <c r="O248" s="2"/>
      <c r="P248" s="2"/>
      <c r="Q248" s="2"/>
      <c r="R248" s="2"/>
      <c r="S248" s="2"/>
      <c r="T248" s="2"/>
      <c r="U248" s="2"/>
      <c r="V248" s="2"/>
      <c r="W248" s="2"/>
      <c r="X248" s="2"/>
      <c r="Y248" s="2"/>
      <c r="Z248" s="2"/>
      <c r="AA248" s="264">
        <v>244</v>
      </c>
      <c r="AB248" s="16" t="str">
        <f t="shared" si="158"/>
        <v/>
      </c>
      <c r="AC248" s="16" t="str">
        <f t="shared" si="159"/>
        <v/>
      </c>
      <c r="AD248" s="16" t="str">
        <f t="shared" si="153"/>
        <v/>
      </c>
      <c r="AE248" s="16" t="str">
        <f t="shared" si="154"/>
        <v/>
      </c>
      <c r="AF248" s="16" t="str">
        <f t="shared" si="155"/>
        <v/>
      </c>
      <c r="AG248" s="16" t="str">
        <f t="shared" si="160"/>
        <v/>
      </c>
      <c r="AH248" s="16" t="str">
        <f t="shared" si="161"/>
        <v/>
      </c>
      <c r="AI248" s="29" t="str">
        <f t="shared" si="156"/>
        <v/>
      </c>
      <c r="AJ248" s="29" t="str">
        <f t="shared" si="157"/>
        <v/>
      </c>
      <c r="AK248" s="2"/>
      <c r="AL248" s="2"/>
      <c r="AM248" s="2"/>
      <c r="AN248" s="2"/>
      <c r="AO248" s="2"/>
      <c r="AP248" s="2"/>
      <c r="AQ248" s="2"/>
      <c r="AR248" s="2"/>
      <c r="AS248" s="2"/>
      <c r="AT248" s="2"/>
      <c r="AU248" s="2"/>
      <c r="AV248" s="2"/>
      <c r="AW248" s="2"/>
      <c r="AX248" s="2"/>
      <c r="AY248" s="2"/>
      <c r="AZ248" s="2"/>
      <c r="BA248" s="2"/>
      <c r="BB248" s="2"/>
      <c r="BC248" s="2"/>
    </row>
    <row r="249" spans="1:55" x14ac:dyDescent="0.25">
      <c r="D249" s="54"/>
      <c r="E249" s="54"/>
      <c r="F249" s="54"/>
      <c r="G249" s="54"/>
      <c r="H249" s="54"/>
      <c r="I249" s="54"/>
      <c r="J249" s="2"/>
      <c r="K249" s="2"/>
      <c r="L249" s="2"/>
      <c r="M249" s="2"/>
      <c r="N249" s="2"/>
      <c r="O249" s="2"/>
      <c r="P249" s="2"/>
      <c r="Q249" s="2"/>
      <c r="R249" s="2"/>
      <c r="S249" s="2"/>
      <c r="T249" s="2"/>
      <c r="U249" s="2"/>
      <c r="V249" s="2"/>
      <c r="W249" s="2"/>
      <c r="X249" s="2"/>
      <c r="Y249" s="2"/>
      <c r="Z249" s="2"/>
      <c r="AA249" s="264">
        <v>245</v>
      </c>
      <c r="AB249" s="16" t="str">
        <f t="shared" si="158"/>
        <v/>
      </c>
      <c r="AC249" s="16" t="str">
        <f t="shared" si="159"/>
        <v/>
      </c>
      <c r="AD249" s="16" t="str">
        <f t="shared" si="153"/>
        <v/>
      </c>
      <c r="AE249" s="16" t="str">
        <f t="shared" si="154"/>
        <v/>
      </c>
      <c r="AF249" s="16" t="str">
        <f t="shared" si="155"/>
        <v/>
      </c>
      <c r="AG249" s="16" t="str">
        <f t="shared" si="160"/>
        <v/>
      </c>
      <c r="AH249" s="16" t="str">
        <f t="shared" si="161"/>
        <v/>
      </c>
      <c r="AI249" s="29" t="str">
        <f t="shared" si="156"/>
        <v/>
      </c>
      <c r="AJ249" s="29" t="str">
        <f t="shared" si="157"/>
        <v/>
      </c>
      <c r="AK249" s="2"/>
      <c r="AL249" s="2"/>
      <c r="AM249" s="2"/>
      <c r="AN249" s="2"/>
      <c r="AO249" s="2"/>
      <c r="AP249" s="2"/>
      <c r="AQ249" s="2"/>
      <c r="AR249" s="2"/>
      <c r="AS249" s="2"/>
      <c r="AT249" s="2"/>
      <c r="AU249" s="2"/>
      <c r="AV249" s="2"/>
      <c r="AW249" s="2"/>
      <c r="AX249" s="2"/>
      <c r="AY249" s="2"/>
      <c r="AZ249" s="2"/>
      <c r="BA249" s="2"/>
      <c r="BB249" s="2"/>
      <c r="BC249" s="2"/>
    </row>
    <row r="250" spans="1:55" x14ac:dyDescent="0.25">
      <c r="D250" s="54"/>
      <c r="E250" s="54"/>
      <c r="F250" s="54"/>
      <c r="G250" s="54"/>
      <c r="H250" s="54"/>
      <c r="I250" s="54"/>
      <c r="J250" s="2"/>
      <c r="K250" s="2"/>
      <c r="L250" s="2"/>
      <c r="M250" s="2"/>
      <c r="N250" s="2"/>
      <c r="O250" s="2"/>
      <c r="P250" s="2"/>
      <c r="Q250" s="2"/>
      <c r="R250" s="2"/>
      <c r="S250" s="2"/>
      <c r="T250" s="2"/>
      <c r="U250" s="2"/>
      <c r="V250" s="2"/>
      <c r="W250" s="2"/>
      <c r="X250" s="2"/>
      <c r="Y250" s="2"/>
      <c r="Z250" s="2"/>
      <c r="AA250" s="264">
        <v>246</v>
      </c>
      <c r="AB250" s="16" t="str">
        <f t="shared" si="158"/>
        <v/>
      </c>
      <c r="AC250" s="16" t="str">
        <f t="shared" si="159"/>
        <v/>
      </c>
      <c r="AD250" s="16" t="str">
        <f t="shared" si="153"/>
        <v/>
      </c>
      <c r="AE250" s="16" t="str">
        <f t="shared" si="154"/>
        <v/>
      </c>
      <c r="AF250" s="16" t="str">
        <f t="shared" si="155"/>
        <v/>
      </c>
      <c r="AG250" s="16" t="str">
        <f t="shared" si="160"/>
        <v/>
      </c>
      <c r="AH250" s="16" t="str">
        <f t="shared" si="161"/>
        <v/>
      </c>
      <c r="AI250" s="29" t="str">
        <f t="shared" si="156"/>
        <v/>
      </c>
      <c r="AJ250" s="29" t="str">
        <f t="shared" si="157"/>
        <v/>
      </c>
      <c r="AK250" s="2"/>
      <c r="AL250" s="2"/>
      <c r="AM250" s="2"/>
      <c r="AN250" s="2"/>
      <c r="AO250" s="2"/>
      <c r="AP250" s="2"/>
      <c r="AQ250" s="2"/>
      <c r="AR250" s="2"/>
      <c r="AS250" s="2"/>
      <c r="AT250" s="2"/>
      <c r="AU250" s="2"/>
      <c r="AV250" s="2"/>
      <c r="AW250" s="2"/>
      <c r="AX250" s="2"/>
      <c r="AY250" s="2"/>
      <c r="AZ250" s="2"/>
      <c r="BA250" s="2"/>
      <c r="BB250" s="2"/>
      <c r="BC250" s="2"/>
    </row>
    <row r="251" spans="1:55" x14ac:dyDescent="0.25">
      <c r="D251" s="54"/>
      <c r="E251" s="54"/>
      <c r="F251" s="54"/>
      <c r="G251" s="54"/>
      <c r="H251" s="54"/>
      <c r="I251" s="54"/>
      <c r="J251" s="2"/>
      <c r="K251" s="2"/>
      <c r="L251" s="2"/>
      <c r="M251" s="2"/>
      <c r="N251" s="2"/>
      <c r="O251" s="2"/>
      <c r="P251" s="2"/>
      <c r="Q251" s="2"/>
      <c r="R251" s="2"/>
      <c r="S251" s="2"/>
      <c r="T251" s="2"/>
      <c r="U251" s="2"/>
      <c r="V251" s="2"/>
      <c r="W251" s="2"/>
      <c r="X251" s="2"/>
      <c r="Y251" s="2"/>
      <c r="Z251" s="2"/>
      <c r="AA251" s="264">
        <v>247</v>
      </c>
      <c r="AB251" s="16" t="str">
        <f t="shared" si="158"/>
        <v/>
      </c>
      <c r="AC251" s="16" t="str">
        <f t="shared" si="159"/>
        <v/>
      </c>
      <c r="AD251" s="16" t="str">
        <f t="shared" si="153"/>
        <v/>
      </c>
      <c r="AE251" s="16" t="str">
        <f t="shared" si="154"/>
        <v/>
      </c>
      <c r="AF251" s="16" t="str">
        <f t="shared" si="155"/>
        <v/>
      </c>
      <c r="AG251" s="16" t="str">
        <f t="shared" si="160"/>
        <v/>
      </c>
      <c r="AH251" s="16" t="str">
        <f t="shared" si="161"/>
        <v/>
      </c>
      <c r="AI251" s="29" t="str">
        <f t="shared" si="156"/>
        <v/>
      </c>
      <c r="AJ251" s="29" t="str">
        <f t="shared" si="157"/>
        <v/>
      </c>
      <c r="AK251" s="2"/>
      <c r="AL251" s="2"/>
      <c r="AM251" s="2"/>
      <c r="AN251" s="2"/>
      <c r="AO251" s="2"/>
      <c r="AP251" s="2"/>
      <c r="AQ251" s="2"/>
      <c r="AR251" s="2"/>
      <c r="AS251" s="2"/>
      <c r="AT251" s="2"/>
      <c r="AU251" s="2"/>
      <c r="AV251" s="2"/>
      <c r="AW251" s="2"/>
      <c r="AX251" s="2"/>
      <c r="AY251" s="2"/>
      <c r="AZ251" s="2"/>
      <c r="BA251" s="2"/>
      <c r="BB251" s="2"/>
      <c r="BC251" s="2"/>
    </row>
    <row r="252" spans="1:55" x14ac:dyDescent="0.25">
      <c r="D252" s="54"/>
      <c r="E252" s="54"/>
      <c r="F252" s="54"/>
      <c r="G252" s="54"/>
      <c r="H252" s="54"/>
      <c r="I252" s="54"/>
      <c r="J252" s="2"/>
      <c r="K252" s="2"/>
      <c r="L252" s="2"/>
      <c r="M252" s="2"/>
      <c r="N252" s="2"/>
      <c r="O252" s="2"/>
      <c r="P252" s="2"/>
      <c r="Q252" s="2"/>
      <c r="R252" s="2"/>
      <c r="S252" s="2"/>
      <c r="T252" s="2"/>
      <c r="U252" s="2"/>
      <c r="V252" s="2"/>
      <c r="W252" s="2"/>
      <c r="X252" s="2"/>
      <c r="Y252" s="2"/>
      <c r="Z252" s="2"/>
      <c r="AA252" s="264">
        <v>248</v>
      </c>
      <c r="AB252" s="16" t="str">
        <f t="shared" si="158"/>
        <v/>
      </c>
      <c r="AC252" s="16" t="str">
        <f t="shared" si="159"/>
        <v/>
      </c>
      <c r="AD252" s="16" t="str">
        <f t="shared" si="153"/>
        <v/>
      </c>
      <c r="AE252" s="16" t="str">
        <f t="shared" si="154"/>
        <v/>
      </c>
      <c r="AF252" s="16" t="str">
        <f t="shared" si="155"/>
        <v/>
      </c>
      <c r="AG252" s="16" t="str">
        <f t="shared" si="160"/>
        <v/>
      </c>
      <c r="AH252" s="16" t="str">
        <f t="shared" si="161"/>
        <v/>
      </c>
      <c r="AI252" s="29" t="str">
        <f t="shared" si="156"/>
        <v/>
      </c>
      <c r="AJ252" s="29" t="str">
        <f t="shared" si="157"/>
        <v/>
      </c>
      <c r="AK252" s="2"/>
      <c r="AL252" s="2"/>
      <c r="AM252" s="2"/>
      <c r="AN252" s="2"/>
      <c r="AO252" s="2"/>
      <c r="AP252" s="2"/>
      <c r="AQ252" s="2"/>
      <c r="AR252" s="2"/>
      <c r="AS252" s="2"/>
      <c r="AT252" s="2"/>
      <c r="AU252" s="2"/>
      <c r="AV252" s="2"/>
      <c r="AW252" s="2"/>
      <c r="AX252" s="2"/>
      <c r="AY252" s="2"/>
      <c r="AZ252" s="2"/>
      <c r="BA252" s="2"/>
      <c r="BB252" s="2"/>
      <c r="BC252" s="2"/>
    </row>
    <row r="253" spans="1:55" x14ac:dyDescent="0.25">
      <c r="A253" s="48"/>
      <c r="B253" s="54"/>
      <c r="C253" s="54"/>
      <c r="D253" s="54"/>
      <c r="E253" s="54"/>
      <c r="F253" s="54"/>
      <c r="G253" s="54"/>
      <c r="H253" s="54"/>
      <c r="I253" s="54"/>
      <c r="J253" s="2"/>
      <c r="K253" s="2"/>
      <c r="L253" s="2"/>
      <c r="M253" s="2"/>
      <c r="N253" s="2"/>
      <c r="O253" s="2"/>
      <c r="P253" s="2"/>
      <c r="Q253" s="2"/>
      <c r="R253" s="2"/>
      <c r="S253" s="2"/>
      <c r="T253" s="2"/>
      <c r="U253" s="2"/>
      <c r="V253" s="2"/>
      <c r="W253" s="2"/>
      <c r="X253" s="2"/>
      <c r="Y253" s="2"/>
      <c r="Z253" s="2"/>
      <c r="AA253" s="264">
        <v>249</v>
      </c>
      <c r="AB253" s="16" t="str">
        <f t="shared" si="158"/>
        <v/>
      </c>
      <c r="AC253" s="16" t="str">
        <f t="shared" si="159"/>
        <v/>
      </c>
      <c r="AD253" s="16" t="str">
        <f t="shared" si="153"/>
        <v/>
      </c>
      <c r="AE253" s="16" t="str">
        <f t="shared" si="154"/>
        <v/>
      </c>
      <c r="AF253" s="16" t="str">
        <f t="shared" si="155"/>
        <v/>
      </c>
      <c r="AG253" s="16" t="str">
        <f t="shared" si="160"/>
        <v/>
      </c>
      <c r="AH253" s="16" t="str">
        <f t="shared" si="161"/>
        <v/>
      </c>
      <c r="AI253" s="29" t="str">
        <f t="shared" si="156"/>
        <v/>
      </c>
      <c r="AJ253" s="29" t="str">
        <f t="shared" si="157"/>
        <v/>
      </c>
      <c r="AK253" s="2"/>
      <c r="AL253" s="2"/>
      <c r="AM253" s="2"/>
      <c r="AN253" s="2"/>
      <c r="AO253" s="2"/>
      <c r="AP253" s="2"/>
      <c r="AQ253" s="2"/>
      <c r="AR253" s="2"/>
      <c r="AS253" s="2"/>
      <c r="AT253" s="2"/>
      <c r="AU253" s="2"/>
      <c r="AV253" s="2"/>
      <c r="AW253" s="2"/>
      <c r="AX253" s="2"/>
      <c r="AY253" s="2"/>
      <c r="AZ253" s="2"/>
      <c r="BA253" s="2"/>
      <c r="BB253" s="2"/>
      <c r="BC253" s="2"/>
    </row>
    <row r="254" spans="1:55" x14ac:dyDescent="0.25">
      <c r="A254" s="48"/>
      <c r="B254" s="54"/>
      <c r="C254" s="54"/>
      <c r="D254" s="54"/>
      <c r="E254" s="54"/>
      <c r="F254" s="54"/>
      <c r="G254" s="54"/>
      <c r="H254" s="54"/>
      <c r="I254" s="54"/>
      <c r="J254" s="2"/>
      <c r="K254" s="2"/>
      <c r="L254" s="2"/>
      <c r="M254" s="2"/>
      <c r="N254" s="2"/>
      <c r="O254" s="2"/>
      <c r="P254" s="2"/>
      <c r="Q254" s="2"/>
      <c r="R254" s="2"/>
      <c r="S254" s="2"/>
      <c r="T254" s="2"/>
      <c r="U254" s="2"/>
      <c r="V254" s="2"/>
      <c r="W254" s="2"/>
      <c r="X254" s="2"/>
      <c r="Y254" s="2"/>
      <c r="Z254" s="2"/>
      <c r="AA254" s="264">
        <v>250</v>
      </c>
      <c r="AB254" s="16" t="str">
        <f t="shared" si="158"/>
        <v/>
      </c>
      <c r="AC254" s="16" t="str">
        <f t="shared" si="159"/>
        <v/>
      </c>
      <c r="AD254" s="16" t="str">
        <f t="shared" si="153"/>
        <v/>
      </c>
      <c r="AE254" s="16" t="str">
        <f t="shared" si="154"/>
        <v/>
      </c>
      <c r="AF254" s="16" t="str">
        <f t="shared" si="155"/>
        <v/>
      </c>
      <c r="AG254" s="16" t="str">
        <f t="shared" si="160"/>
        <v/>
      </c>
      <c r="AH254" s="16" t="str">
        <f t="shared" si="161"/>
        <v/>
      </c>
      <c r="AI254" s="29" t="str">
        <f t="shared" si="156"/>
        <v/>
      </c>
      <c r="AJ254" s="29" t="str">
        <f t="shared" si="157"/>
        <v/>
      </c>
      <c r="AK254" s="2"/>
      <c r="AL254" s="2"/>
      <c r="AM254" s="2"/>
      <c r="AN254" s="2"/>
      <c r="AO254" s="2"/>
      <c r="AP254" s="2"/>
      <c r="AQ254" s="2"/>
      <c r="AR254" s="2"/>
      <c r="AS254" s="2"/>
      <c r="AT254" s="2"/>
      <c r="AU254" s="2"/>
      <c r="AV254" s="2"/>
      <c r="AW254" s="2"/>
      <c r="AX254" s="2"/>
      <c r="AY254" s="2"/>
      <c r="AZ254" s="2"/>
      <c r="BA254" s="2"/>
      <c r="BB254" s="2"/>
      <c r="BC254" s="2"/>
    </row>
    <row r="255" spans="1:55" x14ac:dyDescent="0.25">
      <c r="D255" s="54"/>
      <c r="E255" s="54"/>
      <c r="F255" s="54"/>
      <c r="G255" s="54"/>
      <c r="H255" s="54"/>
      <c r="I255" s="54"/>
      <c r="J255" s="2"/>
      <c r="K255" s="2"/>
      <c r="L255" s="2"/>
      <c r="M255" s="2"/>
      <c r="N255" s="2"/>
      <c r="O255" s="2"/>
      <c r="P255" s="2"/>
      <c r="Q255" s="2"/>
      <c r="R255" s="2"/>
      <c r="S255" s="2"/>
      <c r="T255" s="2"/>
      <c r="U255" s="2"/>
      <c r="V255" s="2"/>
      <c r="W255" s="2"/>
      <c r="X255" s="2"/>
      <c r="Y255" s="2"/>
      <c r="Z255" s="2"/>
      <c r="AA255" s="264">
        <v>251</v>
      </c>
      <c r="AB255" s="16" t="str">
        <f t="shared" ref="AB255:AB304" si="180">IF($C$9&gt;=$AA255,$R13+0.000001-$AB$410,"")</f>
        <v/>
      </c>
      <c r="AC255" s="16" t="str">
        <f t="shared" ref="AC255:AC304" si="181">IF($C$9&gt;=$AA255,$Q13+0.000001-$AB$409,"")</f>
        <v/>
      </c>
      <c r="AD255" s="16" t="str">
        <f t="shared" si="153"/>
        <v/>
      </c>
      <c r="AE255" s="16" t="str">
        <f t="shared" si="154"/>
        <v/>
      </c>
      <c r="AF255" s="16" t="str">
        <f t="shared" si="155"/>
        <v/>
      </c>
      <c r="AG255" s="16" t="str">
        <f t="shared" ref="AG255:AG304" si="182">IF($C$9&gt;=$AA255,$Q13-$AB$409,"")</f>
        <v/>
      </c>
      <c r="AH255" s="16" t="str">
        <f t="shared" ref="AH255:AH304" si="183">IF($C$9&gt;=$AA255,$R13-$AB$410,"")</f>
        <v/>
      </c>
      <c r="AI255" s="29" t="str">
        <f t="shared" si="156"/>
        <v/>
      </c>
      <c r="AJ255" s="29" t="str">
        <f t="shared" si="157"/>
        <v/>
      </c>
      <c r="AK255" s="2"/>
      <c r="AL255" s="2"/>
      <c r="AM255" s="2"/>
      <c r="AN255" s="2"/>
      <c r="AO255" s="2"/>
      <c r="AP255" s="2"/>
      <c r="AQ255" s="2"/>
      <c r="AR255" s="2"/>
      <c r="AS255" s="2"/>
      <c r="AT255" s="2"/>
      <c r="AU255" s="2"/>
      <c r="AV255" s="2"/>
      <c r="AW255" s="2"/>
      <c r="AX255" s="2"/>
      <c r="AY255" s="2"/>
      <c r="AZ255" s="2"/>
      <c r="BA255" s="2"/>
      <c r="BB255" s="2"/>
      <c r="BC255" s="2"/>
    </row>
    <row r="256" spans="1:55" x14ac:dyDescent="0.25">
      <c r="D256" s="54"/>
      <c r="E256" s="54"/>
      <c r="F256" s="54"/>
      <c r="G256" s="54"/>
      <c r="H256" s="54"/>
      <c r="I256" s="54"/>
      <c r="J256" s="2"/>
      <c r="K256" s="2"/>
      <c r="L256" s="2"/>
      <c r="M256" s="2"/>
      <c r="N256" s="2"/>
      <c r="O256" s="2"/>
      <c r="P256" s="2"/>
      <c r="Q256" s="2"/>
      <c r="R256" s="2"/>
      <c r="S256" s="2"/>
      <c r="T256" s="2"/>
      <c r="U256" s="2"/>
      <c r="V256" s="2"/>
      <c r="W256" s="2"/>
      <c r="X256" s="2"/>
      <c r="Y256" s="2"/>
      <c r="Z256" s="2"/>
      <c r="AA256" s="264">
        <v>252</v>
      </c>
      <c r="AB256" s="16" t="str">
        <f t="shared" si="180"/>
        <v/>
      </c>
      <c r="AC256" s="16" t="str">
        <f t="shared" si="181"/>
        <v/>
      </c>
      <c r="AD256" s="16" t="str">
        <f t="shared" si="153"/>
        <v/>
      </c>
      <c r="AE256" s="16" t="str">
        <f t="shared" si="154"/>
        <v/>
      </c>
      <c r="AF256" s="16" t="str">
        <f t="shared" si="155"/>
        <v/>
      </c>
      <c r="AG256" s="16" t="str">
        <f t="shared" si="182"/>
        <v/>
      </c>
      <c r="AH256" s="16" t="str">
        <f t="shared" si="183"/>
        <v/>
      </c>
      <c r="AI256" s="29" t="str">
        <f t="shared" si="156"/>
        <v/>
      </c>
      <c r="AJ256" s="29" t="str">
        <f t="shared" si="157"/>
        <v/>
      </c>
      <c r="AK256" s="2"/>
      <c r="AL256" s="2"/>
      <c r="AM256" s="2"/>
      <c r="AN256" s="2"/>
      <c r="AO256" s="2"/>
      <c r="AP256" s="2"/>
      <c r="AQ256" s="2"/>
      <c r="AR256" s="2"/>
      <c r="AS256" s="2"/>
      <c r="AT256" s="2"/>
      <c r="AU256" s="2"/>
      <c r="AV256" s="2"/>
      <c r="AW256" s="2"/>
      <c r="AX256" s="2"/>
      <c r="AY256" s="2"/>
      <c r="AZ256" s="2"/>
      <c r="BA256" s="2"/>
      <c r="BB256" s="2"/>
      <c r="BC256" s="2"/>
    </row>
    <row r="257" spans="4:55" x14ac:dyDescent="0.25">
      <c r="D257" s="82"/>
      <c r="E257" s="54"/>
      <c r="F257" s="54"/>
      <c r="G257" s="54"/>
      <c r="H257" s="54"/>
      <c r="I257" s="54"/>
      <c r="J257" s="2"/>
      <c r="K257" s="2"/>
      <c r="L257" s="2"/>
      <c r="M257" s="2"/>
      <c r="N257" s="2"/>
      <c r="O257" s="2"/>
      <c r="P257" s="2"/>
      <c r="Q257" s="2"/>
      <c r="R257" s="2"/>
      <c r="S257" s="2"/>
      <c r="T257" s="2"/>
      <c r="U257" s="2"/>
      <c r="V257" s="2"/>
      <c r="W257" s="2"/>
      <c r="X257" s="2"/>
      <c r="Y257" s="2"/>
      <c r="Z257" s="2"/>
      <c r="AA257" s="264">
        <v>253</v>
      </c>
      <c r="AB257" s="16" t="str">
        <f t="shared" si="180"/>
        <v/>
      </c>
      <c r="AC257" s="16" t="str">
        <f t="shared" si="181"/>
        <v/>
      </c>
      <c r="AD257" s="16" t="str">
        <f t="shared" si="153"/>
        <v/>
      </c>
      <c r="AE257" s="16" t="str">
        <f t="shared" si="154"/>
        <v/>
      </c>
      <c r="AF257" s="16" t="str">
        <f t="shared" si="155"/>
        <v/>
      </c>
      <c r="AG257" s="16" t="str">
        <f t="shared" si="182"/>
        <v/>
      </c>
      <c r="AH257" s="16" t="str">
        <f t="shared" si="183"/>
        <v/>
      </c>
      <c r="AI257" s="29" t="str">
        <f t="shared" si="156"/>
        <v/>
      </c>
      <c r="AJ257" s="29" t="str">
        <f t="shared" si="157"/>
        <v/>
      </c>
      <c r="AK257" s="2"/>
      <c r="AL257" s="2"/>
      <c r="AM257" s="2"/>
      <c r="AN257" s="2"/>
      <c r="AO257" s="2"/>
      <c r="AP257" s="2"/>
      <c r="AQ257" s="2"/>
      <c r="AR257" s="2"/>
      <c r="AS257" s="2"/>
      <c r="AT257" s="2"/>
      <c r="AU257" s="2"/>
      <c r="AV257" s="2"/>
      <c r="AW257" s="2"/>
      <c r="AX257" s="2"/>
      <c r="AY257" s="2"/>
      <c r="AZ257" s="2"/>
      <c r="BA257" s="2"/>
      <c r="BB257" s="2"/>
      <c r="BC257" s="2"/>
    </row>
    <row r="258" spans="4:55" x14ac:dyDescent="0.25">
      <c r="D258" s="54"/>
      <c r="E258" s="54"/>
      <c r="F258" s="54"/>
      <c r="G258" s="54"/>
      <c r="H258" s="54"/>
      <c r="I258" s="54"/>
      <c r="J258" s="2"/>
      <c r="K258" s="2"/>
      <c r="L258" s="2"/>
      <c r="M258" s="2"/>
      <c r="N258" s="2"/>
      <c r="O258" s="2"/>
      <c r="P258" s="2"/>
      <c r="Q258" s="2"/>
      <c r="R258" s="2"/>
      <c r="S258" s="2"/>
      <c r="T258" s="2"/>
      <c r="U258" s="2"/>
      <c r="V258" s="2"/>
      <c r="W258" s="2"/>
      <c r="X258" s="2"/>
      <c r="Y258" s="2"/>
      <c r="Z258" s="2"/>
      <c r="AA258" s="264">
        <v>254</v>
      </c>
      <c r="AB258" s="16" t="str">
        <f t="shared" si="180"/>
        <v/>
      </c>
      <c r="AC258" s="16" t="str">
        <f t="shared" si="181"/>
        <v/>
      </c>
      <c r="AD258" s="16" t="str">
        <f t="shared" si="153"/>
        <v/>
      </c>
      <c r="AE258" s="16" t="str">
        <f t="shared" si="154"/>
        <v/>
      </c>
      <c r="AF258" s="16" t="str">
        <f t="shared" si="155"/>
        <v/>
      </c>
      <c r="AG258" s="16" t="str">
        <f t="shared" si="182"/>
        <v/>
      </c>
      <c r="AH258" s="16" t="str">
        <f t="shared" si="183"/>
        <v/>
      </c>
      <c r="AI258" s="29" t="str">
        <f t="shared" si="156"/>
        <v/>
      </c>
      <c r="AJ258" s="29" t="str">
        <f t="shared" si="157"/>
        <v/>
      </c>
      <c r="AK258" s="2"/>
      <c r="AL258" s="2"/>
      <c r="AM258" s="2"/>
      <c r="AN258" s="2"/>
      <c r="AO258" s="2"/>
      <c r="AP258" s="2"/>
      <c r="AQ258" s="2"/>
      <c r="AR258" s="2"/>
      <c r="AS258" s="2"/>
      <c r="AT258" s="2"/>
      <c r="AU258" s="2"/>
      <c r="AV258" s="2"/>
      <c r="AW258" s="2"/>
      <c r="AX258" s="2"/>
      <c r="AY258" s="2"/>
      <c r="AZ258" s="2"/>
      <c r="BA258" s="2"/>
      <c r="BB258" s="2"/>
      <c r="BC258" s="2"/>
    </row>
    <row r="259" spans="4:55" x14ac:dyDescent="0.25">
      <c r="D259" s="54"/>
      <c r="E259" s="54"/>
      <c r="F259" s="54"/>
      <c r="G259" s="54"/>
      <c r="H259" s="54"/>
      <c r="I259" s="54"/>
      <c r="J259" s="2"/>
      <c r="K259" s="2"/>
      <c r="L259" s="2"/>
      <c r="M259" s="2"/>
      <c r="N259" s="2"/>
      <c r="O259" s="2"/>
      <c r="P259" s="2"/>
      <c r="Q259" s="2"/>
      <c r="R259" s="2"/>
      <c r="S259" s="2"/>
      <c r="T259" s="2"/>
      <c r="U259" s="2"/>
      <c r="V259" s="2"/>
      <c r="W259" s="2"/>
      <c r="X259" s="2"/>
      <c r="Y259" s="2"/>
      <c r="Z259" s="2"/>
      <c r="AA259" s="264">
        <v>255</v>
      </c>
      <c r="AB259" s="16" t="str">
        <f t="shared" si="180"/>
        <v/>
      </c>
      <c r="AC259" s="16" t="str">
        <f t="shared" si="181"/>
        <v/>
      </c>
      <c r="AD259" s="16" t="str">
        <f t="shared" si="153"/>
        <v/>
      </c>
      <c r="AE259" s="16" t="str">
        <f t="shared" si="154"/>
        <v/>
      </c>
      <c r="AF259" s="16" t="str">
        <f t="shared" si="155"/>
        <v/>
      </c>
      <c r="AG259" s="16" t="str">
        <f t="shared" si="182"/>
        <v/>
      </c>
      <c r="AH259" s="16" t="str">
        <f t="shared" si="183"/>
        <v/>
      </c>
      <c r="AI259" s="29" t="str">
        <f t="shared" si="156"/>
        <v/>
      </c>
      <c r="AJ259" s="29" t="str">
        <f t="shared" si="157"/>
        <v/>
      </c>
      <c r="AK259" s="2"/>
      <c r="AL259" s="2"/>
      <c r="AM259" s="2"/>
      <c r="AN259" s="2"/>
      <c r="AO259" s="2"/>
      <c r="AP259" s="2"/>
      <c r="AQ259" s="2"/>
      <c r="AR259" s="2"/>
      <c r="AS259" s="2"/>
      <c r="AT259" s="2"/>
      <c r="AU259" s="2"/>
      <c r="AV259" s="2"/>
      <c r="AW259" s="2"/>
      <c r="AX259" s="2"/>
      <c r="AY259" s="2"/>
      <c r="AZ259" s="2"/>
      <c r="BA259" s="2"/>
      <c r="BB259" s="2"/>
      <c r="BC259" s="2"/>
    </row>
    <row r="260" spans="4:55" x14ac:dyDescent="0.25">
      <c r="D260" s="54"/>
      <c r="E260" s="54"/>
      <c r="F260" s="54"/>
      <c r="G260" s="54"/>
      <c r="H260" s="54"/>
      <c r="I260" s="54"/>
      <c r="J260" s="2"/>
      <c r="K260" s="2"/>
      <c r="L260" s="2"/>
      <c r="M260" s="2"/>
      <c r="N260" s="2"/>
      <c r="O260" s="2"/>
      <c r="P260" s="2"/>
      <c r="Q260" s="2"/>
      <c r="R260" s="2"/>
      <c r="S260" s="2"/>
      <c r="T260" s="2"/>
      <c r="U260" s="2"/>
      <c r="V260" s="2"/>
      <c r="W260" s="2"/>
      <c r="X260" s="2"/>
      <c r="Y260" s="2"/>
      <c r="Z260" s="2"/>
      <c r="AA260" s="264">
        <v>256</v>
      </c>
      <c r="AB260" s="16" t="str">
        <f t="shared" si="180"/>
        <v/>
      </c>
      <c r="AC260" s="16" t="str">
        <f t="shared" si="181"/>
        <v/>
      </c>
      <c r="AD260" s="16" t="str">
        <f t="shared" si="153"/>
        <v/>
      </c>
      <c r="AE260" s="16" t="str">
        <f t="shared" si="154"/>
        <v/>
      </c>
      <c r="AF260" s="16" t="str">
        <f t="shared" si="155"/>
        <v/>
      </c>
      <c r="AG260" s="16" t="str">
        <f t="shared" si="182"/>
        <v/>
      </c>
      <c r="AH260" s="16" t="str">
        <f t="shared" si="183"/>
        <v/>
      </c>
      <c r="AI260" s="29" t="str">
        <f t="shared" si="156"/>
        <v/>
      </c>
      <c r="AJ260" s="29" t="str">
        <f t="shared" si="157"/>
        <v/>
      </c>
      <c r="AK260" s="2"/>
      <c r="AL260" s="2"/>
      <c r="AM260" s="2"/>
      <c r="AN260" s="2"/>
      <c r="AO260" s="2"/>
      <c r="AP260" s="2"/>
      <c r="AQ260" s="2"/>
      <c r="AR260" s="2"/>
      <c r="AS260" s="2"/>
      <c r="AT260" s="2"/>
      <c r="AU260" s="2"/>
      <c r="AV260" s="2"/>
      <c r="AW260" s="2"/>
      <c r="AX260" s="2"/>
      <c r="AY260" s="2"/>
      <c r="AZ260" s="2"/>
      <c r="BA260" s="2"/>
      <c r="BB260" s="2"/>
      <c r="BC260" s="2"/>
    </row>
    <row r="261" spans="4:55" x14ac:dyDescent="0.25">
      <c r="D261" s="54"/>
      <c r="E261" s="54"/>
      <c r="F261" s="54"/>
      <c r="G261" s="54"/>
      <c r="H261" s="54"/>
      <c r="I261" s="54"/>
      <c r="J261" s="2"/>
      <c r="K261" s="2"/>
      <c r="L261" s="2"/>
      <c r="M261" s="2"/>
      <c r="N261" s="2"/>
      <c r="O261" s="2"/>
      <c r="P261" s="2"/>
      <c r="Q261" s="2"/>
      <c r="R261" s="2"/>
      <c r="S261" s="2"/>
      <c r="T261" s="2"/>
      <c r="U261" s="2"/>
      <c r="V261" s="2"/>
      <c r="W261" s="2"/>
      <c r="X261" s="2"/>
      <c r="Y261" s="2"/>
      <c r="Z261" s="2"/>
      <c r="AA261" s="264">
        <v>257</v>
      </c>
      <c r="AB261" s="16" t="str">
        <f t="shared" si="180"/>
        <v/>
      </c>
      <c r="AC261" s="16" t="str">
        <f t="shared" si="181"/>
        <v/>
      </c>
      <c r="AD261" s="16" t="str">
        <f t="shared" ref="AD261:AD324" si="184">IF($C$9&gt;=$AA261,$AB261^2,"")</f>
        <v/>
      </c>
      <c r="AE261" s="16" t="str">
        <f t="shared" ref="AE261:AE324" si="185">IF($C$9&gt;=$AA261,$AC261^2,"")</f>
        <v/>
      </c>
      <c r="AF261" s="16" t="str">
        <f t="shared" ref="AF261:AF324" si="186">IF($C$9&gt;=$AA261,$AB261*$AC261,"")</f>
        <v/>
      </c>
      <c r="AG261" s="16" t="str">
        <f t="shared" si="182"/>
        <v/>
      </c>
      <c r="AH261" s="16" t="str">
        <f t="shared" si="183"/>
        <v/>
      </c>
      <c r="AI261" s="29" t="str">
        <f t="shared" ref="AI261:AI324" si="187">IF($C$9&gt;=$AA261,(-$AF$418/$C$9+($AF$422*$AB$411--$AF$421*$AB$414)/($AB$411*$AB$412-$AB$414^2)*$AG261+(-$AF$421*$AB$412-$AF$422*$AB$414)/($AB$411*$AB$412-$AB$414^2)*$AH261),"")</f>
        <v/>
      </c>
      <c r="AJ261" s="29" t="str">
        <f t="shared" ref="AJ261:AJ324" si="188">IF($C$9&gt;=$AA261,((($AF$419/$C$9+$AF$423*-$AH261/$AB$413)^2+($AF$420/$C$9+$AF$423*$AG261/$AB$413)^2)^(1/2)),"")</f>
        <v/>
      </c>
      <c r="AK261" s="2"/>
      <c r="AL261" s="2"/>
      <c r="AM261" s="2"/>
      <c r="AN261" s="2"/>
      <c r="AO261" s="2"/>
      <c r="AP261" s="2"/>
      <c r="AQ261" s="2"/>
      <c r="AR261" s="2"/>
      <c r="AS261" s="2"/>
      <c r="AT261" s="2"/>
      <c r="AU261" s="2"/>
      <c r="AV261" s="2"/>
      <c r="AW261" s="2"/>
      <c r="AX261" s="2"/>
      <c r="AY261" s="2"/>
      <c r="AZ261" s="2"/>
      <c r="BA261" s="2"/>
      <c r="BB261" s="2"/>
      <c r="BC261" s="2"/>
    </row>
    <row r="262" spans="4:55" x14ac:dyDescent="0.25">
      <c r="D262" s="54"/>
      <c r="E262" s="54"/>
      <c r="F262" s="54"/>
      <c r="G262" s="54"/>
      <c r="H262" s="54"/>
      <c r="I262" s="54"/>
      <c r="J262" s="2"/>
      <c r="K262" s="2"/>
      <c r="L262" s="2"/>
      <c r="M262" s="2"/>
      <c r="N262" s="2"/>
      <c r="O262" s="2"/>
      <c r="P262" s="2"/>
      <c r="Q262" s="2"/>
      <c r="R262" s="2"/>
      <c r="S262" s="2"/>
      <c r="T262" s="2"/>
      <c r="U262" s="2"/>
      <c r="V262" s="2"/>
      <c r="W262" s="2"/>
      <c r="X262" s="2"/>
      <c r="Y262" s="2"/>
      <c r="Z262" s="2"/>
      <c r="AA262" s="264">
        <v>258</v>
      </c>
      <c r="AB262" s="16" t="str">
        <f t="shared" si="180"/>
        <v/>
      </c>
      <c r="AC262" s="16" t="str">
        <f t="shared" si="181"/>
        <v/>
      </c>
      <c r="AD262" s="16" t="str">
        <f t="shared" si="184"/>
        <v/>
      </c>
      <c r="AE262" s="16" t="str">
        <f t="shared" si="185"/>
        <v/>
      </c>
      <c r="AF262" s="16" t="str">
        <f t="shared" si="186"/>
        <v/>
      </c>
      <c r="AG262" s="16" t="str">
        <f t="shared" si="182"/>
        <v/>
      </c>
      <c r="AH262" s="16" t="str">
        <f t="shared" si="183"/>
        <v/>
      </c>
      <c r="AI262" s="29" t="str">
        <f t="shared" si="187"/>
        <v/>
      </c>
      <c r="AJ262" s="29" t="str">
        <f t="shared" si="188"/>
        <v/>
      </c>
      <c r="AK262" s="2"/>
      <c r="AL262" s="2"/>
      <c r="AM262" s="2"/>
      <c r="AN262" s="2"/>
      <c r="AO262" s="2"/>
      <c r="AP262" s="2"/>
      <c r="AQ262" s="2"/>
      <c r="AR262" s="2"/>
      <c r="AS262" s="2"/>
      <c r="AT262" s="2"/>
      <c r="AU262" s="2"/>
      <c r="AV262" s="2"/>
      <c r="AW262" s="2"/>
      <c r="AX262" s="2"/>
      <c r="AY262" s="2"/>
      <c r="AZ262" s="2"/>
      <c r="BA262" s="2"/>
      <c r="BB262" s="2"/>
      <c r="BC262" s="2"/>
    </row>
    <row r="263" spans="4:55" x14ac:dyDescent="0.25">
      <c r="D263" s="54"/>
      <c r="E263" s="54"/>
      <c r="F263" s="54"/>
      <c r="G263" s="54"/>
      <c r="H263" s="54"/>
      <c r="I263" s="54"/>
      <c r="J263" s="2"/>
      <c r="K263" s="2"/>
      <c r="L263" s="2"/>
      <c r="M263" s="2"/>
      <c r="N263" s="2"/>
      <c r="O263" s="2"/>
      <c r="P263" s="2"/>
      <c r="Q263" s="2"/>
      <c r="R263" s="2"/>
      <c r="S263" s="2"/>
      <c r="T263" s="2"/>
      <c r="U263" s="2"/>
      <c r="V263" s="2"/>
      <c r="W263" s="2"/>
      <c r="X263" s="2"/>
      <c r="Y263" s="2"/>
      <c r="Z263" s="2"/>
      <c r="AA263" s="264">
        <v>259</v>
      </c>
      <c r="AB263" s="16" t="str">
        <f t="shared" si="180"/>
        <v/>
      </c>
      <c r="AC263" s="16" t="str">
        <f t="shared" si="181"/>
        <v/>
      </c>
      <c r="AD263" s="16" t="str">
        <f t="shared" si="184"/>
        <v/>
      </c>
      <c r="AE263" s="16" t="str">
        <f t="shared" si="185"/>
        <v/>
      </c>
      <c r="AF263" s="16" t="str">
        <f t="shared" si="186"/>
        <v/>
      </c>
      <c r="AG263" s="16" t="str">
        <f t="shared" si="182"/>
        <v/>
      </c>
      <c r="AH263" s="16" t="str">
        <f t="shared" si="183"/>
        <v/>
      </c>
      <c r="AI263" s="29" t="str">
        <f t="shared" si="187"/>
        <v/>
      </c>
      <c r="AJ263" s="29" t="str">
        <f t="shared" si="188"/>
        <v/>
      </c>
      <c r="AK263" s="2"/>
      <c r="AL263" s="2"/>
      <c r="AM263" s="2"/>
      <c r="AN263" s="2"/>
      <c r="AO263" s="2"/>
      <c r="AP263" s="2"/>
      <c r="AQ263" s="2"/>
      <c r="AR263" s="2"/>
      <c r="AS263" s="2"/>
      <c r="AT263" s="2"/>
      <c r="AU263" s="2"/>
      <c r="AV263" s="2"/>
      <c r="AW263" s="2"/>
      <c r="AX263" s="2"/>
      <c r="AY263" s="2"/>
      <c r="AZ263" s="2"/>
      <c r="BA263" s="2"/>
      <c r="BB263" s="2"/>
      <c r="BC263" s="2"/>
    </row>
    <row r="264" spans="4:55" x14ac:dyDescent="0.25">
      <c r="D264" s="54"/>
      <c r="E264" s="54"/>
      <c r="F264" s="54"/>
      <c r="G264" s="54"/>
      <c r="H264" s="54"/>
      <c r="I264" s="54"/>
      <c r="J264" s="2"/>
      <c r="K264" s="2"/>
      <c r="L264" s="2"/>
      <c r="M264" s="2"/>
      <c r="N264" s="2"/>
      <c r="O264" s="2"/>
      <c r="P264" s="2"/>
      <c r="Q264" s="2"/>
      <c r="R264" s="2"/>
      <c r="S264" s="2"/>
      <c r="T264" s="2"/>
      <c r="U264" s="2"/>
      <c r="V264" s="2"/>
      <c r="W264" s="2"/>
      <c r="X264" s="2"/>
      <c r="Y264" s="2"/>
      <c r="Z264" s="2"/>
      <c r="AA264" s="264">
        <v>260</v>
      </c>
      <c r="AB264" s="16" t="str">
        <f t="shared" si="180"/>
        <v/>
      </c>
      <c r="AC264" s="16" t="str">
        <f t="shared" si="181"/>
        <v/>
      </c>
      <c r="AD264" s="16" t="str">
        <f t="shared" si="184"/>
        <v/>
      </c>
      <c r="AE264" s="16" t="str">
        <f t="shared" si="185"/>
        <v/>
      </c>
      <c r="AF264" s="16" t="str">
        <f t="shared" si="186"/>
        <v/>
      </c>
      <c r="AG264" s="16" t="str">
        <f t="shared" si="182"/>
        <v/>
      </c>
      <c r="AH264" s="16" t="str">
        <f t="shared" si="183"/>
        <v/>
      </c>
      <c r="AI264" s="29" t="str">
        <f t="shared" si="187"/>
        <v/>
      </c>
      <c r="AJ264" s="29" t="str">
        <f t="shared" si="188"/>
        <v/>
      </c>
      <c r="AK264" s="2"/>
      <c r="AL264" s="2"/>
      <c r="AM264" s="2"/>
      <c r="AN264" s="2"/>
      <c r="AO264" s="2"/>
      <c r="AP264" s="2"/>
      <c r="AQ264" s="2"/>
      <c r="AR264" s="2"/>
      <c r="AS264" s="2"/>
      <c r="AT264" s="2"/>
      <c r="AU264" s="2"/>
      <c r="AV264" s="2"/>
      <c r="AW264" s="2"/>
      <c r="AX264" s="2"/>
      <c r="AY264" s="2"/>
      <c r="AZ264" s="2"/>
      <c r="BA264" s="2"/>
      <c r="BB264" s="2"/>
      <c r="BC264" s="2"/>
    </row>
    <row r="265" spans="4:55" x14ac:dyDescent="0.25">
      <c r="D265" s="54"/>
      <c r="E265" s="54"/>
      <c r="F265" s="54"/>
      <c r="G265" s="54"/>
      <c r="H265" s="54"/>
      <c r="I265" s="54"/>
      <c r="J265" s="2"/>
      <c r="K265" s="2"/>
      <c r="L265" s="2"/>
      <c r="M265" s="2"/>
      <c r="N265" s="2"/>
      <c r="O265" s="2"/>
      <c r="P265" s="2"/>
      <c r="Q265" s="2"/>
      <c r="R265" s="2"/>
      <c r="S265" s="2"/>
      <c r="T265" s="2"/>
      <c r="U265" s="2"/>
      <c r="V265" s="2"/>
      <c r="W265" s="2"/>
      <c r="X265" s="2"/>
      <c r="Y265" s="2"/>
      <c r="Z265" s="2"/>
      <c r="AA265" s="264">
        <v>261</v>
      </c>
      <c r="AB265" s="16" t="str">
        <f t="shared" si="180"/>
        <v/>
      </c>
      <c r="AC265" s="16" t="str">
        <f t="shared" si="181"/>
        <v/>
      </c>
      <c r="AD265" s="16" t="str">
        <f t="shared" si="184"/>
        <v/>
      </c>
      <c r="AE265" s="16" t="str">
        <f t="shared" si="185"/>
        <v/>
      </c>
      <c r="AF265" s="16" t="str">
        <f t="shared" si="186"/>
        <v/>
      </c>
      <c r="AG265" s="16" t="str">
        <f t="shared" si="182"/>
        <v/>
      </c>
      <c r="AH265" s="16" t="str">
        <f t="shared" si="183"/>
        <v/>
      </c>
      <c r="AI265" s="29" t="str">
        <f t="shared" si="187"/>
        <v/>
      </c>
      <c r="AJ265" s="29" t="str">
        <f t="shared" si="188"/>
        <v/>
      </c>
      <c r="AK265" s="2"/>
      <c r="AL265" s="2"/>
      <c r="AM265" s="2"/>
      <c r="AN265" s="2"/>
      <c r="AO265" s="2"/>
      <c r="AP265" s="2"/>
      <c r="AQ265" s="2"/>
      <c r="AR265" s="2"/>
      <c r="AS265" s="2"/>
      <c r="AT265" s="2"/>
      <c r="AU265" s="2"/>
      <c r="AV265" s="2"/>
      <c r="AW265" s="2"/>
      <c r="AX265" s="2"/>
      <c r="AY265" s="2"/>
      <c r="AZ265" s="2"/>
      <c r="BA265" s="2"/>
      <c r="BB265" s="2"/>
      <c r="BC265" s="2"/>
    </row>
    <row r="266" spans="4:55" x14ac:dyDescent="0.25">
      <c r="D266" s="54"/>
      <c r="E266" s="54"/>
      <c r="F266" s="54"/>
      <c r="G266" s="54"/>
      <c r="H266" s="54"/>
      <c r="I266" s="54"/>
      <c r="J266" s="2"/>
      <c r="K266" s="2"/>
      <c r="L266" s="2"/>
      <c r="M266" s="2"/>
      <c r="N266" s="2"/>
      <c r="O266" s="2"/>
      <c r="P266" s="2"/>
      <c r="Q266" s="2"/>
      <c r="R266" s="2"/>
      <c r="S266" s="2"/>
      <c r="T266" s="2"/>
      <c r="U266" s="2"/>
      <c r="V266" s="2"/>
      <c r="W266" s="2"/>
      <c r="X266" s="2"/>
      <c r="Y266" s="2"/>
      <c r="Z266" s="2"/>
      <c r="AA266" s="264">
        <v>262</v>
      </c>
      <c r="AB266" s="16" t="str">
        <f t="shared" si="180"/>
        <v/>
      </c>
      <c r="AC266" s="16" t="str">
        <f t="shared" si="181"/>
        <v/>
      </c>
      <c r="AD266" s="16" t="str">
        <f t="shared" si="184"/>
        <v/>
      </c>
      <c r="AE266" s="16" t="str">
        <f t="shared" si="185"/>
        <v/>
      </c>
      <c r="AF266" s="16" t="str">
        <f t="shared" si="186"/>
        <v/>
      </c>
      <c r="AG266" s="16" t="str">
        <f t="shared" si="182"/>
        <v/>
      </c>
      <c r="AH266" s="16" t="str">
        <f t="shared" si="183"/>
        <v/>
      </c>
      <c r="AI266" s="29" t="str">
        <f t="shared" si="187"/>
        <v/>
      </c>
      <c r="AJ266" s="29" t="str">
        <f t="shared" si="188"/>
        <v/>
      </c>
      <c r="AK266" s="2"/>
      <c r="AL266" s="2"/>
      <c r="AM266" s="2"/>
      <c r="AN266" s="2"/>
      <c r="AO266" s="2"/>
      <c r="AP266" s="2"/>
      <c r="AQ266" s="2"/>
      <c r="AR266" s="2"/>
      <c r="AS266" s="2"/>
      <c r="AT266" s="2"/>
      <c r="AU266" s="2"/>
      <c r="AV266" s="2"/>
      <c r="AW266" s="2"/>
      <c r="AX266" s="2"/>
      <c r="AY266" s="2"/>
      <c r="AZ266" s="2"/>
      <c r="BA266" s="2"/>
      <c r="BB266" s="2"/>
      <c r="BC266" s="2"/>
    </row>
    <row r="267" spans="4:55" x14ac:dyDescent="0.25">
      <c r="D267" s="54"/>
      <c r="E267" s="54"/>
      <c r="F267" s="54"/>
      <c r="G267" s="54"/>
      <c r="H267" s="54"/>
      <c r="I267" s="54"/>
      <c r="J267" s="2"/>
      <c r="K267" s="2"/>
      <c r="L267" s="2"/>
      <c r="M267" s="2"/>
      <c r="N267" s="2"/>
      <c r="O267" s="2"/>
      <c r="P267" s="2"/>
      <c r="Q267" s="2"/>
      <c r="R267" s="2"/>
      <c r="S267" s="2"/>
      <c r="T267" s="2"/>
      <c r="U267" s="2"/>
      <c r="V267" s="2"/>
      <c r="W267" s="2"/>
      <c r="X267" s="2"/>
      <c r="Y267" s="2"/>
      <c r="Z267" s="2"/>
      <c r="AA267" s="264">
        <v>263</v>
      </c>
      <c r="AB267" s="16" t="str">
        <f t="shared" si="180"/>
        <v/>
      </c>
      <c r="AC267" s="16" t="str">
        <f t="shared" si="181"/>
        <v/>
      </c>
      <c r="AD267" s="16" t="str">
        <f t="shared" si="184"/>
        <v/>
      </c>
      <c r="AE267" s="16" t="str">
        <f t="shared" si="185"/>
        <v/>
      </c>
      <c r="AF267" s="16" t="str">
        <f t="shared" si="186"/>
        <v/>
      </c>
      <c r="AG267" s="16" t="str">
        <f t="shared" si="182"/>
        <v/>
      </c>
      <c r="AH267" s="16" t="str">
        <f t="shared" si="183"/>
        <v/>
      </c>
      <c r="AI267" s="29" t="str">
        <f t="shared" si="187"/>
        <v/>
      </c>
      <c r="AJ267" s="29" t="str">
        <f t="shared" si="188"/>
        <v/>
      </c>
      <c r="AK267" s="2"/>
      <c r="AL267" s="2"/>
      <c r="AM267" s="2"/>
      <c r="AN267" s="2"/>
      <c r="AO267" s="2"/>
      <c r="AP267" s="2"/>
      <c r="AQ267" s="2"/>
      <c r="AR267" s="2"/>
      <c r="AS267" s="2"/>
      <c r="AT267" s="2"/>
      <c r="AU267" s="2"/>
      <c r="AV267" s="2"/>
      <c r="AW267" s="2"/>
      <c r="AX267" s="2"/>
      <c r="AY267" s="2"/>
      <c r="AZ267" s="2"/>
      <c r="BA267" s="2"/>
      <c r="BB267" s="2"/>
      <c r="BC267" s="2"/>
    </row>
    <row r="268" spans="4:55" x14ac:dyDescent="0.25">
      <c r="D268" s="54"/>
      <c r="E268" s="54"/>
      <c r="F268" s="54"/>
      <c r="G268" s="54"/>
      <c r="H268" s="54"/>
      <c r="I268" s="54"/>
      <c r="J268" s="2"/>
      <c r="K268" s="2"/>
      <c r="L268" s="2"/>
      <c r="M268" s="2"/>
      <c r="N268" s="2"/>
      <c r="O268" s="2"/>
      <c r="P268" s="2"/>
      <c r="Q268" s="2"/>
      <c r="R268" s="2"/>
      <c r="S268" s="2"/>
      <c r="T268" s="2"/>
      <c r="U268" s="2"/>
      <c r="V268" s="2"/>
      <c r="W268" s="2"/>
      <c r="X268" s="2"/>
      <c r="Y268" s="2"/>
      <c r="Z268" s="2"/>
      <c r="AA268" s="264">
        <v>264</v>
      </c>
      <c r="AB268" s="16" t="str">
        <f t="shared" si="180"/>
        <v/>
      </c>
      <c r="AC268" s="16" t="str">
        <f t="shared" si="181"/>
        <v/>
      </c>
      <c r="AD268" s="16" t="str">
        <f t="shared" si="184"/>
        <v/>
      </c>
      <c r="AE268" s="16" t="str">
        <f t="shared" si="185"/>
        <v/>
      </c>
      <c r="AF268" s="16" t="str">
        <f t="shared" si="186"/>
        <v/>
      </c>
      <c r="AG268" s="16" t="str">
        <f t="shared" si="182"/>
        <v/>
      </c>
      <c r="AH268" s="16" t="str">
        <f t="shared" si="183"/>
        <v/>
      </c>
      <c r="AI268" s="29" t="str">
        <f t="shared" si="187"/>
        <v/>
      </c>
      <c r="AJ268" s="29" t="str">
        <f t="shared" si="188"/>
        <v/>
      </c>
      <c r="AK268" s="2"/>
      <c r="AL268" s="2"/>
      <c r="AM268" s="2"/>
      <c r="AN268" s="2"/>
      <c r="AO268" s="2"/>
      <c r="AP268" s="2"/>
      <c r="AQ268" s="2"/>
      <c r="AR268" s="2"/>
      <c r="AS268" s="2"/>
      <c r="AT268" s="2"/>
      <c r="AU268" s="2"/>
      <c r="AV268" s="2"/>
      <c r="AW268" s="2"/>
      <c r="AX268" s="2"/>
      <c r="AY268" s="2"/>
      <c r="AZ268" s="2"/>
      <c r="BA268" s="2"/>
      <c r="BB268" s="2"/>
      <c r="BC268" s="2"/>
    </row>
    <row r="269" spans="4:55" x14ac:dyDescent="0.25">
      <c r="D269" s="54"/>
      <c r="E269" s="54"/>
      <c r="F269" s="54"/>
      <c r="G269" s="54"/>
      <c r="H269" s="54"/>
      <c r="I269" s="54"/>
      <c r="J269" s="2"/>
      <c r="K269" s="2"/>
      <c r="L269" s="2"/>
      <c r="M269" s="2"/>
      <c r="N269" s="2"/>
      <c r="O269" s="2"/>
      <c r="P269" s="2"/>
      <c r="Q269" s="2"/>
      <c r="R269" s="2"/>
      <c r="S269" s="2"/>
      <c r="T269" s="2"/>
      <c r="U269" s="2"/>
      <c r="V269" s="2"/>
      <c r="W269" s="2"/>
      <c r="X269" s="2"/>
      <c r="Y269" s="2"/>
      <c r="Z269" s="2"/>
      <c r="AA269" s="264">
        <v>265</v>
      </c>
      <c r="AB269" s="16" t="str">
        <f t="shared" si="180"/>
        <v/>
      </c>
      <c r="AC269" s="16" t="str">
        <f t="shared" si="181"/>
        <v/>
      </c>
      <c r="AD269" s="16" t="str">
        <f t="shared" si="184"/>
        <v/>
      </c>
      <c r="AE269" s="16" t="str">
        <f t="shared" si="185"/>
        <v/>
      </c>
      <c r="AF269" s="16" t="str">
        <f t="shared" si="186"/>
        <v/>
      </c>
      <c r="AG269" s="16" t="str">
        <f t="shared" si="182"/>
        <v/>
      </c>
      <c r="AH269" s="16" t="str">
        <f t="shared" si="183"/>
        <v/>
      </c>
      <c r="AI269" s="29" t="str">
        <f t="shared" si="187"/>
        <v/>
      </c>
      <c r="AJ269" s="29" t="str">
        <f t="shared" si="188"/>
        <v/>
      </c>
      <c r="AK269" s="2"/>
      <c r="AL269" s="2"/>
      <c r="AM269" s="2"/>
      <c r="AN269" s="2"/>
      <c r="AO269" s="2"/>
      <c r="AP269" s="2"/>
      <c r="AQ269" s="2"/>
      <c r="AR269" s="2"/>
      <c r="AS269" s="2"/>
      <c r="AT269" s="2"/>
      <c r="AU269" s="2"/>
      <c r="AV269" s="2"/>
      <c r="AW269" s="2"/>
      <c r="AX269" s="2"/>
      <c r="AY269" s="2"/>
      <c r="AZ269" s="2"/>
      <c r="BA269" s="2"/>
      <c r="BB269" s="2"/>
      <c r="BC269" s="2"/>
    </row>
    <row r="270" spans="4:55" x14ac:dyDescent="0.25">
      <c r="D270" s="54"/>
      <c r="E270" s="54"/>
      <c r="F270" s="54"/>
      <c r="G270" s="54"/>
      <c r="H270" s="54"/>
      <c r="I270" s="54"/>
      <c r="J270" s="2"/>
      <c r="K270" s="2"/>
      <c r="L270" s="2"/>
      <c r="M270" s="2"/>
      <c r="N270" s="2"/>
      <c r="O270" s="2"/>
      <c r="P270" s="2"/>
      <c r="Q270" s="2"/>
      <c r="R270" s="2"/>
      <c r="S270" s="2"/>
      <c r="T270" s="2"/>
      <c r="U270" s="2"/>
      <c r="V270" s="2"/>
      <c r="W270" s="2"/>
      <c r="X270" s="2"/>
      <c r="Y270" s="2"/>
      <c r="Z270" s="2"/>
      <c r="AA270" s="264">
        <v>266</v>
      </c>
      <c r="AB270" s="16" t="str">
        <f t="shared" si="180"/>
        <v/>
      </c>
      <c r="AC270" s="16" t="str">
        <f t="shared" si="181"/>
        <v/>
      </c>
      <c r="AD270" s="16" t="str">
        <f t="shared" si="184"/>
        <v/>
      </c>
      <c r="AE270" s="16" t="str">
        <f t="shared" si="185"/>
        <v/>
      </c>
      <c r="AF270" s="16" t="str">
        <f t="shared" si="186"/>
        <v/>
      </c>
      <c r="AG270" s="16" t="str">
        <f t="shared" si="182"/>
        <v/>
      </c>
      <c r="AH270" s="16" t="str">
        <f t="shared" si="183"/>
        <v/>
      </c>
      <c r="AI270" s="29" t="str">
        <f t="shared" si="187"/>
        <v/>
      </c>
      <c r="AJ270" s="29" t="str">
        <f t="shared" si="188"/>
        <v/>
      </c>
      <c r="AK270" s="2"/>
      <c r="AL270" s="2"/>
      <c r="AM270" s="2"/>
      <c r="AN270" s="2"/>
      <c r="AO270" s="2"/>
      <c r="AP270" s="2"/>
      <c r="AQ270" s="2"/>
      <c r="AR270" s="2"/>
      <c r="AS270" s="2"/>
      <c r="AT270" s="2"/>
      <c r="AU270" s="2"/>
      <c r="AV270" s="2"/>
      <c r="AW270" s="2"/>
      <c r="AX270" s="2"/>
      <c r="AY270" s="2"/>
      <c r="AZ270" s="2"/>
      <c r="BA270" s="2"/>
      <c r="BB270" s="2"/>
      <c r="BC270" s="2"/>
    </row>
    <row r="271" spans="4:55" x14ac:dyDescent="0.25">
      <c r="D271" s="54"/>
      <c r="E271" s="54"/>
      <c r="F271" s="54"/>
      <c r="G271" s="54"/>
      <c r="H271" s="54"/>
      <c r="I271" s="54"/>
      <c r="J271" s="2"/>
      <c r="K271" s="2"/>
      <c r="L271" s="2"/>
      <c r="M271" s="2"/>
      <c r="N271" s="2"/>
      <c r="O271" s="2"/>
      <c r="P271" s="2"/>
      <c r="Q271" s="2"/>
      <c r="R271" s="2"/>
      <c r="S271" s="2"/>
      <c r="T271" s="2"/>
      <c r="U271" s="2"/>
      <c r="V271" s="2"/>
      <c r="W271" s="2"/>
      <c r="X271" s="2"/>
      <c r="Y271" s="2"/>
      <c r="Z271" s="2"/>
      <c r="AA271" s="264">
        <v>267</v>
      </c>
      <c r="AB271" s="16" t="str">
        <f t="shared" si="180"/>
        <v/>
      </c>
      <c r="AC271" s="16" t="str">
        <f t="shared" si="181"/>
        <v/>
      </c>
      <c r="AD271" s="16" t="str">
        <f t="shared" si="184"/>
        <v/>
      </c>
      <c r="AE271" s="16" t="str">
        <f t="shared" si="185"/>
        <v/>
      </c>
      <c r="AF271" s="16" t="str">
        <f t="shared" si="186"/>
        <v/>
      </c>
      <c r="AG271" s="16" t="str">
        <f t="shared" si="182"/>
        <v/>
      </c>
      <c r="AH271" s="16" t="str">
        <f t="shared" si="183"/>
        <v/>
      </c>
      <c r="AI271" s="29" t="str">
        <f t="shared" si="187"/>
        <v/>
      </c>
      <c r="AJ271" s="29" t="str">
        <f t="shared" si="188"/>
        <v/>
      </c>
      <c r="AK271" s="2"/>
      <c r="AL271" s="2"/>
      <c r="AM271" s="2"/>
      <c r="AN271" s="2"/>
      <c r="AO271" s="2"/>
      <c r="AP271" s="2"/>
      <c r="AQ271" s="2"/>
      <c r="AR271" s="2"/>
      <c r="AS271" s="2"/>
      <c r="AT271" s="2"/>
      <c r="AU271" s="2"/>
      <c r="AV271" s="2"/>
      <c r="AW271" s="2"/>
      <c r="AX271" s="2"/>
      <c r="AY271" s="2"/>
      <c r="AZ271" s="2"/>
      <c r="BA271" s="2"/>
      <c r="BB271" s="2"/>
      <c r="BC271" s="2"/>
    </row>
    <row r="272" spans="4:55" x14ac:dyDescent="0.25">
      <c r="D272" s="54"/>
      <c r="E272" s="54"/>
      <c r="F272" s="54"/>
      <c r="G272" s="54"/>
      <c r="H272" s="54"/>
      <c r="I272" s="54"/>
      <c r="J272" s="2"/>
      <c r="K272" s="2"/>
      <c r="L272" s="2"/>
      <c r="M272" s="2"/>
      <c r="N272" s="2"/>
      <c r="O272" s="2"/>
      <c r="P272" s="2"/>
      <c r="Q272" s="2"/>
      <c r="R272" s="2"/>
      <c r="S272" s="2"/>
      <c r="T272" s="2"/>
      <c r="U272" s="2"/>
      <c r="V272" s="2"/>
      <c r="W272" s="2"/>
      <c r="X272" s="2"/>
      <c r="Y272" s="2"/>
      <c r="Z272" s="2"/>
      <c r="AA272" s="264">
        <v>268</v>
      </c>
      <c r="AB272" s="16" t="str">
        <f t="shared" si="180"/>
        <v/>
      </c>
      <c r="AC272" s="16" t="str">
        <f t="shared" si="181"/>
        <v/>
      </c>
      <c r="AD272" s="16" t="str">
        <f t="shared" si="184"/>
        <v/>
      </c>
      <c r="AE272" s="16" t="str">
        <f t="shared" si="185"/>
        <v/>
      </c>
      <c r="AF272" s="16" t="str">
        <f t="shared" si="186"/>
        <v/>
      </c>
      <c r="AG272" s="16" t="str">
        <f t="shared" si="182"/>
        <v/>
      </c>
      <c r="AH272" s="16" t="str">
        <f t="shared" si="183"/>
        <v/>
      </c>
      <c r="AI272" s="29" t="str">
        <f t="shared" si="187"/>
        <v/>
      </c>
      <c r="AJ272" s="29" t="str">
        <f t="shared" si="188"/>
        <v/>
      </c>
      <c r="AK272" s="2"/>
      <c r="AL272" s="2"/>
      <c r="AM272" s="2"/>
      <c r="AN272" s="2"/>
      <c r="AO272" s="2"/>
      <c r="AP272" s="2"/>
      <c r="AQ272" s="2"/>
      <c r="AR272" s="2"/>
      <c r="AS272" s="2"/>
      <c r="AT272" s="2"/>
      <c r="AU272" s="2"/>
      <c r="AV272" s="2"/>
      <c r="AW272" s="2"/>
      <c r="AX272" s="2"/>
      <c r="AY272" s="2"/>
      <c r="AZ272" s="2"/>
      <c r="BA272" s="2"/>
      <c r="BB272" s="2"/>
      <c r="BC272" s="2"/>
    </row>
    <row r="273" spans="4:55" x14ac:dyDescent="0.25">
      <c r="D273" s="54"/>
      <c r="E273" s="54"/>
      <c r="F273" s="54"/>
      <c r="G273" s="54"/>
      <c r="H273" s="54"/>
      <c r="I273" s="54"/>
      <c r="J273" s="2"/>
      <c r="K273" s="2"/>
      <c r="L273" s="2"/>
      <c r="M273" s="2"/>
      <c r="N273" s="2"/>
      <c r="O273" s="2"/>
      <c r="P273" s="2"/>
      <c r="Q273" s="2"/>
      <c r="R273" s="2"/>
      <c r="S273" s="2"/>
      <c r="T273" s="2"/>
      <c r="U273" s="2"/>
      <c r="V273" s="2"/>
      <c r="W273" s="2"/>
      <c r="X273" s="2"/>
      <c r="Y273" s="2"/>
      <c r="Z273" s="2"/>
      <c r="AA273" s="264">
        <v>269</v>
      </c>
      <c r="AB273" s="16" t="str">
        <f t="shared" si="180"/>
        <v/>
      </c>
      <c r="AC273" s="16" t="str">
        <f t="shared" si="181"/>
        <v/>
      </c>
      <c r="AD273" s="16" t="str">
        <f t="shared" si="184"/>
        <v/>
      </c>
      <c r="AE273" s="16" t="str">
        <f t="shared" si="185"/>
        <v/>
      </c>
      <c r="AF273" s="16" t="str">
        <f t="shared" si="186"/>
        <v/>
      </c>
      <c r="AG273" s="16" t="str">
        <f t="shared" si="182"/>
        <v/>
      </c>
      <c r="AH273" s="16" t="str">
        <f t="shared" si="183"/>
        <v/>
      </c>
      <c r="AI273" s="29" t="str">
        <f t="shared" si="187"/>
        <v/>
      </c>
      <c r="AJ273" s="29" t="str">
        <f t="shared" si="188"/>
        <v/>
      </c>
      <c r="AK273" s="2"/>
      <c r="AL273" s="2"/>
      <c r="AM273" s="2"/>
      <c r="AN273" s="2"/>
      <c r="AO273" s="2"/>
      <c r="AP273" s="2"/>
      <c r="AQ273" s="2"/>
      <c r="AR273" s="2"/>
      <c r="AS273" s="2"/>
      <c r="AT273" s="2"/>
      <c r="AU273" s="2"/>
      <c r="AV273" s="2"/>
      <c r="AW273" s="2"/>
      <c r="AX273" s="2"/>
      <c r="AY273" s="2"/>
      <c r="AZ273" s="2"/>
      <c r="BA273" s="2"/>
      <c r="BB273" s="2"/>
      <c r="BC273" s="2"/>
    </row>
    <row r="274" spans="4:55" x14ac:dyDescent="0.25">
      <c r="D274" s="54"/>
      <c r="E274" s="54"/>
      <c r="F274" s="54"/>
      <c r="G274" s="54"/>
      <c r="H274" s="54"/>
      <c r="I274" s="54"/>
      <c r="J274" s="2"/>
      <c r="K274" s="2"/>
      <c r="L274" s="2"/>
      <c r="M274" s="2"/>
      <c r="N274" s="2"/>
      <c r="O274" s="2"/>
      <c r="P274" s="2"/>
      <c r="Q274" s="2"/>
      <c r="R274" s="2"/>
      <c r="S274" s="2"/>
      <c r="T274" s="2"/>
      <c r="U274" s="2"/>
      <c r="V274" s="2"/>
      <c r="W274" s="2"/>
      <c r="X274" s="2"/>
      <c r="Y274" s="2"/>
      <c r="Z274" s="2"/>
      <c r="AA274" s="264">
        <v>270</v>
      </c>
      <c r="AB274" s="16" t="str">
        <f t="shared" si="180"/>
        <v/>
      </c>
      <c r="AC274" s="16" t="str">
        <f t="shared" si="181"/>
        <v/>
      </c>
      <c r="AD274" s="16" t="str">
        <f t="shared" si="184"/>
        <v/>
      </c>
      <c r="AE274" s="16" t="str">
        <f t="shared" si="185"/>
        <v/>
      </c>
      <c r="AF274" s="16" t="str">
        <f t="shared" si="186"/>
        <v/>
      </c>
      <c r="AG274" s="16" t="str">
        <f t="shared" si="182"/>
        <v/>
      </c>
      <c r="AH274" s="16" t="str">
        <f t="shared" si="183"/>
        <v/>
      </c>
      <c r="AI274" s="29" t="str">
        <f t="shared" si="187"/>
        <v/>
      </c>
      <c r="AJ274" s="29" t="str">
        <f t="shared" si="188"/>
        <v/>
      </c>
      <c r="AK274" s="2"/>
      <c r="AL274" s="2"/>
      <c r="AM274" s="2"/>
      <c r="AN274" s="2"/>
      <c r="AO274" s="2"/>
      <c r="AP274" s="2"/>
      <c r="AQ274" s="2"/>
      <c r="AR274" s="2"/>
      <c r="AS274" s="2"/>
      <c r="AT274" s="2"/>
      <c r="AU274" s="2"/>
      <c r="AV274" s="2"/>
      <c r="AW274" s="2"/>
      <c r="AX274" s="2"/>
      <c r="AY274" s="2"/>
      <c r="AZ274" s="2"/>
      <c r="BA274" s="2"/>
      <c r="BB274" s="2"/>
      <c r="BC274" s="2"/>
    </row>
    <row r="275" spans="4:55" x14ac:dyDescent="0.25">
      <c r="D275" s="54"/>
      <c r="E275" s="54"/>
      <c r="F275" s="54"/>
      <c r="G275" s="54"/>
      <c r="H275" s="54"/>
      <c r="I275" s="54"/>
      <c r="J275" s="2"/>
      <c r="K275" s="2"/>
      <c r="L275" s="2"/>
      <c r="M275" s="2"/>
      <c r="N275" s="2"/>
      <c r="O275" s="2"/>
      <c r="P275" s="2"/>
      <c r="Q275" s="2"/>
      <c r="R275" s="2"/>
      <c r="S275" s="2"/>
      <c r="T275" s="2"/>
      <c r="U275" s="2"/>
      <c r="V275" s="2"/>
      <c r="W275" s="2"/>
      <c r="X275" s="2"/>
      <c r="Y275" s="2"/>
      <c r="Z275" s="2"/>
      <c r="AA275" s="264">
        <v>271</v>
      </c>
      <c r="AB275" s="16" t="str">
        <f t="shared" si="180"/>
        <v/>
      </c>
      <c r="AC275" s="16" t="str">
        <f t="shared" si="181"/>
        <v/>
      </c>
      <c r="AD275" s="16" t="str">
        <f t="shared" si="184"/>
        <v/>
      </c>
      <c r="AE275" s="16" t="str">
        <f t="shared" si="185"/>
        <v/>
      </c>
      <c r="AF275" s="16" t="str">
        <f t="shared" si="186"/>
        <v/>
      </c>
      <c r="AG275" s="16" t="str">
        <f t="shared" si="182"/>
        <v/>
      </c>
      <c r="AH275" s="16" t="str">
        <f t="shared" si="183"/>
        <v/>
      </c>
      <c r="AI275" s="29" t="str">
        <f t="shared" si="187"/>
        <v/>
      </c>
      <c r="AJ275" s="29" t="str">
        <f t="shared" si="188"/>
        <v/>
      </c>
      <c r="AK275" s="2"/>
      <c r="AL275" s="2"/>
      <c r="AM275" s="2"/>
      <c r="AN275" s="2"/>
      <c r="AO275" s="2"/>
      <c r="AP275" s="2"/>
      <c r="AQ275" s="2"/>
      <c r="AR275" s="2"/>
      <c r="AS275" s="2"/>
      <c r="AT275" s="2"/>
      <c r="AU275" s="2"/>
      <c r="AV275" s="2"/>
      <c r="AW275" s="2"/>
      <c r="AX275" s="2"/>
      <c r="AY275" s="2"/>
      <c r="AZ275" s="2"/>
      <c r="BA275" s="2"/>
      <c r="BB275" s="2"/>
      <c r="BC275" s="2"/>
    </row>
    <row r="276" spans="4:55" x14ac:dyDescent="0.25">
      <c r="D276" s="54"/>
      <c r="E276" s="54"/>
      <c r="F276" s="54"/>
      <c r="G276" s="54"/>
      <c r="H276" s="54"/>
      <c r="I276" s="54"/>
      <c r="J276" s="2"/>
      <c r="K276" s="2"/>
      <c r="L276" s="2"/>
      <c r="M276" s="2"/>
      <c r="N276" s="2"/>
      <c r="O276" s="2"/>
      <c r="P276" s="2"/>
      <c r="Q276" s="2"/>
      <c r="R276" s="2"/>
      <c r="S276" s="2"/>
      <c r="T276" s="2"/>
      <c r="U276" s="2"/>
      <c r="V276" s="2"/>
      <c r="W276" s="2"/>
      <c r="X276" s="2"/>
      <c r="Y276" s="2"/>
      <c r="Z276" s="2"/>
      <c r="AA276" s="264">
        <v>272</v>
      </c>
      <c r="AB276" s="16" t="str">
        <f t="shared" si="180"/>
        <v/>
      </c>
      <c r="AC276" s="16" t="str">
        <f t="shared" si="181"/>
        <v/>
      </c>
      <c r="AD276" s="16" t="str">
        <f t="shared" si="184"/>
        <v/>
      </c>
      <c r="AE276" s="16" t="str">
        <f t="shared" si="185"/>
        <v/>
      </c>
      <c r="AF276" s="16" t="str">
        <f t="shared" si="186"/>
        <v/>
      </c>
      <c r="AG276" s="16" t="str">
        <f t="shared" si="182"/>
        <v/>
      </c>
      <c r="AH276" s="16" t="str">
        <f t="shared" si="183"/>
        <v/>
      </c>
      <c r="AI276" s="29" t="str">
        <f t="shared" si="187"/>
        <v/>
      </c>
      <c r="AJ276" s="29" t="str">
        <f t="shared" si="188"/>
        <v/>
      </c>
      <c r="AK276" s="2"/>
      <c r="AL276" s="2"/>
      <c r="AM276" s="2"/>
      <c r="AN276" s="2"/>
      <c r="AO276" s="2"/>
      <c r="AP276" s="2"/>
      <c r="AQ276" s="2"/>
      <c r="AR276" s="2"/>
      <c r="AS276" s="2"/>
      <c r="AT276" s="2"/>
      <c r="AU276" s="2"/>
      <c r="AV276" s="2"/>
      <c r="AW276" s="2"/>
      <c r="AX276" s="2"/>
      <c r="AY276" s="2"/>
      <c r="AZ276" s="2"/>
      <c r="BA276" s="2"/>
      <c r="BB276" s="2"/>
      <c r="BC276" s="2"/>
    </row>
    <row r="277" spans="4:55" x14ac:dyDescent="0.25">
      <c r="D277" s="54"/>
      <c r="E277" s="54"/>
      <c r="F277" s="54"/>
      <c r="G277" s="54"/>
      <c r="H277" s="54"/>
      <c r="I277" s="54"/>
      <c r="J277" s="2"/>
      <c r="K277" s="2"/>
      <c r="L277" s="2"/>
      <c r="M277" s="2"/>
      <c r="N277" s="2"/>
      <c r="O277" s="2"/>
      <c r="P277" s="2"/>
      <c r="Q277" s="2"/>
      <c r="R277" s="2"/>
      <c r="S277" s="2"/>
      <c r="T277" s="2"/>
      <c r="U277" s="2"/>
      <c r="V277" s="2"/>
      <c r="W277" s="2"/>
      <c r="X277" s="2"/>
      <c r="Y277" s="2"/>
      <c r="Z277" s="2"/>
      <c r="AA277" s="264">
        <v>273</v>
      </c>
      <c r="AB277" s="16" t="str">
        <f t="shared" si="180"/>
        <v/>
      </c>
      <c r="AC277" s="16" t="str">
        <f t="shared" si="181"/>
        <v/>
      </c>
      <c r="AD277" s="16" t="str">
        <f t="shared" si="184"/>
        <v/>
      </c>
      <c r="AE277" s="16" t="str">
        <f t="shared" si="185"/>
        <v/>
      </c>
      <c r="AF277" s="16" t="str">
        <f t="shared" si="186"/>
        <v/>
      </c>
      <c r="AG277" s="16" t="str">
        <f t="shared" si="182"/>
        <v/>
      </c>
      <c r="AH277" s="16" t="str">
        <f t="shared" si="183"/>
        <v/>
      </c>
      <c r="AI277" s="29" t="str">
        <f t="shared" si="187"/>
        <v/>
      </c>
      <c r="AJ277" s="29" t="str">
        <f t="shared" si="188"/>
        <v/>
      </c>
      <c r="AK277" s="2"/>
      <c r="AL277" s="2"/>
      <c r="AM277" s="2"/>
      <c r="AN277" s="2"/>
      <c r="AO277" s="2"/>
      <c r="AP277" s="2"/>
      <c r="AQ277" s="2"/>
      <c r="AR277" s="2"/>
      <c r="AS277" s="2"/>
      <c r="AT277" s="2"/>
      <c r="AU277" s="2"/>
      <c r="AV277" s="2"/>
      <c r="AW277" s="2"/>
      <c r="AX277" s="2"/>
      <c r="AY277" s="2"/>
      <c r="AZ277" s="2"/>
      <c r="BA277" s="2"/>
      <c r="BB277" s="2"/>
      <c r="BC277" s="2"/>
    </row>
    <row r="278" spans="4:55" x14ac:dyDescent="0.25">
      <c r="D278" s="54"/>
      <c r="E278" s="54"/>
      <c r="F278" s="54"/>
      <c r="G278" s="54"/>
      <c r="H278" s="54"/>
      <c r="I278" s="54"/>
      <c r="J278" s="2"/>
      <c r="K278" s="2"/>
      <c r="L278" s="2"/>
      <c r="M278" s="2"/>
      <c r="N278" s="2"/>
      <c r="O278" s="2"/>
      <c r="P278" s="2"/>
      <c r="Q278" s="2"/>
      <c r="R278" s="2"/>
      <c r="S278" s="2"/>
      <c r="T278" s="2"/>
      <c r="U278" s="2"/>
      <c r="V278" s="2"/>
      <c r="W278" s="2"/>
      <c r="X278" s="2"/>
      <c r="Y278" s="2"/>
      <c r="Z278" s="2"/>
      <c r="AA278" s="264">
        <v>274</v>
      </c>
      <c r="AB278" s="16" t="str">
        <f t="shared" si="180"/>
        <v/>
      </c>
      <c r="AC278" s="16" t="str">
        <f t="shared" si="181"/>
        <v/>
      </c>
      <c r="AD278" s="16" t="str">
        <f t="shared" si="184"/>
        <v/>
      </c>
      <c r="AE278" s="16" t="str">
        <f t="shared" si="185"/>
        <v/>
      </c>
      <c r="AF278" s="16" t="str">
        <f t="shared" si="186"/>
        <v/>
      </c>
      <c r="AG278" s="16" t="str">
        <f t="shared" si="182"/>
        <v/>
      </c>
      <c r="AH278" s="16" t="str">
        <f t="shared" si="183"/>
        <v/>
      </c>
      <c r="AI278" s="29" t="str">
        <f t="shared" si="187"/>
        <v/>
      </c>
      <c r="AJ278" s="29" t="str">
        <f t="shared" si="188"/>
        <v/>
      </c>
      <c r="AK278" s="2"/>
      <c r="AL278" s="2"/>
      <c r="AM278" s="2"/>
      <c r="AN278" s="2"/>
      <c r="AO278" s="2"/>
      <c r="AP278" s="2"/>
      <c r="AQ278" s="2"/>
      <c r="AR278" s="2"/>
      <c r="AS278" s="2"/>
      <c r="AT278" s="2"/>
      <c r="AU278" s="2"/>
      <c r="AV278" s="2"/>
      <c r="AW278" s="2"/>
      <c r="AX278" s="2"/>
      <c r="AY278" s="2"/>
      <c r="AZ278" s="2"/>
      <c r="BA278" s="2"/>
      <c r="BB278" s="2"/>
      <c r="BC278" s="2"/>
    </row>
    <row r="279" spans="4:55" x14ac:dyDescent="0.25">
      <c r="D279" s="54"/>
      <c r="E279" s="54"/>
      <c r="F279" s="54"/>
      <c r="G279" s="54"/>
      <c r="H279" s="54"/>
      <c r="I279" s="54"/>
      <c r="J279" s="2"/>
      <c r="K279" s="2"/>
      <c r="L279" s="2"/>
      <c r="M279" s="2"/>
      <c r="N279" s="2"/>
      <c r="O279" s="2"/>
      <c r="P279" s="2"/>
      <c r="Q279" s="2"/>
      <c r="R279" s="2"/>
      <c r="S279" s="2"/>
      <c r="T279" s="2"/>
      <c r="U279" s="2"/>
      <c r="V279" s="2"/>
      <c r="W279" s="2"/>
      <c r="X279" s="2"/>
      <c r="Y279" s="2"/>
      <c r="Z279" s="2"/>
      <c r="AA279" s="264">
        <v>275</v>
      </c>
      <c r="AB279" s="16" t="str">
        <f t="shared" si="180"/>
        <v/>
      </c>
      <c r="AC279" s="16" t="str">
        <f t="shared" si="181"/>
        <v/>
      </c>
      <c r="AD279" s="16" t="str">
        <f t="shared" si="184"/>
        <v/>
      </c>
      <c r="AE279" s="16" t="str">
        <f t="shared" si="185"/>
        <v/>
      </c>
      <c r="AF279" s="16" t="str">
        <f t="shared" si="186"/>
        <v/>
      </c>
      <c r="AG279" s="16" t="str">
        <f t="shared" si="182"/>
        <v/>
      </c>
      <c r="AH279" s="16" t="str">
        <f t="shared" si="183"/>
        <v/>
      </c>
      <c r="AI279" s="29" t="str">
        <f t="shared" si="187"/>
        <v/>
      </c>
      <c r="AJ279" s="29" t="str">
        <f t="shared" si="188"/>
        <v/>
      </c>
      <c r="AK279" s="2"/>
      <c r="AL279" s="2"/>
      <c r="AM279" s="2"/>
      <c r="AN279" s="2"/>
      <c r="AO279" s="2"/>
      <c r="AP279" s="2"/>
      <c r="AQ279" s="2"/>
      <c r="AR279" s="2"/>
      <c r="AS279" s="2"/>
      <c r="AT279" s="2"/>
      <c r="AU279" s="2"/>
      <c r="AV279" s="2"/>
      <c r="AW279" s="2"/>
      <c r="AX279" s="2"/>
      <c r="AY279" s="2"/>
      <c r="AZ279" s="2"/>
      <c r="BA279" s="2"/>
      <c r="BB279" s="2"/>
      <c r="BC279" s="2"/>
    </row>
    <row r="280" spans="4:55" x14ac:dyDescent="0.25">
      <c r="D280" s="54"/>
      <c r="E280" s="54"/>
      <c r="F280" s="54"/>
      <c r="G280" s="54"/>
      <c r="H280" s="54"/>
      <c r="I280" s="54"/>
      <c r="J280" s="2"/>
      <c r="K280" s="2"/>
      <c r="L280" s="2"/>
      <c r="M280" s="2"/>
      <c r="N280" s="2"/>
      <c r="O280" s="2"/>
      <c r="P280" s="2"/>
      <c r="Q280" s="2"/>
      <c r="R280" s="2"/>
      <c r="S280" s="2"/>
      <c r="T280" s="2"/>
      <c r="U280" s="2"/>
      <c r="V280" s="2"/>
      <c r="W280" s="2"/>
      <c r="X280" s="2"/>
      <c r="Y280" s="2"/>
      <c r="Z280" s="2"/>
      <c r="AA280" s="264">
        <v>276</v>
      </c>
      <c r="AB280" s="16" t="str">
        <f t="shared" si="180"/>
        <v/>
      </c>
      <c r="AC280" s="16" t="str">
        <f t="shared" si="181"/>
        <v/>
      </c>
      <c r="AD280" s="16" t="str">
        <f t="shared" si="184"/>
        <v/>
      </c>
      <c r="AE280" s="16" t="str">
        <f t="shared" si="185"/>
        <v/>
      </c>
      <c r="AF280" s="16" t="str">
        <f t="shared" si="186"/>
        <v/>
      </c>
      <c r="AG280" s="16" t="str">
        <f t="shared" si="182"/>
        <v/>
      </c>
      <c r="AH280" s="16" t="str">
        <f t="shared" si="183"/>
        <v/>
      </c>
      <c r="AI280" s="29" t="str">
        <f t="shared" si="187"/>
        <v/>
      </c>
      <c r="AJ280" s="29" t="str">
        <f t="shared" si="188"/>
        <v/>
      </c>
      <c r="AK280" s="2"/>
      <c r="AL280" s="2"/>
      <c r="AM280" s="2"/>
      <c r="AN280" s="2"/>
      <c r="AO280" s="2"/>
      <c r="AP280" s="2"/>
      <c r="AQ280" s="2"/>
      <c r="AR280" s="2"/>
      <c r="AS280" s="2"/>
      <c r="AT280" s="2"/>
      <c r="AU280" s="2"/>
      <c r="AV280" s="2"/>
      <c r="AW280" s="2"/>
      <c r="AX280" s="2"/>
      <c r="AY280" s="2"/>
      <c r="AZ280" s="2"/>
      <c r="BA280" s="2"/>
      <c r="BB280" s="2"/>
      <c r="BC280" s="2"/>
    </row>
    <row r="281" spans="4:55" x14ac:dyDescent="0.25">
      <c r="D281" s="54"/>
      <c r="E281" s="54"/>
      <c r="F281" s="54"/>
      <c r="G281" s="54"/>
      <c r="H281" s="54"/>
      <c r="I281" s="54"/>
      <c r="J281" s="2"/>
      <c r="K281" s="2"/>
      <c r="L281" s="2"/>
      <c r="M281" s="2"/>
      <c r="N281" s="2"/>
      <c r="O281" s="2"/>
      <c r="P281" s="2"/>
      <c r="Q281" s="2"/>
      <c r="R281" s="2"/>
      <c r="S281" s="2"/>
      <c r="T281" s="2"/>
      <c r="U281" s="2"/>
      <c r="V281" s="2"/>
      <c r="W281" s="2"/>
      <c r="X281" s="2"/>
      <c r="Y281" s="2"/>
      <c r="Z281" s="2"/>
      <c r="AA281" s="264">
        <v>277</v>
      </c>
      <c r="AB281" s="16" t="str">
        <f t="shared" si="180"/>
        <v/>
      </c>
      <c r="AC281" s="16" t="str">
        <f t="shared" si="181"/>
        <v/>
      </c>
      <c r="AD281" s="16" t="str">
        <f t="shared" si="184"/>
        <v/>
      </c>
      <c r="AE281" s="16" t="str">
        <f t="shared" si="185"/>
        <v/>
      </c>
      <c r="AF281" s="16" t="str">
        <f t="shared" si="186"/>
        <v/>
      </c>
      <c r="AG281" s="16" t="str">
        <f t="shared" si="182"/>
        <v/>
      </c>
      <c r="AH281" s="16" t="str">
        <f t="shared" si="183"/>
        <v/>
      </c>
      <c r="AI281" s="29" t="str">
        <f t="shared" si="187"/>
        <v/>
      </c>
      <c r="AJ281" s="29" t="str">
        <f t="shared" si="188"/>
        <v/>
      </c>
      <c r="AK281" s="2"/>
      <c r="AL281" s="2"/>
      <c r="AM281" s="2"/>
      <c r="AN281" s="2"/>
      <c r="AO281" s="2"/>
      <c r="AP281" s="2"/>
      <c r="AQ281" s="2"/>
      <c r="AR281" s="2"/>
      <c r="AS281" s="2"/>
      <c r="AT281" s="2"/>
      <c r="AU281" s="2"/>
      <c r="AV281" s="2"/>
      <c r="AW281" s="2"/>
      <c r="AX281" s="2"/>
      <c r="AY281" s="2"/>
      <c r="AZ281" s="2"/>
      <c r="BA281" s="2"/>
      <c r="BB281" s="2"/>
      <c r="BC281" s="2"/>
    </row>
    <row r="282" spans="4:55" x14ac:dyDescent="0.25">
      <c r="D282" s="54"/>
      <c r="E282" s="54"/>
      <c r="F282" s="54"/>
      <c r="G282" s="54"/>
      <c r="H282" s="54"/>
      <c r="I282" s="54"/>
      <c r="J282" s="2"/>
      <c r="K282" s="2"/>
      <c r="L282" s="2"/>
      <c r="M282" s="2"/>
      <c r="N282" s="2"/>
      <c r="O282" s="2"/>
      <c r="P282" s="2"/>
      <c r="Q282" s="2"/>
      <c r="R282" s="2"/>
      <c r="S282" s="2"/>
      <c r="T282" s="2"/>
      <c r="U282" s="2"/>
      <c r="V282" s="2"/>
      <c r="W282" s="2"/>
      <c r="X282" s="2"/>
      <c r="Y282" s="2"/>
      <c r="Z282" s="2"/>
      <c r="AA282" s="264">
        <v>278</v>
      </c>
      <c r="AB282" s="16" t="str">
        <f t="shared" si="180"/>
        <v/>
      </c>
      <c r="AC282" s="16" t="str">
        <f t="shared" si="181"/>
        <v/>
      </c>
      <c r="AD282" s="16" t="str">
        <f t="shared" si="184"/>
        <v/>
      </c>
      <c r="AE282" s="16" t="str">
        <f t="shared" si="185"/>
        <v/>
      </c>
      <c r="AF282" s="16" t="str">
        <f t="shared" si="186"/>
        <v/>
      </c>
      <c r="AG282" s="16" t="str">
        <f t="shared" si="182"/>
        <v/>
      </c>
      <c r="AH282" s="16" t="str">
        <f t="shared" si="183"/>
        <v/>
      </c>
      <c r="AI282" s="29" t="str">
        <f t="shared" si="187"/>
        <v/>
      </c>
      <c r="AJ282" s="29" t="str">
        <f t="shared" si="188"/>
        <v/>
      </c>
      <c r="AK282" s="2"/>
      <c r="AL282" s="2"/>
      <c r="AM282" s="2"/>
      <c r="AN282" s="2"/>
      <c r="AO282" s="2"/>
      <c r="AP282" s="2"/>
      <c r="AQ282" s="2"/>
      <c r="AR282" s="2"/>
      <c r="AS282" s="2"/>
      <c r="AT282" s="2"/>
      <c r="AU282" s="2"/>
      <c r="AV282" s="2"/>
      <c r="AW282" s="2"/>
      <c r="AX282" s="2"/>
      <c r="AY282" s="2"/>
      <c r="AZ282" s="2"/>
      <c r="BA282" s="2"/>
      <c r="BB282" s="2"/>
      <c r="BC282" s="2"/>
    </row>
    <row r="283" spans="4:55" x14ac:dyDescent="0.25">
      <c r="D283" s="54"/>
      <c r="E283" s="54"/>
      <c r="F283" s="54"/>
      <c r="G283" s="54"/>
      <c r="H283" s="54"/>
      <c r="I283" s="54"/>
      <c r="J283" s="2"/>
      <c r="K283" s="2"/>
      <c r="L283" s="2"/>
      <c r="M283" s="2"/>
      <c r="N283" s="2"/>
      <c r="O283" s="2"/>
      <c r="P283" s="2"/>
      <c r="Q283" s="2"/>
      <c r="R283" s="2"/>
      <c r="S283" s="2"/>
      <c r="T283" s="2"/>
      <c r="U283" s="2"/>
      <c r="V283" s="2"/>
      <c r="W283" s="2"/>
      <c r="X283" s="2"/>
      <c r="Y283" s="2"/>
      <c r="Z283" s="2"/>
      <c r="AA283" s="264">
        <v>279</v>
      </c>
      <c r="AB283" s="16" t="str">
        <f t="shared" si="180"/>
        <v/>
      </c>
      <c r="AC283" s="16" t="str">
        <f t="shared" si="181"/>
        <v/>
      </c>
      <c r="AD283" s="16" t="str">
        <f t="shared" si="184"/>
        <v/>
      </c>
      <c r="AE283" s="16" t="str">
        <f t="shared" si="185"/>
        <v/>
      </c>
      <c r="AF283" s="16" t="str">
        <f t="shared" si="186"/>
        <v/>
      </c>
      <c r="AG283" s="16" t="str">
        <f t="shared" si="182"/>
        <v/>
      </c>
      <c r="AH283" s="16" t="str">
        <f t="shared" si="183"/>
        <v/>
      </c>
      <c r="AI283" s="29" t="str">
        <f t="shared" si="187"/>
        <v/>
      </c>
      <c r="AJ283" s="29" t="str">
        <f t="shared" si="188"/>
        <v/>
      </c>
      <c r="AK283" s="2"/>
      <c r="AL283" s="2"/>
      <c r="AM283" s="2"/>
      <c r="AN283" s="2"/>
      <c r="AO283" s="2"/>
      <c r="AP283" s="2"/>
      <c r="AQ283" s="2"/>
      <c r="AR283" s="2"/>
      <c r="AS283" s="2"/>
      <c r="AT283" s="2"/>
      <c r="AU283" s="2"/>
      <c r="AV283" s="2"/>
      <c r="AW283" s="2"/>
      <c r="AX283" s="2"/>
      <c r="AY283" s="2"/>
      <c r="AZ283" s="2"/>
      <c r="BA283" s="2"/>
      <c r="BB283" s="2"/>
      <c r="BC283" s="2"/>
    </row>
    <row r="284" spans="4:55" x14ac:dyDescent="0.25">
      <c r="D284" s="54"/>
      <c r="E284" s="54"/>
      <c r="F284" s="54"/>
      <c r="G284" s="54"/>
      <c r="H284" s="54"/>
      <c r="I284" s="54"/>
      <c r="J284" s="2"/>
      <c r="K284" s="2"/>
      <c r="L284" s="2"/>
      <c r="M284" s="2"/>
      <c r="N284" s="2"/>
      <c r="O284" s="2"/>
      <c r="P284" s="2"/>
      <c r="Q284" s="2"/>
      <c r="R284" s="2"/>
      <c r="S284" s="2"/>
      <c r="T284" s="2"/>
      <c r="U284" s="2"/>
      <c r="V284" s="2"/>
      <c r="W284" s="2"/>
      <c r="X284" s="2"/>
      <c r="Y284" s="2"/>
      <c r="Z284" s="2"/>
      <c r="AA284" s="264">
        <v>280</v>
      </c>
      <c r="AB284" s="16" t="str">
        <f t="shared" si="180"/>
        <v/>
      </c>
      <c r="AC284" s="16" t="str">
        <f t="shared" si="181"/>
        <v/>
      </c>
      <c r="AD284" s="16" t="str">
        <f t="shared" si="184"/>
        <v/>
      </c>
      <c r="AE284" s="16" t="str">
        <f t="shared" si="185"/>
        <v/>
      </c>
      <c r="AF284" s="16" t="str">
        <f t="shared" si="186"/>
        <v/>
      </c>
      <c r="AG284" s="16" t="str">
        <f t="shared" si="182"/>
        <v/>
      </c>
      <c r="AH284" s="16" t="str">
        <f t="shared" si="183"/>
        <v/>
      </c>
      <c r="AI284" s="29" t="str">
        <f t="shared" si="187"/>
        <v/>
      </c>
      <c r="AJ284" s="29" t="str">
        <f t="shared" si="188"/>
        <v/>
      </c>
      <c r="AK284" s="2"/>
      <c r="AL284" s="2"/>
      <c r="AM284" s="2"/>
      <c r="AN284" s="2"/>
      <c r="AO284" s="2"/>
      <c r="AP284" s="2"/>
      <c r="AQ284" s="2"/>
      <c r="AR284" s="2"/>
      <c r="AS284" s="2"/>
      <c r="AT284" s="2"/>
      <c r="AU284" s="2"/>
      <c r="AV284" s="2"/>
      <c r="AW284" s="2"/>
      <c r="AX284" s="2"/>
      <c r="AY284" s="2"/>
      <c r="AZ284" s="2"/>
      <c r="BA284" s="2"/>
      <c r="BB284" s="2"/>
      <c r="BC284" s="2"/>
    </row>
    <row r="285" spans="4:55" x14ac:dyDescent="0.25">
      <c r="D285" s="54"/>
      <c r="E285" s="54"/>
      <c r="F285" s="54"/>
      <c r="G285" s="54"/>
      <c r="H285" s="54"/>
      <c r="I285" s="54"/>
      <c r="J285" s="2"/>
      <c r="K285" s="2"/>
      <c r="L285" s="2"/>
      <c r="M285" s="2"/>
      <c r="N285" s="2"/>
      <c r="O285" s="2"/>
      <c r="P285" s="2"/>
      <c r="Q285" s="2"/>
      <c r="R285" s="2"/>
      <c r="S285" s="2"/>
      <c r="T285" s="2"/>
      <c r="U285" s="2"/>
      <c r="V285" s="2"/>
      <c r="W285" s="2"/>
      <c r="X285" s="2"/>
      <c r="Y285" s="2"/>
      <c r="Z285" s="2"/>
      <c r="AA285" s="264">
        <v>281</v>
      </c>
      <c r="AB285" s="16" t="str">
        <f t="shared" si="180"/>
        <v/>
      </c>
      <c r="AC285" s="16" t="str">
        <f t="shared" si="181"/>
        <v/>
      </c>
      <c r="AD285" s="16" t="str">
        <f t="shared" si="184"/>
        <v/>
      </c>
      <c r="AE285" s="16" t="str">
        <f t="shared" si="185"/>
        <v/>
      </c>
      <c r="AF285" s="16" t="str">
        <f t="shared" si="186"/>
        <v/>
      </c>
      <c r="AG285" s="16" t="str">
        <f t="shared" si="182"/>
        <v/>
      </c>
      <c r="AH285" s="16" t="str">
        <f t="shared" si="183"/>
        <v/>
      </c>
      <c r="AI285" s="29" t="str">
        <f t="shared" si="187"/>
        <v/>
      </c>
      <c r="AJ285" s="29" t="str">
        <f t="shared" si="188"/>
        <v/>
      </c>
      <c r="AK285" s="2"/>
      <c r="AL285" s="2"/>
      <c r="AM285" s="2"/>
      <c r="AN285" s="2"/>
      <c r="AO285" s="2"/>
      <c r="AP285" s="2"/>
      <c r="AQ285" s="2"/>
      <c r="AR285" s="2"/>
      <c r="AS285" s="2"/>
      <c r="AT285" s="2"/>
      <c r="AU285" s="2"/>
      <c r="AV285" s="2"/>
      <c r="AW285" s="2"/>
      <c r="AX285" s="2"/>
      <c r="AY285" s="2"/>
      <c r="AZ285" s="2"/>
      <c r="BA285" s="2"/>
      <c r="BB285" s="2"/>
      <c r="BC285" s="2"/>
    </row>
    <row r="286" spans="4:55" x14ac:dyDescent="0.25">
      <c r="D286" s="54"/>
      <c r="E286" s="54"/>
      <c r="F286" s="54"/>
      <c r="G286" s="54"/>
      <c r="H286" s="54"/>
      <c r="I286" s="54"/>
      <c r="J286" s="2"/>
      <c r="K286" s="2"/>
      <c r="L286" s="2"/>
      <c r="M286" s="2"/>
      <c r="N286" s="2"/>
      <c r="O286" s="2"/>
      <c r="P286" s="2"/>
      <c r="Q286" s="2"/>
      <c r="R286" s="2"/>
      <c r="S286" s="2"/>
      <c r="T286" s="2"/>
      <c r="U286" s="2"/>
      <c r="V286" s="2"/>
      <c r="W286" s="2"/>
      <c r="X286" s="2"/>
      <c r="Y286" s="2"/>
      <c r="Z286" s="2"/>
      <c r="AA286" s="264">
        <v>282</v>
      </c>
      <c r="AB286" s="16" t="str">
        <f t="shared" si="180"/>
        <v/>
      </c>
      <c r="AC286" s="16" t="str">
        <f t="shared" si="181"/>
        <v/>
      </c>
      <c r="AD286" s="16" t="str">
        <f t="shared" si="184"/>
        <v/>
      </c>
      <c r="AE286" s="16" t="str">
        <f t="shared" si="185"/>
        <v/>
      </c>
      <c r="AF286" s="16" t="str">
        <f t="shared" si="186"/>
        <v/>
      </c>
      <c r="AG286" s="16" t="str">
        <f t="shared" si="182"/>
        <v/>
      </c>
      <c r="AH286" s="16" t="str">
        <f t="shared" si="183"/>
        <v/>
      </c>
      <c r="AI286" s="29" t="str">
        <f t="shared" si="187"/>
        <v/>
      </c>
      <c r="AJ286" s="29" t="str">
        <f t="shared" si="188"/>
        <v/>
      </c>
      <c r="AK286" s="2"/>
      <c r="AL286" s="2"/>
      <c r="AM286" s="2"/>
      <c r="AN286" s="2"/>
      <c r="AO286" s="2"/>
      <c r="AP286" s="2"/>
      <c r="AQ286" s="2"/>
      <c r="AR286" s="2"/>
      <c r="AS286" s="2"/>
      <c r="AT286" s="2"/>
      <c r="AU286" s="2"/>
      <c r="AV286" s="2"/>
      <c r="AW286" s="2"/>
      <c r="AX286" s="2"/>
      <c r="AY286" s="2"/>
      <c r="AZ286" s="2"/>
      <c r="BA286" s="2"/>
      <c r="BB286" s="2"/>
      <c r="BC286" s="2"/>
    </row>
    <row r="287" spans="4:55" x14ac:dyDescent="0.25">
      <c r="D287" s="54"/>
      <c r="E287" s="54"/>
      <c r="F287" s="54"/>
      <c r="G287" s="54"/>
      <c r="H287" s="54"/>
      <c r="I287" s="54"/>
      <c r="J287" s="2"/>
      <c r="K287" s="2"/>
      <c r="L287" s="2"/>
      <c r="M287" s="2"/>
      <c r="N287" s="2"/>
      <c r="O287" s="2"/>
      <c r="P287" s="2"/>
      <c r="Q287" s="2"/>
      <c r="R287" s="2"/>
      <c r="S287" s="2"/>
      <c r="T287" s="2"/>
      <c r="U287" s="2"/>
      <c r="V287" s="2"/>
      <c r="W287" s="2"/>
      <c r="X287" s="2"/>
      <c r="Y287" s="2"/>
      <c r="Z287" s="2"/>
      <c r="AA287" s="264">
        <v>283</v>
      </c>
      <c r="AB287" s="16" t="str">
        <f t="shared" si="180"/>
        <v/>
      </c>
      <c r="AC287" s="16" t="str">
        <f t="shared" si="181"/>
        <v/>
      </c>
      <c r="AD287" s="16" t="str">
        <f t="shared" si="184"/>
        <v/>
      </c>
      <c r="AE287" s="16" t="str">
        <f t="shared" si="185"/>
        <v/>
      </c>
      <c r="AF287" s="16" t="str">
        <f t="shared" si="186"/>
        <v/>
      </c>
      <c r="AG287" s="16" t="str">
        <f t="shared" si="182"/>
        <v/>
      </c>
      <c r="AH287" s="16" t="str">
        <f t="shared" si="183"/>
        <v/>
      </c>
      <c r="AI287" s="29" t="str">
        <f t="shared" si="187"/>
        <v/>
      </c>
      <c r="AJ287" s="29" t="str">
        <f t="shared" si="188"/>
        <v/>
      </c>
      <c r="AK287" s="2"/>
      <c r="AL287" s="2"/>
      <c r="AM287" s="2"/>
      <c r="AN287" s="2"/>
      <c r="AO287" s="2"/>
      <c r="AP287" s="2"/>
      <c r="AQ287" s="2"/>
      <c r="AR287" s="2"/>
      <c r="AS287" s="2"/>
      <c r="AT287" s="2"/>
      <c r="AU287" s="2"/>
      <c r="AV287" s="2"/>
      <c r="AW287" s="2"/>
      <c r="AX287" s="2"/>
      <c r="AY287" s="2"/>
      <c r="AZ287" s="2"/>
      <c r="BA287" s="2"/>
      <c r="BB287" s="2"/>
      <c r="BC287" s="2"/>
    </row>
    <row r="288" spans="4:55" x14ac:dyDescent="0.25">
      <c r="D288" s="54"/>
      <c r="E288" s="54"/>
      <c r="F288" s="54"/>
      <c r="G288" s="54"/>
      <c r="H288" s="54"/>
      <c r="I288" s="54"/>
      <c r="J288" s="2"/>
      <c r="K288" s="2"/>
      <c r="L288" s="2"/>
      <c r="M288" s="2"/>
      <c r="N288" s="2"/>
      <c r="O288" s="2"/>
      <c r="P288" s="2"/>
      <c r="Q288" s="2"/>
      <c r="R288" s="2"/>
      <c r="S288" s="2"/>
      <c r="T288" s="2"/>
      <c r="U288" s="2"/>
      <c r="V288" s="2"/>
      <c r="W288" s="2"/>
      <c r="X288" s="2"/>
      <c r="Y288" s="2"/>
      <c r="Z288" s="2"/>
      <c r="AA288" s="264">
        <v>284</v>
      </c>
      <c r="AB288" s="16" t="str">
        <f t="shared" si="180"/>
        <v/>
      </c>
      <c r="AC288" s="16" t="str">
        <f t="shared" si="181"/>
        <v/>
      </c>
      <c r="AD288" s="16" t="str">
        <f t="shared" si="184"/>
        <v/>
      </c>
      <c r="AE288" s="16" t="str">
        <f t="shared" si="185"/>
        <v/>
      </c>
      <c r="AF288" s="16" t="str">
        <f t="shared" si="186"/>
        <v/>
      </c>
      <c r="AG288" s="16" t="str">
        <f t="shared" si="182"/>
        <v/>
      </c>
      <c r="AH288" s="16" t="str">
        <f t="shared" si="183"/>
        <v/>
      </c>
      <c r="AI288" s="29" t="str">
        <f t="shared" si="187"/>
        <v/>
      </c>
      <c r="AJ288" s="29" t="str">
        <f t="shared" si="188"/>
        <v/>
      </c>
      <c r="AK288" s="2"/>
      <c r="AL288" s="2"/>
      <c r="AM288" s="2"/>
      <c r="AN288" s="2"/>
      <c r="AO288" s="2"/>
      <c r="AP288" s="2"/>
      <c r="AQ288" s="2"/>
      <c r="AR288" s="2"/>
      <c r="AS288" s="2"/>
      <c r="AT288" s="2"/>
      <c r="AU288" s="2"/>
      <c r="AV288" s="2"/>
      <c r="AW288" s="2"/>
      <c r="AX288" s="2"/>
      <c r="AY288" s="2"/>
      <c r="AZ288" s="2"/>
      <c r="BA288" s="2"/>
      <c r="BB288" s="2"/>
      <c r="BC288" s="2"/>
    </row>
    <row r="289" spans="4:55" x14ac:dyDescent="0.25">
      <c r="D289" s="54"/>
      <c r="E289" s="54"/>
      <c r="F289" s="54"/>
      <c r="G289" s="54"/>
      <c r="H289" s="54"/>
      <c r="I289" s="54"/>
      <c r="J289" s="2"/>
      <c r="K289" s="2"/>
      <c r="L289" s="2"/>
      <c r="M289" s="2"/>
      <c r="N289" s="2"/>
      <c r="O289" s="2"/>
      <c r="P289" s="2"/>
      <c r="Q289" s="2"/>
      <c r="R289" s="2"/>
      <c r="S289" s="2"/>
      <c r="T289" s="2"/>
      <c r="U289" s="2"/>
      <c r="V289" s="2"/>
      <c r="W289" s="2"/>
      <c r="X289" s="2"/>
      <c r="Y289" s="2"/>
      <c r="Z289" s="2"/>
      <c r="AA289" s="264">
        <v>285</v>
      </c>
      <c r="AB289" s="16" t="str">
        <f t="shared" si="180"/>
        <v/>
      </c>
      <c r="AC289" s="16" t="str">
        <f t="shared" si="181"/>
        <v/>
      </c>
      <c r="AD289" s="16" t="str">
        <f t="shared" si="184"/>
        <v/>
      </c>
      <c r="AE289" s="16" t="str">
        <f t="shared" si="185"/>
        <v/>
      </c>
      <c r="AF289" s="16" t="str">
        <f t="shared" si="186"/>
        <v/>
      </c>
      <c r="AG289" s="16" t="str">
        <f t="shared" si="182"/>
        <v/>
      </c>
      <c r="AH289" s="16" t="str">
        <f t="shared" si="183"/>
        <v/>
      </c>
      <c r="AI289" s="29" t="str">
        <f t="shared" si="187"/>
        <v/>
      </c>
      <c r="AJ289" s="29" t="str">
        <f t="shared" si="188"/>
        <v/>
      </c>
      <c r="AK289" s="2"/>
      <c r="AL289" s="2"/>
      <c r="AM289" s="2"/>
      <c r="AN289" s="2"/>
      <c r="AO289" s="2"/>
      <c r="AP289" s="2"/>
      <c r="AQ289" s="2"/>
      <c r="AR289" s="2"/>
      <c r="AS289" s="2"/>
      <c r="AT289" s="2"/>
      <c r="AU289" s="2"/>
      <c r="AV289" s="2"/>
      <c r="AW289" s="2"/>
      <c r="AX289" s="2"/>
      <c r="AY289" s="2"/>
      <c r="AZ289" s="2"/>
      <c r="BA289" s="2"/>
      <c r="BB289" s="2"/>
      <c r="BC289" s="2"/>
    </row>
    <row r="290" spans="4:55" x14ac:dyDescent="0.25">
      <c r="D290" s="54"/>
      <c r="E290" s="54"/>
      <c r="F290" s="54"/>
      <c r="G290" s="54"/>
      <c r="H290" s="54"/>
      <c r="I290" s="54"/>
      <c r="J290" s="2"/>
      <c r="K290" s="2"/>
      <c r="L290" s="2"/>
      <c r="M290" s="2"/>
      <c r="N290" s="2"/>
      <c r="O290" s="2"/>
      <c r="P290" s="2"/>
      <c r="Q290" s="2"/>
      <c r="R290" s="2"/>
      <c r="S290" s="2"/>
      <c r="T290" s="2"/>
      <c r="U290" s="2"/>
      <c r="V290" s="2"/>
      <c r="W290" s="2"/>
      <c r="X290" s="2"/>
      <c r="Y290" s="2"/>
      <c r="Z290" s="2"/>
      <c r="AA290" s="264">
        <v>286</v>
      </c>
      <c r="AB290" s="16" t="str">
        <f t="shared" si="180"/>
        <v/>
      </c>
      <c r="AC290" s="16" t="str">
        <f t="shared" si="181"/>
        <v/>
      </c>
      <c r="AD290" s="16" t="str">
        <f t="shared" si="184"/>
        <v/>
      </c>
      <c r="AE290" s="16" t="str">
        <f t="shared" si="185"/>
        <v/>
      </c>
      <c r="AF290" s="16" t="str">
        <f t="shared" si="186"/>
        <v/>
      </c>
      <c r="AG290" s="16" t="str">
        <f t="shared" si="182"/>
        <v/>
      </c>
      <c r="AH290" s="16" t="str">
        <f t="shared" si="183"/>
        <v/>
      </c>
      <c r="AI290" s="29" t="str">
        <f t="shared" si="187"/>
        <v/>
      </c>
      <c r="AJ290" s="29" t="str">
        <f t="shared" si="188"/>
        <v/>
      </c>
      <c r="AK290" s="2"/>
      <c r="AL290" s="2"/>
      <c r="AM290" s="2"/>
      <c r="AN290" s="2"/>
      <c r="AO290" s="2"/>
      <c r="AP290" s="2"/>
      <c r="AQ290" s="2"/>
      <c r="AR290" s="2"/>
      <c r="AS290" s="2"/>
      <c r="AT290" s="2"/>
      <c r="AU290" s="2"/>
      <c r="AV290" s="2"/>
      <c r="AW290" s="2"/>
      <c r="AX290" s="2"/>
      <c r="AY290" s="2"/>
      <c r="AZ290" s="2"/>
      <c r="BA290" s="2"/>
      <c r="BB290" s="2"/>
      <c r="BC290" s="2"/>
    </row>
    <row r="291" spans="4:55" x14ac:dyDescent="0.25">
      <c r="D291" s="54"/>
      <c r="E291" s="54"/>
      <c r="F291" s="54"/>
      <c r="G291" s="54"/>
      <c r="H291" s="54"/>
      <c r="I291" s="54"/>
      <c r="J291" s="2"/>
      <c r="K291" s="2"/>
      <c r="L291" s="2"/>
      <c r="M291" s="2"/>
      <c r="N291" s="2"/>
      <c r="O291" s="2"/>
      <c r="P291" s="2"/>
      <c r="Q291" s="2"/>
      <c r="R291" s="2"/>
      <c r="S291" s="2"/>
      <c r="T291" s="2"/>
      <c r="U291" s="2"/>
      <c r="V291" s="2"/>
      <c r="W291" s="2"/>
      <c r="X291" s="2"/>
      <c r="Y291" s="2"/>
      <c r="Z291" s="2"/>
      <c r="AA291" s="264">
        <v>287</v>
      </c>
      <c r="AB291" s="16" t="str">
        <f t="shared" si="180"/>
        <v/>
      </c>
      <c r="AC291" s="16" t="str">
        <f t="shared" si="181"/>
        <v/>
      </c>
      <c r="AD291" s="16" t="str">
        <f t="shared" si="184"/>
        <v/>
      </c>
      <c r="AE291" s="16" t="str">
        <f t="shared" si="185"/>
        <v/>
      </c>
      <c r="AF291" s="16" t="str">
        <f t="shared" si="186"/>
        <v/>
      </c>
      <c r="AG291" s="16" t="str">
        <f t="shared" si="182"/>
        <v/>
      </c>
      <c r="AH291" s="16" t="str">
        <f t="shared" si="183"/>
        <v/>
      </c>
      <c r="AI291" s="29" t="str">
        <f t="shared" si="187"/>
        <v/>
      </c>
      <c r="AJ291" s="29" t="str">
        <f t="shared" si="188"/>
        <v/>
      </c>
      <c r="AK291" s="2"/>
      <c r="AL291" s="2"/>
      <c r="AM291" s="2"/>
      <c r="AN291" s="2"/>
      <c r="AO291" s="2"/>
      <c r="AP291" s="2"/>
      <c r="AQ291" s="2"/>
      <c r="AR291" s="2"/>
      <c r="AS291" s="2"/>
      <c r="AT291" s="2"/>
      <c r="AU291" s="2"/>
      <c r="AV291" s="2"/>
      <c r="AW291" s="2"/>
      <c r="AX291" s="2"/>
      <c r="AY291" s="2"/>
      <c r="AZ291" s="2"/>
      <c r="BA291" s="2"/>
      <c r="BB291" s="2"/>
      <c r="BC291" s="2"/>
    </row>
    <row r="292" spans="4:55" x14ac:dyDescent="0.25">
      <c r="D292" s="54"/>
      <c r="E292" s="54"/>
      <c r="F292" s="54"/>
      <c r="G292" s="54"/>
      <c r="H292" s="54"/>
      <c r="I292" s="54"/>
      <c r="J292" s="2"/>
      <c r="K292" s="2"/>
      <c r="L292" s="2"/>
      <c r="M292" s="2"/>
      <c r="N292" s="2"/>
      <c r="O292" s="2"/>
      <c r="P292" s="2"/>
      <c r="Q292" s="2"/>
      <c r="R292" s="2"/>
      <c r="S292" s="2"/>
      <c r="T292" s="2"/>
      <c r="U292" s="2"/>
      <c r="V292" s="2"/>
      <c r="W292" s="2"/>
      <c r="X292" s="2"/>
      <c r="Y292" s="2"/>
      <c r="Z292" s="2"/>
      <c r="AA292" s="264">
        <v>288</v>
      </c>
      <c r="AB292" s="16" t="str">
        <f t="shared" si="180"/>
        <v/>
      </c>
      <c r="AC292" s="16" t="str">
        <f t="shared" si="181"/>
        <v/>
      </c>
      <c r="AD292" s="16" t="str">
        <f t="shared" si="184"/>
        <v/>
      </c>
      <c r="AE292" s="16" t="str">
        <f t="shared" si="185"/>
        <v/>
      </c>
      <c r="AF292" s="16" t="str">
        <f t="shared" si="186"/>
        <v/>
      </c>
      <c r="AG292" s="16" t="str">
        <f t="shared" si="182"/>
        <v/>
      </c>
      <c r="AH292" s="16" t="str">
        <f t="shared" si="183"/>
        <v/>
      </c>
      <c r="AI292" s="29" t="str">
        <f t="shared" si="187"/>
        <v/>
      </c>
      <c r="AJ292" s="29" t="str">
        <f t="shared" si="188"/>
        <v/>
      </c>
      <c r="AK292" s="2"/>
      <c r="AL292" s="2"/>
      <c r="AM292" s="2"/>
      <c r="AN292" s="2"/>
      <c r="AO292" s="2"/>
      <c r="AP292" s="2"/>
      <c r="AQ292" s="2"/>
      <c r="AR292" s="2"/>
      <c r="AS292" s="2"/>
      <c r="AT292" s="2"/>
      <c r="AU292" s="2"/>
      <c r="AV292" s="2"/>
      <c r="AW292" s="2"/>
      <c r="AX292" s="2"/>
      <c r="AY292" s="2"/>
      <c r="AZ292" s="2"/>
      <c r="BA292" s="2"/>
      <c r="BB292" s="2"/>
      <c r="BC292" s="2"/>
    </row>
    <row r="293" spans="4:55" x14ac:dyDescent="0.25">
      <c r="D293" s="54"/>
      <c r="E293" s="54"/>
      <c r="F293" s="54"/>
      <c r="G293" s="54"/>
      <c r="H293" s="54"/>
      <c r="I293" s="54"/>
      <c r="J293" s="2"/>
      <c r="K293" s="2"/>
      <c r="L293" s="2"/>
      <c r="M293" s="2"/>
      <c r="N293" s="2"/>
      <c r="O293" s="2"/>
      <c r="P293" s="2"/>
      <c r="Q293" s="2"/>
      <c r="R293" s="2"/>
      <c r="S293" s="2"/>
      <c r="T293" s="2"/>
      <c r="U293" s="2"/>
      <c r="V293" s="2"/>
      <c r="W293" s="2"/>
      <c r="X293" s="2"/>
      <c r="Y293" s="2"/>
      <c r="Z293" s="2"/>
      <c r="AA293" s="264">
        <v>289</v>
      </c>
      <c r="AB293" s="16" t="str">
        <f t="shared" si="180"/>
        <v/>
      </c>
      <c r="AC293" s="16" t="str">
        <f t="shared" si="181"/>
        <v/>
      </c>
      <c r="AD293" s="16" t="str">
        <f t="shared" si="184"/>
        <v/>
      </c>
      <c r="AE293" s="16" t="str">
        <f t="shared" si="185"/>
        <v/>
      </c>
      <c r="AF293" s="16" t="str">
        <f t="shared" si="186"/>
        <v/>
      </c>
      <c r="AG293" s="16" t="str">
        <f t="shared" si="182"/>
        <v/>
      </c>
      <c r="AH293" s="16" t="str">
        <f t="shared" si="183"/>
        <v/>
      </c>
      <c r="AI293" s="29" t="str">
        <f t="shared" si="187"/>
        <v/>
      </c>
      <c r="AJ293" s="29" t="str">
        <f t="shared" si="188"/>
        <v/>
      </c>
      <c r="AK293" s="2"/>
      <c r="AL293" s="2"/>
      <c r="AM293" s="2"/>
      <c r="AN293" s="2"/>
      <c r="AO293" s="2"/>
      <c r="AP293" s="2"/>
      <c r="AQ293" s="2"/>
      <c r="AR293" s="2"/>
      <c r="AS293" s="2"/>
      <c r="AT293" s="2"/>
      <c r="AU293" s="2"/>
      <c r="AV293" s="2"/>
      <c r="AW293" s="2"/>
      <c r="AX293" s="2"/>
      <c r="AY293" s="2"/>
      <c r="AZ293" s="2"/>
      <c r="BA293" s="2"/>
      <c r="BB293" s="2"/>
      <c r="BC293" s="2"/>
    </row>
    <row r="294" spans="4:55" x14ac:dyDescent="0.25">
      <c r="D294" s="54"/>
      <c r="E294" s="54"/>
      <c r="F294" s="54"/>
      <c r="G294" s="54"/>
      <c r="H294" s="54"/>
      <c r="I294" s="54"/>
      <c r="J294" s="2"/>
      <c r="K294" s="2"/>
      <c r="L294" s="2"/>
      <c r="M294" s="2"/>
      <c r="N294" s="2"/>
      <c r="O294" s="2"/>
      <c r="P294" s="2"/>
      <c r="Q294" s="2"/>
      <c r="R294" s="2"/>
      <c r="S294" s="2"/>
      <c r="T294" s="2"/>
      <c r="U294" s="2"/>
      <c r="V294" s="2"/>
      <c r="W294" s="2"/>
      <c r="X294" s="2"/>
      <c r="Y294" s="2"/>
      <c r="Z294" s="2"/>
      <c r="AA294" s="264">
        <v>290</v>
      </c>
      <c r="AB294" s="16" t="str">
        <f t="shared" si="180"/>
        <v/>
      </c>
      <c r="AC294" s="16" t="str">
        <f t="shared" si="181"/>
        <v/>
      </c>
      <c r="AD294" s="16" t="str">
        <f t="shared" si="184"/>
        <v/>
      </c>
      <c r="AE294" s="16" t="str">
        <f t="shared" si="185"/>
        <v/>
      </c>
      <c r="AF294" s="16" t="str">
        <f t="shared" si="186"/>
        <v/>
      </c>
      <c r="AG294" s="16" t="str">
        <f t="shared" si="182"/>
        <v/>
      </c>
      <c r="AH294" s="16" t="str">
        <f t="shared" si="183"/>
        <v/>
      </c>
      <c r="AI294" s="29" t="str">
        <f t="shared" si="187"/>
        <v/>
      </c>
      <c r="AJ294" s="29" t="str">
        <f t="shared" si="188"/>
        <v/>
      </c>
      <c r="AK294" s="2"/>
      <c r="AL294" s="2"/>
      <c r="AM294" s="2"/>
      <c r="AN294" s="2"/>
      <c r="AO294" s="2"/>
      <c r="AP294" s="2"/>
      <c r="AQ294" s="2"/>
      <c r="AR294" s="2"/>
      <c r="AS294" s="2"/>
      <c r="AT294" s="2"/>
      <c r="AU294" s="2"/>
      <c r="AV294" s="2"/>
      <c r="AW294" s="2"/>
      <c r="AX294" s="2"/>
      <c r="AY294" s="2"/>
      <c r="AZ294" s="2"/>
      <c r="BA294" s="2"/>
      <c r="BB294" s="2"/>
      <c r="BC294" s="2"/>
    </row>
    <row r="295" spans="4:55" x14ac:dyDescent="0.25">
      <c r="D295" s="54"/>
      <c r="E295" s="54"/>
      <c r="F295" s="54"/>
      <c r="G295" s="54"/>
      <c r="H295" s="54"/>
      <c r="I295" s="54"/>
      <c r="J295" s="2"/>
      <c r="K295" s="2"/>
      <c r="L295" s="2"/>
      <c r="M295" s="2"/>
      <c r="N295" s="2"/>
      <c r="O295" s="2"/>
      <c r="P295" s="2"/>
      <c r="Q295" s="2"/>
      <c r="R295" s="2"/>
      <c r="S295" s="2"/>
      <c r="T295" s="2"/>
      <c r="U295" s="2"/>
      <c r="V295" s="2"/>
      <c r="W295" s="2"/>
      <c r="X295" s="2"/>
      <c r="Y295" s="2"/>
      <c r="Z295" s="2"/>
      <c r="AA295" s="264">
        <v>291</v>
      </c>
      <c r="AB295" s="16" t="str">
        <f t="shared" si="180"/>
        <v/>
      </c>
      <c r="AC295" s="16" t="str">
        <f t="shared" si="181"/>
        <v/>
      </c>
      <c r="AD295" s="16" t="str">
        <f t="shared" si="184"/>
        <v/>
      </c>
      <c r="AE295" s="16" t="str">
        <f t="shared" si="185"/>
        <v/>
      </c>
      <c r="AF295" s="16" t="str">
        <f t="shared" si="186"/>
        <v/>
      </c>
      <c r="AG295" s="16" t="str">
        <f t="shared" si="182"/>
        <v/>
      </c>
      <c r="AH295" s="16" t="str">
        <f t="shared" si="183"/>
        <v/>
      </c>
      <c r="AI295" s="29" t="str">
        <f t="shared" si="187"/>
        <v/>
      </c>
      <c r="AJ295" s="29" t="str">
        <f t="shared" si="188"/>
        <v/>
      </c>
      <c r="AK295" s="2"/>
      <c r="AL295" s="2"/>
      <c r="AM295" s="2"/>
      <c r="AN295" s="2"/>
      <c r="AO295" s="2"/>
      <c r="AP295" s="2"/>
      <c r="AQ295" s="2"/>
      <c r="AR295" s="2"/>
      <c r="AS295" s="2"/>
      <c r="AT295" s="2"/>
      <c r="AU295" s="2"/>
      <c r="AV295" s="2"/>
      <c r="AW295" s="2"/>
      <c r="AX295" s="2"/>
      <c r="AY295" s="2"/>
      <c r="AZ295" s="2"/>
      <c r="BA295" s="2"/>
      <c r="BB295" s="2"/>
      <c r="BC295" s="2"/>
    </row>
    <row r="296" spans="4:55" x14ac:dyDescent="0.25">
      <c r="D296" s="54"/>
      <c r="E296" s="54"/>
      <c r="F296" s="54"/>
      <c r="G296" s="54"/>
      <c r="H296" s="54"/>
      <c r="I296" s="54"/>
      <c r="J296" s="2"/>
      <c r="K296" s="2"/>
      <c r="L296" s="2"/>
      <c r="M296" s="2"/>
      <c r="N296" s="2"/>
      <c r="O296" s="2"/>
      <c r="P296" s="2"/>
      <c r="Q296" s="2"/>
      <c r="R296" s="2"/>
      <c r="S296" s="2"/>
      <c r="T296" s="2"/>
      <c r="U296" s="2"/>
      <c r="V296" s="2"/>
      <c r="W296" s="2"/>
      <c r="X296" s="2"/>
      <c r="Y296" s="2"/>
      <c r="Z296" s="2"/>
      <c r="AA296" s="264">
        <v>292</v>
      </c>
      <c r="AB296" s="16" t="str">
        <f t="shared" si="180"/>
        <v/>
      </c>
      <c r="AC296" s="16" t="str">
        <f t="shared" si="181"/>
        <v/>
      </c>
      <c r="AD296" s="16" t="str">
        <f t="shared" si="184"/>
        <v/>
      </c>
      <c r="AE296" s="16" t="str">
        <f t="shared" si="185"/>
        <v/>
      </c>
      <c r="AF296" s="16" t="str">
        <f t="shared" si="186"/>
        <v/>
      </c>
      <c r="AG296" s="16" t="str">
        <f t="shared" si="182"/>
        <v/>
      </c>
      <c r="AH296" s="16" t="str">
        <f t="shared" si="183"/>
        <v/>
      </c>
      <c r="AI296" s="29" t="str">
        <f t="shared" si="187"/>
        <v/>
      </c>
      <c r="AJ296" s="29" t="str">
        <f t="shared" si="188"/>
        <v/>
      </c>
      <c r="AK296" s="2"/>
      <c r="AL296" s="2"/>
      <c r="AM296" s="2"/>
      <c r="AN296" s="2"/>
      <c r="AO296" s="2"/>
      <c r="AP296" s="2"/>
      <c r="AQ296" s="2"/>
      <c r="AR296" s="2"/>
      <c r="AS296" s="2"/>
      <c r="AT296" s="2"/>
      <c r="AU296" s="2"/>
      <c r="AV296" s="2"/>
      <c r="AW296" s="2"/>
      <c r="AX296" s="2"/>
      <c r="AY296" s="2"/>
      <c r="AZ296" s="2"/>
      <c r="BA296" s="2"/>
      <c r="BB296" s="2"/>
      <c r="BC296" s="2"/>
    </row>
    <row r="297" spans="4:55" x14ac:dyDescent="0.25">
      <c r="D297" s="54"/>
      <c r="E297" s="54"/>
      <c r="F297" s="54"/>
      <c r="G297" s="54"/>
      <c r="H297" s="54"/>
      <c r="I297" s="54"/>
      <c r="J297" s="2"/>
      <c r="K297" s="2"/>
      <c r="L297" s="2"/>
      <c r="M297" s="2"/>
      <c r="N297" s="2"/>
      <c r="O297" s="2"/>
      <c r="P297" s="2"/>
      <c r="Q297" s="2"/>
      <c r="R297" s="2"/>
      <c r="S297" s="2"/>
      <c r="T297" s="2"/>
      <c r="U297" s="2"/>
      <c r="V297" s="2"/>
      <c r="W297" s="2"/>
      <c r="X297" s="2"/>
      <c r="Y297" s="2"/>
      <c r="Z297" s="2"/>
      <c r="AA297" s="264">
        <v>293</v>
      </c>
      <c r="AB297" s="16" t="str">
        <f t="shared" si="180"/>
        <v/>
      </c>
      <c r="AC297" s="16" t="str">
        <f t="shared" si="181"/>
        <v/>
      </c>
      <c r="AD297" s="16" t="str">
        <f t="shared" si="184"/>
        <v/>
      </c>
      <c r="AE297" s="16" t="str">
        <f t="shared" si="185"/>
        <v/>
      </c>
      <c r="AF297" s="16" t="str">
        <f t="shared" si="186"/>
        <v/>
      </c>
      <c r="AG297" s="16" t="str">
        <f t="shared" si="182"/>
        <v/>
      </c>
      <c r="AH297" s="16" t="str">
        <f t="shared" si="183"/>
        <v/>
      </c>
      <c r="AI297" s="29" t="str">
        <f t="shared" si="187"/>
        <v/>
      </c>
      <c r="AJ297" s="29" t="str">
        <f t="shared" si="188"/>
        <v/>
      </c>
      <c r="AK297" s="2"/>
      <c r="AL297" s="2"/>
      <c r="AM297" s="2"/>
      <c r="AN297" s="2"/>
      <c r="AO297" s="2"/>
      <c r="AP297" s="2"/>
      <c r="AQ297" s="2"/>
      <c r="AR297" s="2"/>
      <c r="AS297" s="2"/>
      <c r="AT297" s="2"/>
      <c r="AU297" s="2"/>
      <c r="AV297" s="2"/>
      <c r="AW297" s="2"/>
      <c r="AX297" s="2"/>
      <c r="AY297" s="2"/>
      <c r="AZ297" s="2"/>
      <c r="BA297" s="2"/>
      <c r="BB297" s="2"/>
      <c r="BC297" s="2"/>
    </row>
    <row r="298" spans="4:55" x14ac:dyDescent="0.25">
      <c r="D298" s="54"/>
      <c r="E298" s="54"/>
      <c r="F298" s="54"/>
      <c r="G298" s="54"/>
      <c r="H298" s="54"/>
      <c r="I298" s="54"/>
      <c r="J298" s="2"/>
      <c r="K298" s="2"/>
      <c r="L298" s="2"/>
      <c r="M298" s="2"/>
      <c r="N298" s="2"/>
      <c r="O298" s="2"/>
      <c r="P298" s="2"/>
      <c r="Q298" s="2"/>
      <c r="R298" s="2"/>
      <c r="S298" s="2"/>
      <c r="T298" s="2"/>
      <c r="U298" s="2"/>
      <c r="V298" s="2"/>
      <c r="W298" s="2"/>
      <c r="X298" s="2"/>
      <c r="Y298" s="2"/>
      <c r="Z298" s="2"/>
      <c r="AA298" s="264">
        <v>294</v>
      </c>
      <c r="AB298" s="16" t="str">
        <f t="shared" si="180"/>
        <v/>
      </c>
      <c r="AC298" s="16" t="str">
        <f t="shared" si="181"/>
        <v/>
      </c>
      <c r="AD298" s="16" t="str">
        <f t="shared" si="184"/>
        <v/>
      </c>
      <c r="AE298" s="16" t="str">
        <f t="shared" si="185"/>
        <v/>
      </c>
      <c r="AF298" s="16" t="str">
        <f t="shared" si="186"/>
        <v/>
      </c>
      <c r="AG298" s="16" t="str">
        <f t="shared" si="182"/>
        <v/>
      </c>
      <c r="AH298" s="16" t="str">
        <f t="shared" si="183"/>
        <v/>
      </c>
      <c r="AI298" s="29" t="str">
        <f t="shared" si="187"/>
        <v/>
      </c>
      <c r="AJ298" s="29" t="str">
        <f t="shared" si="188"/>
        <v/>
      </c>
      <c r="AK298" s="2"/>
      <c r="AL298" s="2"/>
      <c r="AM298" s="2"/>
      <c r="AN298" s="2"/>
      <c r="AO298" s="2"/>
      <c r="AP298" s="2"/>
      <c r="AQ298" s="2"/>
      <c r="AR298" s="2"/>
      <c r="AS298" s="2"/>
      <c r="AT298" s="2"/>
      <c r="AU298" s="2"/>
      <c r="AV298" s="2"/>
      <c r="AW298" s="2"/>
      <c r="AX298" s="2"/>
      <c r="AY298" s="2"/>
      <c r="AZ298" s="2"/>
      <c r="BA298" s="2"/>
      <c r="BB298" s="2"/>
      <c r="BC298" s="2"/>
    </row>
    <row r="299" spans="4:55" x14ac:dyDescent="0.25">
      <c r="D299" s="54"/>
      <c r="E299" s="54"/>
      <c r="F299" s="54"/>
      <c r="G299" s="54"/>
      <c r="H299" s="54"/>
      <c r="I299" s="54"/>
      <c r="J299" s="2"/>
      <c r="K299" s="2"/>
      <c r="L299" s="2"/>
      <c r="M299" s="2"/>
      <c r="N299" s="2"/>
      <c r="O299" s="2"/>
      <c r="P299" s="2"/>
      <c r="Q299" s="2"/>
      <c r="R299" s="2"/>
      <c r="S299" s="2"/>
      <c r="T299" s="2"/>
      <c r="U299" s="2"/>
      <c r="V299" s="2"/>
      <c r="W299" s="2"/>
      <c r="X299" s="2"/>
      <c r="Y299" s="2"/>
      <c r="Z299" s="2"/>
      <c r="AA299" s="264">
        <v>295</v>
      </c>
      <c r="AB299" s="16" t="str">
        <f t="shared" si="180"/>
        <v/>
      </c>
      <c r="AC299" s="16" t="str">
        <f t="shared" si="181"/>
        <v/>
      </c>
      <c r="AD299" s="16" t="str">
        <f t="shared" si="184"/>
        <v/>
      </c>
      <c r="AE299" s="16" t="str">
        <f t="shared" si="185"/>
        <v/>
      </c>
      <c r="AF299" s="16" t="str">
        <f t="shared" si="186"/>
        <v/>
      </c>
      <c r="AG299" s="16" t="str">
        <f t="shared" si="182"/>
        <v/>
      </c>
      <c r="AH299" s="16" t="str">
        <f t="shared" si="183"/>
        <v/>
      </c>
      <c r="AI299" s="29" t="str">
        <f t="shared" si="187"/>
        <v/>
      </c>
      <c r="AJ299" s="29" t="str">
        <f t="shared" si="188"/>
        <v/>
      </c>
      <c r="AK299" s="2"/>
      <c r="AL299" s="2"/>
      <c r="AM299" s="2"/>
      <c r="AN299" s="2"/>
      <c r="AO299" s="2"/>
      <c r="AP299" s="2"/>
      <c r="AQ299" s="2"/>
      <c r="AR299" s="2"/>
      <c r="AS299" s="2"/>
      <c r="AT299" s="2"/>
      <c r="AU299" s="2"/>
      <c r="AV299" s="2"/>
      <c r="AW299" s="2"/>
      <c r="AX299" s="2"/>
      <c r="AY299" s="2"/>
      <c r="AZ299" s="2"/>
      <c r="BA299" s="2"/>
      <c r="BB299" s="2"/>
      <c r="BC299" s="2"/>
    </row>
    <row r="300" spans="4:55" x14ac:dyDescent="0.25">
      <c r="D300" s="54"/>
      <c r="E300" s="54"/>
      <c r="F300" s="54"/>
      <c r="G300" s="54"/>
      <c r="H300" s="54"/>
      <c r="I300" s="54"/>
      <c r="J300" s="2"/>
      <c r="K300" s="2"/>
      <c r="L300" s="2"/>
      <c r="M300" s="2"/>
      <c r="N300" s="2"/>
      <c r="O300" s="2"/>
      <c r="P300" s="2"/>
      <c r="Q300" s="2"/>
      <c r="R300" s="2"/>
      <c r="S300" s="2"/>
      <c r="T300" s="2"/>
      <c r="U300" s="2"/>
      <c r="V300" s="2"/>
      <c r="W300" s="2"/>
      <c r="X300" s="2"/>
      <c r="Y300" s="2"/>
      <c r="Z300" s="2"/>
      <c r="AA300" s="264">
        <v>296</v>
      </c>
      <c r="AB300" s="16" t="str">
        <f t="shared" si="180"/>
        <v/>
      </c>
      <c r="AC300" s="16" t="str">
        <f t="shared" si="181"/>
        <v/>
      </c>
      <c r="AD300" s="16" t="str">
        <f t="shared" si="184"/>
        <v/>
      </c>
      <c r="AE300" s="16" t="str">
        <f t="shared" si="185"/>
        <v/>
      </c>
      <c r="AF300" s="16" t="str">
        <f t="shared" si="186"/>
        <v/>
      </c>
      <c r="AG300" s="16" t="str">
        <f t="shared" si="182"/>
        <v/>
      </c>
      <c r="AH300" s="16" t="str">
        <f t="shared" si="183"/>
        <v/>
      </c>
      <c r="AI300" s="29" t="str">
        <f t="shared" si="187"/>
        <v/>
      </c>
      <c r="AJ300" s="29" t="str">
        <f t="shared" si="188"/>
        <v/>
      </c>
      <c r="AK300" s="2"/>
      <c r="AL300" s="2"/>
      <c r="AM300" s="2"/>
      <c r="AN300" s="2"/>
      <c r="AO300" s="2"/>
      <c r="AP300" s="2"/>
      <c r="AQ300" s="2"/>
      <c r="AR300" s="2"/>
      <c r="AS300" s="2"/>
      <c r="AT300" s="2"/>
      <c r="AU300" s="2"/>
      <c r="AV300" s="2"/>
      <c r="AW300" s="2"/>
      <c r="AX300" s="2"/>
      <c r="AY300" s="2"/>
      <c r="AZ300" s="2"/>
      <c r="BA300" s="2"/>
      <c r="BB300" s="2"/>
      <c r="BC300" s="2"/>
    </row>
    <row r="301" spans="4:55" x14ac:dyDescent="0.25">
      <c r="D301" s="54"/>
      <c r="E301" s="54"/>
      <c r="F301" s="54"/>
      <c r="G301" s="54"/>
      <c r="H301" s="54"/>
      <c r="I301" s="54"/>
      <c r="J301" s="2"/>
      <c r="K301" s="2"/>
      <c r="L301" s="2"/>
      <c r="M301" s="2"/>
      <c r="N301" s="2"/>
      <c r="O301" s="2"/>
      <c r="P301" s="2"/>
      <c r="Q301" s="2"/>
      <c r="R301" s="2"/>
      <c r="S301" s="2"/>
      <c r="T301" s="2"/>
      <c r="U301" s="2"/>
      <c r="V301" s="2"/>
      <c r="W301" s="2"/>
      <c r="X301" s="2"/>
      <c r="Y301" s="2"/>
      <c r="Z301" s="2"/>
      <c r="AA301" s="264">
        <v>297</v>
      </c>
      <c r="AB301" s="16" t="str">
        <f t="shared" si="180"/>
        <v/>
      </c>
      <c r="AC301" s="16" t="str">
        <f t="shared" si="181"/>
        <v/>
      </c>
      <c r="AD301" s="16" t="str">
        <f t="shared" si="184"/>
        <v/>
      </c>
      <c r="AE301" s="16" t="str">
        <f t="shared" si="185"/>
        <v/>
      </c>
      <c r="AF301" s="16" t="str">
        <f t="shared" si="186"/>
        <v/>
      </c>
      <c r="AG301" s="16" t="str">
        <f t="shared" si="182"/>
        <v/>
      </c>
      <c r="AH301" s="16" t="str">
        <f t="shared" si="183"/>
        <v/>
      </c>
      <c r="AI301" s="29" t="str">
        <f t="shared" si="187"/>
        <v/>
      </c>
      <c r="AJ301" s="29" t="str">
        <f t="shared" si="188"/>
        <v/>
      </c>
      <c r="AK301" s="2"/>
      <c r="AL301" s="2"/>
      <c r="AM301" s="2"/>
      <c r="AN301" s="2"/>
      <c r="AO301" s="2"/>
      <c r="AP301" s="2"/>
      <c r="AQ301" s="2"/>
      <c r="AR301" s="2"/>
      <c r="AS301" s="2"/>
      <c r="AT301" s="2"/>
      <c r="AU301" s="2"/>
      <c r="AV301" s="2"/>
      <c r="AW301" s="2"/>
      <c r="AX301" s="2"/>
      <c r="AY301" s="2"/>
      <c r="AZ301" s="2"/>
      <c r="BA301" s="2"/>
      <c r="BB301" s="2"/>
      <c r="BC301" s="2"/>
    </row>
    <row r="302" spans="4:55" x14ac:dyDescent="0.25">
      <c r="D302" s="54"/>
      <c r="E302" s="54"/>
      <c r="F302" s="54"/>
      <c r="G302" s="54"/>
      <c r="H302" s="54"/>
      <c r="I302" s="54"/>
      <c r="J302" s="2"/>
      <c r="K302" s="2"/>
      <c r="L302" s="2"/>
      <c r="M302" s="2"/>
      <c r="N302" s="2"/>
      <c r="O302" s="2"/>
      <c r="P302" s="2"/>
      <c r="Q302" s="2"/>
      <c r="R302" s="2"/>
      <c r="S302" s="2"/>
      <c r="T302" s="2"/>
      <c r="U302" s="2"/>
      <c r="V302" s="2"/>
      <c r="W302" s="2"/>
      <c r="X302" s="2"/>
      <c r="Y302" s="2"/>
      <c r="Z302" s="2"/>
      <c r="AA302" s="264">
        <v>298</v>
      </c>
      <c r="AB302" s="16" t="str">
        <f t="shared" si="180"/>
        <v/>
      </c>
      <c r="AC302" s="16" t="str">
        <f t="shared" si="181"/>
        <v/>
      </c>
      <c r="AD302" s="16" t="str">
        <f t="shared" si="184"/>
        <v/>
      </c>
      <c r="AE302" s="16" t="str">
        <f t="shared" si="185"/>
        <v/>
      </c>
      <c r="AF302" s="16" t="str">
        <f t="shared" si="186"/>
        <v/>
      </c>
      <c r="AG302" s="16" t="str">
        <f t="shared" si="182"/>
        <v/>
      </c>
      <c r="AH302" s="16" t="str">
        <f t="shared" si="183"/>
        <v/>
      </c>
      <c r="AI302" s="29" t="str">
        <f t="shared" si="187"/>
        <v/>
      </c>
      <c r="AJ302" s="29" t="str">
        <f t="shared" si="188"/>
        <v/>
      </c>
      <c r="AK302" s="2"/>
      <c r="AL302" s="2"/>
      <c r="AM302" s="2"/>
      <c r="AN302" s="2"/>
      <c r="AO302" s="2"/>
      <c r="AP302" s="2"/>
      <c r="AQ302" s="2"/>
      <c r="AR302" s="2"/>
      <c r="AS302" s="2"/>
      <c r="AT302" s="2"/>
      <c r="AU302" s="2"/>
      <c r="AV302" s="2"/>
      <c r="AW302" s="2"/>
      <c r="AX302" s="2"/>
      <c r="AY302" s="2"/>
      <c r="AZ302" s="2"/>
      <c r="BA302" s="2"/>
      <c r="BB302" s="2"/>
      <c r="BC302" s="2"/>
    </row>
    <row r="303" spans="4:55" x14ac:dyDescent="0.25">
      <c r="D303" s="54"/>
      <c r="E303" s="54"/>
      <c r="F303" s="54"/>
      <c r="G303" s="54"/>
      <c r="H303" s="54"/>
      <c r="I303" s="54"/>
      <c r="J303" s="2"/>
      <c r="K303" s="2"/>
      <c r="L303" s="2"/>
      <c r="M303" s="2"/>
      <c r="N303" s="2"/>
      <c r="O303" s="2"/>
      <c r="P303" s="2"/>
      <c r="Q303" s="2"/>
      <c r="R303" s="2"/>
      <c r="S303" s="2"/>
      <c r="T303" s="2"/>
      <c r="U303" s="2"/>
      <c r="V303" s="2"/>
      <c r="W303" s="2"/>
      <c r="X303" s="2"/>
      <c r="Y303" s="2"/>
      <c r="Z303" s="2"/>
      <c r="AA303" s="264">
        <v>299</v>
      </c>
      <c r="AB303" s="16" t="str">
        <f t="shared" si="180"/>
        <v/>
      </c>
      <c r="AC303" s="16" t="str">
        <f t="shared" si="181"/>
        <v/>
      </c>
      <c r="AD303" s="16" t="str">
        <f t="shared" si="184"/>
        <v/>
      </c>
      <c r="AE303" s="16" t="str">
        <f t="shared" si="185"/>
        <v/>
      </c>
      <c r="AF303" s="16" t="str">
        <f t="shared" si="186"/>
        <v/>
      </c>
      <c r="AG303" s="16" t="str">
        <f t="shared" si="182"/>
        <v/>
      </c>
      <c r="AH303" s="16" t="str">
        <f t="shared" si="183"/>
        <v/>
      </c>
      <c r="AI303" s="29" t="str">
        <f t="shared" si="187"/>
        <v/>
      </c>
      <c r="AJ303" s="29" t="str">
        <f t="shared" si="188"/>
        <v/>
      </c>
      <c r="AK303" s="2"/>
      <c r="AL303" s="2"/>
      <c r="AM303" s="2"/>
      <c r="AN303" s="2"/>
      <c r="AO303" s="2"/>
      <c r="AP303" s="2"/>
      <c r="AQ303" s="2"/>
      <c r="AR303" s="2"/>
      <c r="AS303" s="2"/>
      <c r="AT303" s="2"/>
      <c r="AU303" s="2"/>
      <c r="AV303" s="2"/>
      <c r="AW303" s="2"/>
      <c r="AX303" s="2"/>
      <c r="AY303" s="2"/>
      <c r="AZ303" s="2"/>
      <c r="BA303" s="2"/>
      <c r="BB303" s="2"/>
      <c r="BC303" s="2"/>
    </row>
    <row r="304" spans="4:55" x14ac:dyDescent="0.25">
      <c r="D304" s="54"/>
      <c r="E304" s="54"/>
      <c r="F304" s="54"/>
      <c r="G304" s="54"/>
      <c r="H304" s="54"/>
      <c r="I304" s="54"/>
      <c r="J304" s="2"/>
      <c r="K304" s="2"/>
      <c r="L304" s="2"/>
      <c r="M304" s="2"/>
      <c r="N304" s="2"/>
      <c r="O304" s="2"/>
      <c r="P304" s="2"/>
      <c r="Q304" s="2"/>
      <c r="R304" s="2"/>
      <c r="S304" s="2"/>
      <c r="T304" s="2"/>
      <c r="U304" s="2"/>
      <c r="V304" s="2"/>
      <c r="W304" s="2"/>
      <c r="X304" s="2"/>
      <c r="Y304" s="2"/>
      <c r="Z304" s="2"/>
      <c r="AA304" s="264">
        <v>300</v>
      </c>
      <c r="AB304" s="16" t="str">
        <f t="shared" si="180"/>
        <v/>
      </c>
      <c r="AC304" s="16" t="str">
        <f t="shared" si="181"/>
        <v/>
      </c>
      <c r="AD304" s="16" t="str">
        <f t="shared" si="184"/>
        <v/>
      </c>
      <c r="AE304" s="16" t="str">
        <f t="shared" si="185"/>
        <v/>
      </c>
      <c r="AF304" s="16" t="str">
        <f t="shared" si="186"/>
        <v/>
      </c>
      <c r="AG304" s="16" t="str">
        <f t="shared" si="182"/>
        <v/>
      </c>
      <c r="AH304" s="16" t="str">
        <f t="shared" si="183"/>
        <v/>
      </c>
      <c r="AI304" s="29" t="str">
        <f t="shared" si="187"/>
        <v/>
      </c>
      <c r="AJ304" s="29" t="str">
        <f t="shared" si="188"/>
        <v/>
      </c>
      <c r="AK304" s="2"/>
      <c r="AL304" s="2"/>
      <c r="AM304" s="2"/>
      <c r="AN304" s="2"/>
      <c r="AO304" s="2"/>
      <c r="AP304" s="2"/>
      <c r="AQ304" s="2"/>
      <c r="AR304" s="2"/>
      <c r="AS304" s="2"/>
      <c r="AT304" s="2"/>
      <c r="AU304" s="2"/>
      <c r="AV304" s="2"/>
      <c r="AW304" s="2"/>
      <c r="AX304" s="2"/>
      <c r="AY304" s="2"/>
      <c r="AZ304" s="2"/>
      <c r="BA304" s="2"/>
      <c r="BB304" s="2"/>
      <c r="BC304" s="2"/>
    </row>
    <row r="305" spans="4:57" x14ac:dyDescent="0.25">
      <c r="D305" s="54"/>
      <c r="E305" s="54"/>
      <c r="F305" s="54"/>
      <c r="G305" s="54"/>
      <c r="H305" s="54"/>
      <c r="I305" s="54"/>
      <c r="J305" s="2"/>
      <c r="K305" s="2"/>
      <c r="L305" s="2"/>
      <c r="M305" s="2"/>
      <c r="N305" s="2"/>
      <c r="O305" s="2"/>
      <c r="P305" s="2"/>
      <c r="Q305" s="2"/>
      <c r="R305" s="2"/>
      <c r="S305" s="2"/>
      <c r="T305" s="2"/>
      <c r="U305" s="2"/>
      <c r="V305" s="2"/>
      <c r="W305" s="2"/>
      <c r="X305" s="2"/>
      <c r="Y305" s="2"/>
      <c r="Z305" s="2"/>
      <c r="AA305" s="264">
        <v>301</v>
      </c>
      <c r="AB305" s="16" t="str">
        <f>IF($C$9&gt;=$AA305,$U13+0.000001-$AB$410,"")</f>
        <v/>
      </c>
      <c r="AC305" s="16" t="str">
        <f>IF($C$9&gt;=$AA305,$T13+0.000001-$AB$409,"")</f>
        <v/>
      </c>
      <c r="AD305" s="16" t="str">
        <f t="shared" si="184"/>
        <v/>
      </c>
      <c r="AE305" s="16" t="str">
        <f t="shared" si="185"/>
        <v/>
      </c>
      <c r="AF305" s="16" t="str">
        <f t="shared" si="186"/>
        <v/>
      </c>
      <c r="AG305" s="16" t="str">
        <f>IF($C$9&gt;=$AA305,$T13-$AB$409,"")</f>
        <v/>
      </c>
      <c r="AH305" s="16" t="str">
        <f>IF($C$9&gt;=$AA305,$U13-$AB$410,"")</f>
        <v/>
      </c>
      <c r="AI305" s="29" t="str">
        <f t="shared" si="187"/>
        <v/>
      </c>
      <c r="AJ305" s="29" t="str">
        <f t="shared" si="188"/>
        <v/>
      </c>
      <c r="AK305" s="2"/>
      <c r="AL305" s="2"/>
      <c r="AM305" s="2"/>
      <c r="AN305" s="2"/>
      <c r="AO305" s="2"/>
      <c r="AP305" s="2"/>
      <c r="AQ305" s="2"/>
      <c r="AR305" s="2"/>
      <c r="AS305" s="2"/>
      <c r="AT305" s="2"/>
      <c r="AU305" s="2"/>
      <c r="AV305" s="2"/>
      <c r="AW305" s="2"/>
      <c r="AX305" s="2"/>
      <c r="AY305" s="2"/>
      <c r="AZ305" s="2"/>
      <c r="BA305" s="2"/>
      <c r="BB305" s="2"/>
      <c r="BC305" s="2"/>
    </row>
    <row r="306" spans="4:57" x14ac:dyDescent="0.25">
      <c r="D306" s="54"/>
      <c r="E306" s="54"/>
      <c r="F306" s="54"/>
      <c r="G306" s="54"/>
      <c r="H306" s="54"/>
      <c r="I306" s="54"/>
      <c r="J306" s="2"/>
      <c r="K306" s="2"/>
      <c r="L306" s="2"/>
      <c r="M306" s="2"/>
      <c r="N306" s="2"/>
      <c r="O306" s="2"/>
      <c r="P306" s="2"/>
      <c r="Q306" s="2"/>
      <c r="R306" s="2"/>
      <c r="S306" s="2"/>
      <c r="T306" s="2"/>
      <c r="U306" s="2"/>
      <c r="V306" s="2"/>
      <c r="W306" s="2"/>
      <c r="X306" s="2"/>
      <c r="Y306" s="2"/>
      <c r="AA306" s="264">
        <v>302</v>
      </c>
      <c r="AB306" s="16" t="str">
        <f t="shared" ref="AB306:AB354" si="189">IF($C$9&gt;=$AA306,$U14+0.000001-$AB$410,"")</f>
        <v/>
      </c>
      <c r="AC306" s="16" t="str">
        <f t="shared" ref="AC306:AC354" si="190">IF($C$9&gt;=$AA306,$T14+0.000001-$AB$409,"")</f>
        <v/>
      </c>
      <c r="AD306" s="16" t="str">
        <f t="shared" si="184"/>
        <v/>
      </c>
      <c r="AE306" s="16" t="str">
        <f t="shared" si="185"/>
        <v/>
      </c>
      <c r="AF306" s="16" t="str">
        <f t="shared" si="186"/>
        <v/>
      </c>
      <c r="AG306" s="16" t="str">
        <f t="shared" ref="AG306:AG354" si="191">IF($C$9&gt;=$AA306,$T14-$AB$409,"")</f>
        <v/>
      </c>
      <c r="AH306" s="16" t="str">
        <f t="shared" ref="AH306:AH354" si="192">IF($C$9&gt;=$AA306,$U14-$AB$410,"")</f>
        <v/>
      </c>
      <c r="AI306" s="29" t="str">
        <f t="shared" si="187"/>
        <v/>
      </c>
      <c r="AJ306" s="29" t="str">
        <f t="shared" si="188"/>
        <v/>
      </c>
    </row>
    <row r="307" spans="4:57" x14ac:dyDescent="0.25">
      <c r="D307" s="54"/>
      <c r="E307" s="54"/>
      <c r="F307" s="54"/>
      <c r="G307" s="54"/>
      <c r="H307" s="54"/>
      <c r="I307" s="54"/>
      <c r="J307" s="2"/>
      <c r="K307" s="2"/>
      <c r="L307" s="2"/>
      <c r="M307" s="2"/>
      <c r="N307" s="2"/>
      <c r="O307" s="2"/>
      <c r="P307" s="2"/>
      <c r="Q307" s="2"/>
      <c r="R307" s="2"/>
      <c r="S307" s="2"/>
      <c r="T307" s="2"/>
      <c r="U307" s="2"/>
      <c r="V307" s="2"/>
      <c r="W307" s="2"/>
      <c r="X307" s="2"/>
      <c r="Y307" s="2"/>
      <c r="AA307" s="264">
        <v>303</v>
      </c>
      <c r="AB307" s="16" t="str">
        <f t="shared" si="189"/>
        <v/>
      </c>
      <c r="AC307" s="16" t="str">
        <f t="shared" si="190"/>
        <v/>
      </c>
      <c r="AD307" s="16" t="str">
        <f t="shared" si="184"/>
        <v/>
      </c>
      <c r="AE307" s="16" t="str">
        <f t="shared" si="185"/>
        <v/>
      </c>
      <c r="AF307" s="16" t="str">
        <f t="shared" si="186"/>
        <v/>
      </c>
      <c r="AG307" s="16" t="str">
        <f t="shared" si="191"/>
        <v/>
      </c>
      <c r="AH307" s="16" t="str">
        <f t="shared" si="192"/>
        <v/>
      </c>
      <c r="AI307" s="29" t="str">
        <f t="shared" si="187"/>
        <v/>
      </c>
      <c r="AJ307" s="29" t="str">
        <f t="shared" si="188"/>
        <v/>
      </c>
      <c r="BE307" s="23"/>
    </row>
    <row r="308" spans="4:57" x14ac:dyDescent="0.25">
      <c r="D308" s="54"/>
      <c r="E308" s="54"/>
      <c r="F308" s="54"/>
      <c r="G308" s="54"/>
      <c r="H308" s="54"/>
      <c r="I308" s="54"/>
      <c r="J308" s="2"/>
      <c r="K308" s="2"/>
      <c r="L308" s="2"/>
      <c r="M308" s="2"/>
      <c r="N308" s="2"/>
      <c r="O308" s="2"/>
      <c r="P308" s="2"/>
      <c r="Q308" s="2"/>
      <c r="R308" s="2"/>
      <c r="S308" s="2"/>
      <c r="T308" s="2"/>
      <c r="U308" s="2"/>
      <c r="V308" s="2"/>
      <c r="W308" s="2"/>
      <c r="X308" s="2"/>
      <c r="Y308" s="2"/>
      <c r="AA308" s="264">
        <v>304</v>
      </c>
      <c r="AB308" s="16" t="str">
        <f t="shared" si="189"/>
        <v/>
      </c>
      <c r="AC308" s="16" t="str">
        <f t="shared" si="190"/>
        <v/>
      </c>
      <c r="AD308" s="16" t="str">
        <f t="shared" si="184"/>
        <v/>
      </c>
      <c r="AE308" s="16" t="str">
        <f t="shared" si="185"/>
        <v/>
      </c>
      <c r="AF308" s="16" t="str">
        <f t="shared" si="186"/>
        <v/>
      </c>
      <c r="AG308" s="16" t="str">
        <f t="shared" si="191"/>
        <v/>
      </c>
      <c r="AH308" s="16" t="str">
        <f t="shared" si="192"/>
        <v/>
      </c>
      <c r="AI308" s="29" t="str">
        <f t="shared" si="187"/>
        <v/>
      </c>
      <c r="AJ308" s="29" t="str">
        <f t="shared" si="188"/>
        <v/>
      </c>
    </row>
    <row r="309" spans="4:57" x14ac:dyDescent="0.25">
      <c r="D309" s="54"/>
      <c r="E309" s="54"/>
      <c r="F309" s="54"/>
      <c r="G309" s="54"/>
      <c r="H309" s="54"/>
      <c r="I309" s="54"/>
      <c r="J309" s="2"/>
      <c r="K309" s="2"/>
      <c r="L309" s="2"/>
      <c r="M309" s="2"/>
      <c r="N309" s="2"/>
      <c r="O309" s="2"/>
      <c r="P309" s="2"/>
      <c r="Q309" s="2"/>
      <c r="R309" s="2"/>
      <c r="S309" s="2"/>
      <c r="T309" s="2"/>
      <c r="U309" s="2"/>
      <c r="V309" s="2"/>
      <c r="W309" s="2"/>
      <c r="X309" s="2"/>
      <c r="Y309" s="2"/>
      <c r="AA309" s="264">
        <v>305</v>
      </c>
      <c r="AB309" s="16" t="str">
        <f t="shared" si="189"/>
        <v/>
      </c>
      <c r="AC309" s="16" t="str">
        <f t="shared" si="190"/>
        <v/>
      </c>
      <c r="AD309" s="16" t="str">
        <f t="shared" si="184"/>
        <v/>
      </c>
      <c r="AE309" s="16" t="str">
        <f t="shared" si="185"/>
        <v/>
      </c>
      <c r="AF309" s="16" t="str">
        <f t="shared" si="186"/>
        <v/>
      </c>
      <c r="AG309" s="16" t="str">
        <f t="shared" si="191"/>
        <v/>
      </c>
      <c r="AH309" s="16" t="str">
        <f t="shared" si="192"/>
        <v/>
      </c>
      <c r="AI309" s="29" t="str">
        <f t="shared" si="187"/>
        <v/>
      </c>
      <c r="AJ309" s="29" t="str">
        <f t="shared" si="188"/>
        <v/>
      </c>
    </row>
    <row r="310" spans="4:57" x14ac:dyDescent="0.25">
      <c r="D310" s="54"/>
      <c r="E310" s="54"/>
      <c r="F310" s="54"/>
      <c r="G310" s="54"/>
      <c r="H310" s="54"/>
      <c r="I310" s="54"/>
      <c r="J310" s="2"/>
      <c r="K310" s="2"/>
      <c r="L310" s="2"/>
      <c r="M310" s="2"/>
      <c r="N310" s="2"/>
      <c r="O310" s="2"/>
      <c r="P310" s="2"/>
      <c r="Q310" s="2"/>
      <c r="R310" s="2"/>
      <c r="S310" s="2"/>
      <c r="T310" s="2"/>
      <c r="U310" s="2"/>
      <c r="V310" s="2"/>
      <c r="W310" s="2"/>
      <c r="X310" s="2"/>
      <c r="Y310" s="2"/>
      <c r="AA310" s="264">
        <v>306</v>
      </c>
      <c r="AB310" s="16" t="str">
        <f t="shared" si="189"/>
        <v/>
      </c>
      <c r="AC310" s="16" t="str">
        <f t="shared" si="190"/>
        <v/>
      </c>
      <c r="AD310" s="16" t="str">
        <f t="shared" si="184"/>
        <v/>
      </c>
      <c r="AE310" s="16" t="str">
        <f t="shared" si="185"/>
        <v/>
      </c>
      <c r="AF310" s="16" t="str">
        <f t="shared" si="186"/>
        <v/>
      </c>
      <c r="AG310" s="16" t="str">
        <f t="shared" si="191"/>
        <v/>
      </c>
      <c r="AH310" s="16" t="str">
        <f t="shared" si="192"/>
        <v/>
      </c>
      <c r="AI310" s="29" t="str">
        <f t="shared" si="187"/>
        <v/>
      </c>
      <c r="AJ310" s="29" t="str">
        <f t="shared" si="188"/>
        <v/>
      </c>
    </row>
    <row r="311" spans="4:57" x14ac:dyDescent="0.25">
      <c r="D311" s="54"/>
      <c r="E311" s="54"/>
      <c r="F311" s="54"/>
      <c r="G311" s="54"/>
      <c r="H311" s="54"/>
      <c r="I311" s="54"/>
      <c r="J311" s="2"/>
      <c r="K311" s="2"/>
      <c r="L311" s="2"/>
      <c r="M311" s="2"/>
      <c r="N311" s="2"/>
      <c r="O311" s="2"/>
      <c r="P311" s="2"/>
      <c r="Q311" s="2"/>
      <c r="R311" s="2"/>
      <c r="S311" s="2"/>
      <c r="T311" s="2"/>
      <c r="U311" s="2"/>
      <c r="V311" s="2"/>
      <c r="W311" s="2"/>
      <c r="X311" s="2"/>
      <c r="Y311" s="2"/>
      <c r="AA311" s="264">
        <v>307</v>
      </c>
      <c r="AB311" s="16" t="str">
        <f t="shared" si="189"/>
        <v/>
      </c>
      <c r="AC311" s="16" t="str">
        <f t="shared" si="190"/>
        <v/>
      </c>
      <c r="AD311" s="16" t="str">
        <f t="shared" si="184"/>
        <v/>
      </c>
      <c r="AE311" s="16" t="str">
        <f t="shared" si="185"/>
        <v/>
      </c>
      <c r="AF311" s="16" t="str">
        <f t="shared" si="186"/>
        <v/>
      </c>
      <c r="AG311" s="16" t="str">
        <f t="shared" si="191"/>
        <v/>
      </c>
      <c r="AH311" s="16" t="str">
        <f t="shared" si="192"/>
        <v/>
      </c>
      <c r="AI311" s="29" t="str">
        <f t="shared" si="187"/>
        <v/>
      </c>
      <c r="AJ311" s="29" t="str">
        <f t="shared" si="188"/>
        <v/>
      </c>
    </row>
    <row r="312" spans="4:57" x14ac:dyDescent="0.25">
      <c r="D312" s="54"/>
      <c r="E312" s="54"/>
      <c r="F312" s="54"/>
      <c r="G312" s="54"/>
      <c r="H312" s="54"/>
      <c r="I312" s="54"/>
      <c r="J312" s="2"/>
      <c r="K312" s="2"/>
      <c r="L312" s="2"/>
      <c r="M312" s="2"/>
      <c r="N312" s="2"/>
      <c r="O312" s="2"/>
      <c r="P312" s="2"/>
      <c r="Q312" s="2"/>
      <c r="R312" s="2"/>
      <c r="S312" s="2"/>
      <c r="T312" s="2"/>
      <c r="U312" s="2"/>
      <c r="V312" s="2"/>
      <c r="W312" s="2"/>
      <c r="X312" s="2"/>
      <c r="Y312" s="2"/>
      <c r="AA312" s="264">
        <v>308</v>
      </c>
      <c r="AB312" s="16" t="str">
        <f t="shared" si="189"/>
        <v/>
      </c>
      <c r="AC312" s="16" t="str">
        <f t="shared" si="190"/>
        <v/>
      </c>
      <c r="AD312" s="16" t="str">
        <f t="shared" si="184"/>
        <v/>
      </c>
      <c r="AE312" s="16" t="str">
        <f t="shared" si="185"/>
        <v/>
      </c>
      <c r="AF312" s="16" t="str">
        <f t="shared" si="186"/>
        <v/>
      </c>
      <c r="AG312" s="16" t="str">
        <f t="shared" si="191"/>
        <v/>
      </c>
      <c r="AH312" s="16" t="str">
        <f t="shared" si="192"/>
        <v/>
      </c>
      <c r="AI312" s="29" t="str">
        <f t="shared" si="187"/>
        <v/>
      </c>
      <c r="AJ312" s="29" t="str">
        <f t="shared" si="188"/>
        <v/>
      </c>
    </row>
    <row r="313" spans="4:57" x14ac:dyDescent="0.25">
      <c r="D313" s="54"/>
      <c r="E313" s="54"/>
      <c r="F313" s="54"/>
      <c r="G313" s="54"/>
      <c r="H313" s="54"/>
      <c r="I313" s="54"/>
      <c r="J313" s="2"/>
      <c r="AA313" s="264">
        <v>309</v>
      </c>
      <c r="AB313" s="16" t="str">
        <f t="shared" si="189"/>
        <v/>
      </c>
      <c r="AC313" s="16" t="str">
        <f t="shared" si="190"/>
        <v/>
      </c>
      <c r="AD313" s="16" t="str">
        <f t="shared" si="184"/>
        <v/>
      </c>
      <c r="AE313" s="16" t="str">
        <f t="shared" si="185"/>
        <v/>
      </c>
      <c r="AF313" s="16" t="str">
        <f t="shared" si="186"/>
        <v/>
      </c>
      <c r="AG313" s="16" t="str">
        <f t="shared" si="191"/>
        <v/>
      </c>
      <c r="AH313" s="16" t="str">
        <f t="shared" si="192"/>
        <v/>
      </c>
      <c r="AI313" s="29" t="str">
        <f t="shared" si="187"/>
        <v/>
      </c>
      <c r="AJ313" s="29" t="str">
        <f t="shared" si="188"/>
        <v/>
      </c>
    </row>
    <row r="314" spans="4:57" x14ac:dyDescent="0.25">
      <c r="D314" s="54"/>
      <c r="E314" s="54"/>
      <c r="F314" s="54"/>
      <c r="G314" s="54"/>
      <c r="H314" s="54"/>
      <c r="I314" s="54"/>
      <c r="J314" s="2"/>
      <c r="AA314" s="264">
        <v>310</v>
      </c>
      <c r="AB314" s="16" t="str">
        <f t="shared" si="189"/>
        <v/>
      </c>
      <c r="AC314" s="16" t="str">
        <f t="shared" si="190"/>
        <v/>
      </c>
      <c r="AD314" s="16" t="str">
        <f t="shared" si="184"/>
        <v/>
      </c>
      <c r="AE314" s="16" t="str">
        <f t="shared" si="185"/>
        <v/>
      </c>
      <c r="AF314" s="16" t="str">
        <f t="shared" si="186"/>
        <v/>
      </c>
      <c r="AG314" s="16" t="str">
        <f t="shared" si="191"/>
        <v/>
      </c>
      <c r="AH314" s="16" t="str">
        <f t="shared" si="192"/>
        <v/>
      </c>
      <c r="AI314" s="29" t="str">
        <f t="shared" si="187"/>
        <v/>
      </c>
      <c r="AJ314" s="29" t="str">
        <f t="shared" si="188"/>
        <v/>
      </c>
    </row>
    <row r="315" spans="4:57" x14ac:dyDescent="0.25">
      <c r="D315" s="54"/>
      <c r="E315" s="54"/>
      <c r="F315" s="54"/>
      <c r="G315" s="54"/>
      <c r="H315" s="54"/>
      <c r="I315" s="54"/>
      <c r="J315" s="2"/>
      <c r="AA315" s="264">
        <v>311</v>
      </c>
      <c r="AB315" s="16" t="str">
        <f t="shared" si="189"/>
        <v/>
      </c>
      <c r="AC315" s="16" t="str">
        <f t="shared" si="190"/>
        <v/>
      </c>
      <c r="AD315" s="16" t="str">
        <f t="shared" si="184"/>
        <v/>
      </c>
      <c r="AE315" s="16" t="str">
        <f t="shared" si="185"/>
        <v/>
      </c>
      <c r="AF315" s="16" t="str">
        <f t="shared" si="186"/>
        <v/>
      </c>
      <c r="AG315" s="16" t="str">
        <f t="shared" si="191"/>
        <v/>
      </c>
      <c r="AH315" s="16" t="str">
        <f t="shared" si="192"/>
        <v/>
      </c>
      <c r="AI315" s="29" t="str">
        <f t="shared" si="187"/>
        <v/>
      </c>
      <c r="AJ315" s="29" t="str">
        <f t="shared" si="188"/>
        <v/>
      </c>
    </row>
    <row r="316" spans="4:57" x14ac:dyDescent="0.25">
      <c r="D316" s="54"/>
      <c r="E316" s="54"/>
      <c r="F316" s="54"/>
      <c r="G316" s="54"/>
      <c r="H316" s="54"/>
      <c r="I316" s="54"/>
      <c r="J316" s="2"/>
      <c r="AA316" s="264">
        <v>312</v>
      </c>
      <c r="AB316" s="16" t="str">
        <f t="shared" si="189"/>
        <v/>
      </c>
      <c r="AC316" s="16" t="str">
        <f t="shared" si="190"/>
        <v/>
      </c>
      <c r="AD316" s="16" t="str">
        <f t="shared" si="184"/>
        <v/>
      </c>
      <c r="AE316" s="16" t="str">
        <f t="shared" si="185"/>
        <v/>
      </c>
      <c r="AF316" s="16" t="str">
        <f t="shared" si="186"/>
        <v/>
      </c>
      <c r="AG316" s="16" t="str">
        <f t="shared" si="191"/>
        <v/>
      </c>
      <c r="AH316" s="16" t="str">
        <f t="shared" si="192"/>
        <v/>
      </c>
      <c r="AI316" s="29" t="str">
        <f t="shared" si="187"/>
        <v/>
      </c>
      <c r="AJ316" s="29" t="str">
        <f t="shared" si="188"/>
        <v/>
      </c>
    </row>
    <row r="317" spans="4:57" x14ac:dyDescent="0.25">
      <c r="D317" s="54"/>
      <c r="E317" s="54"/>
      <c r="F317" s="54"/>
      <c r="G317" s="54"/>
      <c r="H317" s="54"/>
      <c r="I317" s="54"/>
      <c r="J317" s="2"/>
      <c r="AA317" s="264">
        <v>313</v>
      </c>
      <c r="AB317" s="16" t="str">
        <f t="shared" si="189"/>
        <v/>
      </c>
      <c r="AC317" s="16" t="str">
        <f t="shared" si="190"/>
        <v/>
      </c>
      <c r="AD317" s="16" t="str">
        <f t="shared" si="184"/>
        <v/>
      </c>
      <c r="AE317" s="16" t="str">
        <f t="shared" si="185"/>
        <v/>
      </c>
      <c r="AF317" s="16" t="str">
        <f t="shared" si="186"/>
        <v/>
      </c>
      <c r="AG317" s="16" t="str">
        <f t="shared" si="191"/>
        <v/>
      </c>
      <c r="AH317" s="16" t="str">
        <f t="shared" si="192"/>
        <v/>
      </c>
      <c r="AI317" s="29" t="str">
        <f t="shared" si="187"/>
        <v/>
      </c>
      <c r="AJ317" s="29" t="str">
        <f t="shared" si="188"/>
        <v/>
      </c>
    </row>
    <row r="318" spans="4:57" x14ac:dyDescent="0.25">
      <c r="D318" s="54"/>
      <c r="E318" s="54"/>
      <c r="F318" s="54"/>
      <c r="G318" s="54"/>
      <c r="H318" s="54"/>
      <c r="I318" s="54"/>
      <c r="J318" s="2"/>
      <c r="AA318" s="264">
        <v>314</v>
      </c>
      <c r="AB318" s="16" t="str">
        <f t="shared" si="189"/>
        <v/>
      </c>
      <c r="AC318" s="16" t="str">
        <f t="shared" si="190"/>
        <v/>
      </c>
      <c r="AD318" s="16" t="str">
        <f t="shared" si="184"/>
        <v/>
      </c>
      <c r="AE318" s="16" t="str">
        <f t="shared" si="185"/>
        <v/>
      </c>
      <c r="AF318" s="16" t="str">
        <f t="shared" si="186"/>
        <v/>
      </c>
      <c r="AG318" s="16" t="str">
        <f t="shared" si="191"/>
        <v/>
      </c>
      <c r="AH318" s="16" t="str">
        <f t="shared" si="192"/>
        <v/>
      </c>
      <c r="AI318" s="29" t="str">
        <f t="shared" si="187"/>
        <v/>
      </c>
      <c r="AJ318" s="29" t="str">
        <f t="shared" si="188"/>
        <v/>
      </c>
    </row>
    <row r="319" spans="4:57" x14ac:dyDescent="0.25">
      <c r="D319" s="54"/>
      <c r="E319" s="54"/>
      <c r="F319" s="54"/>
      <c r="G319" s="54"/>
      <c r="H319" s="54"/>
      <c r="I319" s="54"/>
      <c r="J319" s="2"/>
      <c r="AA319" s="264">
        <v>315</v>
      </c>
      <c r="AB319" s="16" t="str">
        <f t="shared" si="189"/>
        <v/>
      </c>
      <c r="AC319" s="16" t="str">
        <f t="shared" si="190"/>
        <v/>
      </c>
      <c r="AD319" s="16" t="str">
        <f t="shared" si="184"/>
        <v/>
      </c>
      <c r="AE319" s="16" t="str">
        <f t="shared" si="185"/>
        <v/>
      </c>
      <c r="AF319" s="16" t="str">
        <f t="shared" si="186"/>
        <v/>
      </c>
      <c r="AG319" s="16" t="str">
        <f t="shared" si="191"/>
        <v/>
      </c>
      <c r="AH319" s="16" t="str">
        <f t="shared" si="192"/>
        <v/>
      </c>
      <c r="AI319" s="29" t="str">
        <f t="shared" si="187"/>
        <v/>
      </c>
      <c r="AJ319" s="29" t="str">
        <f t="shared" si="188"/>
        <v/>
      </c>
    </row>
    <row r="320" spans="4:57" x14ac:dyDescent="0.25">
      <c r="D320" s="54"/>
      <c r="E320" s="54"/>
      <c r="F320" s="54"/>
      <c r="G320" s="54"/>
      <c r="H320" s="54"/>
      <c r="I320" s="54"/>
      <c r="J320" s="2"/>
      <c r="AA320" s="264">
        <v>316</v>
      </c>
      <c r="AB320" s="16" t="str">
        <f t="shared" si="189"/>
        <v/>
      </c>
      <c r="AC320" s="16" t="str">
        <f t="shared" si="190"/>
        <v/>
      </c>
      <c r="AD320" s="16" t="str">
        <f t="shared" si="184"/>
        <v/>
      </c>
      <c r="AE320" s="16" t="str">
        <f t="shared" si="185"/>
        <v/>
      </c>
      <c r="AF320" s="16" t="str">
        <f t="shared" si="186"/>
        <v/>
      </c>
      <c r="AG320" s="16" t="str">
        <f t="shared" si="191"/>
        <v/>
      </c>
      <c r="AH320" s="16" t="str">
        <f t="shared" si="192"/>
        <v/>
      </c>
      <c r="AI320" s="29" t="str">
        <f t="shared" si="187"/>
        <v/>
      </c>
      <c r="AJ320" s="29" t="str">
        <f t="shared" si="188"/>
        <v/>
      </c>
    </row>
    <row r="321" spans="4:36" x14ac:dyDescent="0.25">
      <c r="D321" s="54"/>
      <c r="E321" s="54"/>
      <c r="F321" s="54"/>
      <c r="G321" s="54"/>
      <c r="H321" s="54"/>
      <c r="I321" s="54"/>
      <c r="J321" s="2"/>
      <c r="AA321" s="264">
        <v>317</v>
      </c>
      <c r="AB321" s="16" t="str">
        <f t="shared" si="189"/>
        <v/>
      </c>
      <c r="AC321" s="16" t="str">
        <f t="shared" si="190"/>
        <v/>
      </c>
      <c r="AD321" s="16" t="str">
        <f t="shared" si="184"/>
        <v/>
      </c>
      <c r="AE321" s="16" t="str">
        <f t="shared" si="185"/>
        <v/>
      </c>
      <c r="AF321" s="16" t="str">
        <f t="shared" si="186"/>
        <v/>
      </c>
      <c r="AG321" s="16" t="str">
        <f t="shared" si="191"/>
        <v/>
      </c>
      <c r="AH321" s="16" t="str">
        <f t="shared" si="192"/>
        <v/>
      </c>
      <c r="AI321" s="29" t="str">
        <f t="shared" si="187"/>
        <v/>
      </c>
      <c r="AJ321" s="29" t="str">
        <f t="shared" si="188"/>
        <v/>
      </c>
    </row>
    <row r="322" spans="4:36" x14ac:dyDescent="0.25">
      <c r="D322" s="54"/>
      <c r="E322" s="54"/>
      <c r="F322" s="54"/>
      <c r="G322" s="54"/>
      <c r="H322" s="54"/>
      <c r="I322" s="54"/>
      <c r="J322" s="2"/>
      <c r="AA322" s="264">
        <v>318</v>
      </c>
      <c r="AB322" s="16" t="str">
        <f t="shared" si="189"/>
        <v/>
      </c>
      <c r="AC322" s="16" t="str">
        <f t="shared" si="190"/>
        <v/>
      </c>
      <c r="AD322" s="16" t="str">
        <f t="shared" si="184"/>
        <v/>
      </c>
      <c r="AE322" s="16" t="str">
        <f t="shared" si="185"/>
        <v/>
      </c>
      <c r="AF322" s="16" t="str">
        <f t="shared" si="186"/>
        <v/>
      </c>
      <c r="AG322" s="16" t="str">
        <f t="shared" si="191"/>
        <v/>
      </c>
      <c r="AH322" s="16" t="str">
        <f t="shared" si="192"/>
        <v/>
      </c>
      <c r="AI322" s="29" t="str">
        <f t="shared" si="187"/>
        <v/>
      </c>
      <c r="AJ322" s="29" t="str">
        <f t="shared" si="188"/>
        <v/>
      </c>
    </row>
    <row r="323" spans="4:36" x14ac:dyDescent="0.25">
      <c r="D323" s="54"/>
      <c r="E323" s="54"/>
      <c r="F323" s="54"/>
      <c r="G323" s="54"/>
      <c r="H323" s="54"/>
      <c r="I323" s="54"/>
      <c r="J323" s="2"/>
      <c r="AA323" s="264">
        <v>319</v>
      </c>
      <c r="AB323" s="16" t="str">
        <f t="shared" si="189"/>
        <v/>
      </c>
      <c r="AC323" s="16" t="str">
        <f t="shared" si="190"/>
        <v/>
      </c>
      <c r="AD323" s="16" t="str">
        <f t="shared" si="184"/>
        <v/>
      </c>
      <c r="AE323" s="16" t="str">
        <f t="shared" si="185"/>
        <v/>
      </c>
      <c r="AF323" s="16" t="str">
        <f t="shared" si="186"/>
        <v/>
      </c>
      <c r="AG323" s="16" t="str">
        <f t="shared" si="191"/>
        <v/>
      </c>
      <c r="AH323" s="16" t="str">
        <f t="shared" si="192"/>
        <v/>
      </c>
      <c r="AI323" s="29" t="str">
        <f t="shared" si="187"/>
        <v/>
      </c>
      <c r="AJ323" s="29" t="str">
        <f t="shared" si="188"/>
        <v/>
      </c>
    </row>
    <row r="324" spans="4:36" x14ac:dyDescent="0.25">
      <c r="D324" s="54"/>
      <c r="E324" s="54"/>
      <c r="F324" s="54"/>
      <c r="G324" s="54"/>
      <c r="H324" s="54"/>
      <c r="I324" s="54"/>
      <c r="J324" s="2"/>
      <c r="AA324" s="264">
        <v>320</v>
      </c>
      <c r="AB324" s="16" t="str">
        <f t="shared" si="189"/>
        <v/>
      </c>
      <c r="AC324" s="16" t="str">
        <f t="shared" si="190"/>
        <v/>
      </c>
      <c r="AD324" s="16" t="str">
        <f t="shared" si="184"/>
        <v/>
      </c>
      <c r="AE324" s="16" t="str">
        <f t="shared" si="185"/>
        <v/>
      </c>
      <c r="AF324" s="16" t="str">
        <f t="shared" si="186"/>
        <v/>
      </c>
      <c r="AG324" s="16" t="str">
        <f t="shared" si="191"/>
        <v/>
      </c>
      <c r="AH324" s="16" t="str">
        <f t="shared" si="192"/>
        <v/>
      </c>
      <c r="AI324" s="29" t="str">
        <f t="shared" si="187"/>
        <v/>
      </c>
      <c r="AJ324" s="29" t="str">
        <f t="shared" si="188"/>
        <v/>
      </c>
    </row>
    <row r="325" spans="4:36" x14ac:dyDescent="0.25">
      <c r="D325" s="54"/>
      <c r="E325" s="54"/>
      <c r="F325" s="54"/>
      <c r="G325" s="54"/>
      <c r="H325" s="54"/>
      <c r="I325" s="54"/>
      <c r="J325" s="2"/>
      <c r="AA325" s="264">
        <v>321</v>
      </c>
      <c r="AB325" s="16" t="str">
        <f t="shared" si="189"/>
        <v/>
      </c>
      <c r="AC325" s="16" t="str">
        <f t="shared" si="190"/>
        <v/>
      </c>
      <c r="AD325" s="16" t="str">
        <f t="shared" ref="AD325:AD388" si="193">IF($C$9&gt;=$AA325,$AB325^2,"")</f>
        <v/>
      </c>
      <c r="AE325" s="16" t="str">
        <f t="shared" ref="AE325:AE388" si="194">IF($C$9&gt;=$AA325,$AC325^2,"")</f>
        <v/>
      </c>
      <c r="AF325" s="16" t="str">
        <f t="shared" ref="AF325:AF388" si="195">IF($C$9&gt;=$AA325,$AB325*$AC325,"")</f>
        <v/>
      </c>
      <c r="AG325" s="16" t="str">
        <f t="shared" si="191"/>
        <v/>
      </c>
      <c r="AH325" s="16" t="str">
        <f t="shared" si="192"/>
        <v/>
      </c>
      <c r="AI325" s="29" t="str">
        <f t="shared" ref="AI325:AI388" si="196">IF($C$9&gt;=$AA325,(-$AF$418/$C$9+($AF$422*$AB$411--$AF$421*$AB$414)/($AB$411*$AB$412-$AB$414^2)*$AG325+(-$AF$421*$AB$412-$AF$422*$AB$414)/($AB$411*$AB$412-$AB$414^2)*$AH325),"")</f>
        <v/>
      </c>
      <c r="AJ325" s="29" t="str">
        <f t="shared" ref="AJ325:AJ388" si="197">IF($C$9&gt;=$AA325,((($AF$419/$C$9+$AF$423*-$AH325/$AB$413)^2+($AF$420/$C$9+$AF$423*$AG325/$AB$413)^2)^(1/2)),"")</f>
        <v/>
      </c>
    </row>
    <row r="326" spans="4:36" x14ac:dyDescent="0.25">
      <c r="D326" s="54"/>
      <c r="E326" s="54"/>
      <c r="F326" s="54"/>
      <c r="G326" s="54"/>
      <c r="H326" s="54"/>
      <c r="I326" s="54"/>
      <c r="J326" s="2"/>
      <c r="AA326" s="264">
        <v>322</v>
      </c>
      <c r="AB326" s="16" t="str">
        <f t="shared" si="189"/>
        <v/>
      </c>
      <c r="AC326" s="16" t="str">
        <f t="shared" si="190"/>
        <v/>
      </c>
      <c r="AD326" s="16" t="str">
        <f t="shared" si="193"/>
        <v/>
      </c>
      <c r="AE326" s="16" t="str">
        <f t="shared" si="194"/>
        <v/>
      </c>
      <c r="AF326" s="16" t="str">
        <f t="shared" si="195"/>
        <v/>
      </c>
      <c r="AG326" s="16" t="str">
        <f t="shared" si="191"/>
        <v/>
      </c>
      <c r="AH326" s="16" t="str">
        <f t="shared" si="192"/>
        <v/>
      </c>
      <c r="AI326" s="29" t="str">
        <f t="shared" si="196"/>
        <v/>
      </c>
      <c r="AJ326" s="29" t="str">
        <f t="shared" si="197"/>
        <v/>
      </c>
    </row>
    <row r="327" spans="4:36" x14ac:dyDescent="0.25">
      <c r="D327" s="54"/>
      <c r="E327" s="54"/>
      <c r="F327" s="54"/>
      <c r="G327" s="54"/>
      <c r="H327" s="54"/>
      <c r="I327" s="54"/>
      <c r="J327" s="2"/>
      <c r="AA327" s="264">
        <v>323</v>
      </c>
      <c r="AB327" s="16" t="str">
        <f t="shared" si="189"/>
        <v/>
      </c>
      <c r="AC327" s="16" t="str">
        <f t="shared" si="190"/>
        <v/>
      </c>
      <c r="AD327" s="16" t="str">
        <f t="shared" si="193"/>
        <v/>
      </c>
      <c r="AE327" s="16" t="str">
        <f t="shared" si="194"/>
        <v/>
      </c>
      <c r="AF327" s="16" t="str">
        <f t="shared" si="195"/>
        <v/>
      </c>
      <c r="AG327" s="16" t="str">
        <f t="shared" si="191"/>
        <v/>
      </c>
      <c r="AH327" s="16" t="str">
        <f t="shared" si="192"/>
        <v/>
      </c>
      <c r="AI327" s="29" t="str">
        <f t="shared" si="196"/>
        <v/>
      </c>
      <c r="AJ327" s="29" t="str">
        <f t="shared" si="197"/>
        <v/>
      </c>
    </row>
    <row r="328" spans="4:36" x14ac:dyDescent="0.25">
      <c r="D328" s="54"/>
      <c r="E328" s="54"/>
      <c r="F328" s="54"/>
      <c r="G328" s="54"/>
      <c r="H328" s="54"/>
      <c r="I328" s="54"/>
      <c r="J328" s="2"/>
      <c r="AA328" s="264">
        <v>324</v>
      </c>
      <c r="AB328" s="16" t="str">
        <f t="shared" si="189"/>
        <v/>
      </c>
      <c r="AC328" s="16" t="str">
        <f t="shared" si="190"/>
        <v/>
      </c>
      <c r="AD328" s="16" t="str">
        <f t="shared" si="193"/>
        <v/>
      </c>
      <c r="AE328" s="16" t="str">
        <f t="shared" si="194"/>
        <v/>
      </c>
      <c r="AF328" s="16" t="str">
        <f t="shared" si="195"/>
        <v/>
      </c>
      <c r="AG328" s="16" t="str">
        <f t="shared" si="191"/>
        <v/>
      </c>
      <c r="AH328" s="16" t="str">
        <f t="shared" si="192"/>
        <v/>
      </c>
      <c r="AI328" s="29" t="str">
        <f t="shared" si="196"/>
        <v/>
      </c>
      <c r="AJ328" s="29" t="str">
        <f t="shared" si="197"/>
        <v/>
      </c>
    </row>
    <row r="329" spans="4:36" x14ac:dyDescent="0.25">
      <c r="D329" s="54"/>
      <c r="E329" s="54"/>
      <c r="F329" s="54"/>
      <c r="G329" s="54"/>
      <c r="H329" s="54"/>
      <c r="I329" s="54"/>
      <c r="J329" s="2"/>
      <c r="AA329" s="264">
        <v>325</v>
      </c>
      <c r="AB329" s="16" t="str">
        <f t="shared" si="189"/>
        <v/>
      </c>
      <c r="AC329" s="16" t="str">
        <f t="shared" si="190"/>
        <v/>
      </c>
      <c r="AD329" s="16" t="str">
        <f t="shared" si="193"/>
        <v/>
      </c>
      <c r="AE329" s="16" t="str">
        <f t="shared" si="194"/>
        <v/>
      </c>
      <c r="AF329" s="16" t="str">
        <f t="shared" si="195"/>
        <v/>
      </c>
      <c r="AG329" s="16" t="str">
        <f t="shared" si="191"/>
        <v/>
      </c>
      <c r="AH329" s="16" t="str">
        <f t="shared" si="192"/>
        <v/>
      </c>
      <c r="AI329" s="29" t="str">
        <f t="shared" si="196"/>
        <v/>
      </c>
      <c r="AJ329" s="29" t="str">
        <f t="shared" si="197"/>
        <v/>
      </c>
    </row>
    <row r="330" spans="4:36" x14ac:dyDescent="0.25">
      <c r="D330" s="54"/>
      <c r="E330" s="54"/>
      <c r="F330" s="54"/>
      <c r="G330" s="54"/>
      <c r="H330" s="54"/>
      <c r="I330" s="54"/>
      <c r="J330" s="2"/>
      <c r="AA330" s="264">
        <v>326</v>
      </c>
      <c r="AB330" s="16" t="str">
        <f t="shared" si="189"/>
        <v/>
      </c>
      <c r="AC330" s="16" t="str">
        <f t="shared" si="190"/>
        <v/>
      </c>
      <c r="AD330" s="16" t="str">
        <f t="shared" si="193"/>
        <v/>
      </c>
      <c r="AE330" s="16" t="str">
        <f t="shared" si="194"/>
        <v/>
      </c>
      <c r="AF330" s="16" t="str">
        <f t="shared" si="195"/>
        <v/>
      </c>
      <c r="AG330" s="16" t="str">
        <f t="shared" si="191"/>
        <v/>
      </c>
      <c r="AH330" s="16" t="str">
        <f t="shared" si="192"/>
        <v/>
      </c>
      <c r="AI330" s="29" t="str">
        <f t="shared" si="196"/>
        <v/>
      </c>
      <c r="AJ330" s="29" t="str">
        <f t="shared" si="197"/>
        <v/>
      </c>
    </row>
    <row r="331" spans="4:36" x14ac:dyDescent="0.25">
      <c r="D331" s="54"/>
      <c r="E331" s="54"/>
      <c r="F331" s="54"/>
      <c r="G331" s="54"/>
      <c r="H331" s="54"/>
      <c r="I331" s="54"/>
      <c r="J331" s="2"/>
      <c r="AA331" s="264">
        <v>327</v>
      </c>
      <c r="AB331" s="16" t="str">
        <f t="shared" si="189"/>
        <v/>
      </c>
      <c r="AC331" s="16" t="str">
        <f t="shared" si="190"/>
        <v/>
      </c>
      <c r="AD331" s="16" t="str">
        <f t="shared" si="193"/>
        <v/>
      </c>
      <c r="AE331" s="16" t="str">
        <f t="shared" si="194"/>
        <v/>
      </c>
      <c r="AF331" s="16" t="str">
        <f t="shared" si="195"/>
        <v/>
      </c>
      <c r="AG331" s="16" t="str">
        <f t="shared" si="191"/>
        <v/>
      </c>
      <c r="AH331" s="16" t="str">
        <f t="shared" si="192"/>
        <v/>
      </c>
      <c r="AI331" s="29" t="str">
        <f t="shared" si="196"/>
        <v/>
      </c>
      <c r="AJ331" s="29" t="str">
        <f t="shared" si="197"/>
        <v/>
      </c>
    </row>
    <row r="332" spans="4:36" x14ac:dyDescent="0.25">
      <c r="D332" s="54"/>
      <c r="E332" s="54"/>
      <c r="F332" s="54"/>
      <c r="G332" s="54"/>
      <c r="H332" s="54"/>
      <c r="I332" s="54"/>
      <c r="J332" s="2"/>
      <c r="AA332" s="264">
        <v>328</v>
      </c>
      <c r="AB332" s="16" t="str">
        <f t="shared" si="189"/>
        <v/>
      </c>
      <c r="AC332" s="16" t="str">
        <f t="shared" si="190"/>
        <v/>
      </c>
      <c r="AD332" s="16" t="str">
        <f t="shared" si="193"/>
        <v/>
      </c>
      <c r="AE332" s="16" t="str">
        <f t="shared" si="194"/>
        <v/>
      </c>
      <c r="AF332" s="16" t="str">
        <f t="shared" si="195"/>
        <v/>
      </c>
      <c r="AG332" s="16" t="str">
        <f t="shared" si="191"/>
        <v/>
      </c>
      <c r="AH332" s="16" t="str">
        <f t="shared" si="192"/>
        <v/>
      </c>
      <c r="AI332" s="29" t="str">
        <f t="shared" si="196"/>
        <v/>
      </c>
      <c r="AJ332" s="29" t="str">
        <f t="shared" si="197"/>
        <v/>
      </c>
    </row>
    <row r="333" spans="4:36" x14ac:dyDescent="0.25">
      <c r="D333" s="54"/>
      <c r="E333" s="54"/>
      <c r="F333" s="54"/>
      <c r="G333" s="54"/>
      <c r="H333" s="54"/>
      <c r="I333" s="54"/>
      <c r="J333" s="2"/>
      <c r="AA333" s="264">
        <v>329</v>
      </c>
      <c r="AB333" s="16" t="str">
        <f t="shared" si="189"/>
        <v/>
      </c>
      <c r="AC333" s="16" t="str">
        <f t="shared" si="190"/>
        <v/>
      </c>
      <c r="AD333" s="16" t="str">
        <f t="shared" si="193"/>
        <v/>
      </c>
      <c r="AE333" s="16" t="str">
        <f t="shared" si="194"/>
        <v/>
      </c>
      <c r="AF333" s="16" t="str">
        <f t="shared" si="195"/>
        <v/>
      </c>
      <c r="AG333" s="16" t="str">
        <f t="shared" si="191"/>
        <v/>
      </c>
      <c r="AH333" s="16" t="str">
        <f t="shared" si="192"/>
        <v/>
      </c>
      <c r="AI333" s="29" t="str">
        <f t="shared" si="196"/>
        <v/>
      </c>
      <c r="AJ333" s="29" t="str">
        <f t="shared" si="197"/>
        <v/>
      </c>
    </row>
    <row r="334" spans="4:36" x14ac:dyDescent="0.25">
      <c r="D334" s="54"/>
      <c r="E334" s="54"/>
      <c r="F334" s="54"/>
      <c r="G334" s="54"/>
      <c r="H334" s="54"/>
      <c r="I334" s="54"/>
      <c r="J334" s="2"/>
      <c r="AA334" s="264">
        <v>330</v>
      </c>
      <c r="AB334" s="16" t="str">
        <f t="shared" si="189"/>
        <v/>
      </c>
      <c r="AC334" s="16" t="str">
        <f t="shared" si="190"/>
        <v/>
      </c>
      <c r="AD334" s="16" t="str">
        <f t="shared" si="193"/>
        <v/>
      </c>
      <c r="AE334" s="16" t="str">
        <f t="shared" si="194"/>
        <v/>
      </c>
      <c r="AF334" s="16" t="str">
        <f t="shared" si="195"/>
        <v/>
      </c>
      <c r="AG334" s="16" t="str">
        <f t="shared" si="191"/>
        <v/>
      </c>
      <c r="AH334" s="16" t="str">
        <f t="shared" si="192"/>
        <v/>
      </c>
      <c r="AI334" s="29" t="str">
        <f t="shared" si="196"/>
        <v/>
      </c>
      <c r="AJ334" s="29" t="str">
        <f t="shared" si="197"/>
        <v/>
      </c>
    </row>
    <row r="335" spans="4:36" x14ac:dyDescent="0.25">
      <c r="D335" s="54"/>
      <c r="E335" s="54"/>
      <c r="F335" s="54"/>
      <c r="G335" s="54"/>
      <c r="H335" s="54"/>
      <c r="I335" s="54"/>
      <c r="J335" s="2"/>
      <c r="AA335" s="264">
        <v>331</v>
      </c>
      <c r="AB335" s="16" t="str">
        <f t="shared" si="189"/>
        <v/>
      </c>
      <c r="AC335" s="16" t="str">
        <f t="shared" si="190"/>
        <v/>
      </c>
      <c r="AD335" s="16" t="str">
        <f t="shared" si="193"/>
        <v/>
      </c>
      <c r="AE335" s="16" t="str">
        <f t="shared" si="194"/>
        <v/>
      </c>
      <c r="AF335" s="16" t="str">
        <f t="shared" si="195"/>
        <v/>
      </c>
      <c r="AG335" s="16" t="str">
        <f t="shared" si="191"/>
        <v/>
      </c>
      <c r="AH335" s="16" t="str">
        <f t="shared" si="192"/>
        <v/>
      </c>
      <c r="AI335" s="29" t="str">
        <f t="shared" si="196"/>
        <v/>
      </c>
      <c r="AJ335" s="29" t="str">
        <f t="shared" si="197"/>
        <v/>
      </c>
    </row>
    <row r="336" spans="4:36" x14ac:dyDescent="0.25">
      <c r="D336" s="54"/>
      <c r="E336" s="54"/>
      <c r="F336" s="54"/>
      <c r="G336" s="54"/>
      <c r="H336" s="54"/>
      <c r="I336" s="54"/>
      <c r="J336" s="2"/>
      <c r="AA336" s="264">
        <v>332</v>
      </c>
      <c r="AB336" s="16" t="str">
        <f t="shared" si="189"/>
        <v/>
      </c>
      <c r="AC336" s="16" t="str">
        <f t="shared" si="190"/>
        <v/>
      </c>
      <c r="AD336" s="16" t="str">
        <f t="shared" si="193"/>
        <v/>
      </c>
      <c r="AE336" s="16" t="str">
        <f t="shared" si="194"/>
        <v/>
      </c>
      <c r="AF336" s="16" t="str">
        <f t="shared" si="195"/>
        <v/>
      </c>
      <c r="AG336" s="16" t="str">
        <f t="shared" si="191"/>
        <v/>
      </c>
      <c r="AH336" s="16" t="str">
        <f t="shared" si="192"/>
        <v/>
      </c>
      <c r="AI336" s="29" t="str">
        <f t="shared" si="196"/>
        <v/>
      </c>
      <c r="AJ336" s="29" t="str">
        <f t="shared" si="197"/>
        <v/>
      </c>
    </row>
    <row r="337" spans="4:36" x14ac:dyDescent="0.25">
      <c r="D337" s="54"/>
      <c r="E337" s="54"/>
      <c r="F337" s="54"/>
      <c r="G337" s="54"/>
      <c r="H337" s="54"/>
      <c r="I337" s="54"/>
      <c r="J337" s="2"/>
      <c r="AA337" s="264">
        <v>333</v>
      </c>
      <c r="AB337" s="16" t="str">
        <f t="shared" si="189"/>
        <v/>
      </c>
      <c r="AC337" s="16" t="str">
        <f t="shared" si="190"/>
        <v/>
      </c>
      <c r="AD337" s="16" t="str">
        <f t="shared" si="193"/>
        <v/>
      </c>
      <c r="AE337" s="16" t="str">
        <f t="shared" si="194"/>
        <v/>
      </c>
      <c r="AF337" s="16" t="str">
        <f t="shared" si="195"/>
        <v/>
      </c>
      <c r="AG337" s="16" t="str">
        <f t="shared" si="191"/>
        <v/>
      </c>
      <c r="AH337" s="16" t="str">
        <f t="shared" si="192"/>
        <v/>
      </c>
      <c r="AI337" s="29" t="str">
        <f t="shared" si="196"/>
        <v/>
      </c>
      <c r="AJ337" s="29" t="str">
        <f t="shared" si="197"/>
        <v/>
      </c>
    </row>
    <row r="338" spans="4:36" x14ac:dyDescent="0.25">
      <c r="D338" s="54"/>
      <c r="E338" s="54"/>
      <c r="F338" s="54"/>
      <c r="G338" s="54"/>
      <c r="H338" s="54"/>
      <c r="I338" s="54"/>
      <c r="J338" s="2"/>
      <c r="AA338" s="264">
        <v>334</v>
      </c>
      <c r="AB338" s="16" t="str">
        <f t="shared" si="189"/>
        <v/>
      </c>
      <c r="AC338" s="16" t="str">
        <f t="shared" si="190"/>
        <v/>
      </c>
      <c r="AD338" s="16" t="str">
        <f t="shared" si="193"/>
        <v/>
      </c>
      <c r="AE338" s="16" t="str">
        <f t="shared" si="194"/>
        <v/>
      </c>
      <c r="AF338" s="16" t="str">
        <f t="shared" si="195"/>
        <v/>
      </c>
      <c r="AG338" s="16" t="str">
        <f t="shared" si="191"/>
        <v/>
      </c>
      <c r="AH338" s="16" t="str">
        <f t="shared" si="192"/>
        <v/>
      </c>
      <c r="AI338" s="29" t="str">
        <f t="shared" si="196"/>
        <v/>
      </c>
      <c r="AJ338" s="29" t="str">
        <f t="shared" si="197"/>
        <v/>
      </c>
    </row>
    <row r="339" spans="4:36" x14ac:dyDescent="0.25">
      <c r="D339" s="54"/>
      <c r="E339" s="54"/>
      <c r="F339" s="54"/>
      <c r="G339" s="54"/>
      <c r="H339" s="54"/>
      <c r="I339" s="54"/>
      <c r="J339" s="2"/>
      <c r="AA339" s="264">
        <v>335</v>
      </c>
      <c r="AB339" s="16" t="str">
        <f t="shared" si="189"/>
        <v/>
      </c>
      <c r="AC339" s="16" t="str">
        <f t="shared" si="190"/>
        <v/>
      </c>
      <c r="AD339" s="16" t="str">
        <f t="shared" si="193"/>
        <v/>
      </c>
      <c r="AE339" s="16" t="str">
        <f t="shared" si="194"/>
        <v/>
      </c>
      <c r="AF339" s="16" t="str">
        <f t="shared" si="195"/>
        <v/>
      </c>
      <c r="AG339" s="16" t="str">
        <f t="shared" si="191"/>
        <v/>
      </c>
      <c r="AH339" s="16" t="str">
        <f t="shared" si="192"/>
        <v/>
      </c>
      <c r="AI339" s="29" t="str">
        <f t="shared" si="196"/>
        <v/>
      </c>
      <c r="AJ339" s="29" t="str">
        <f t="shared" si="197"/>
        <v/>
      </c>
    </row>
    <row r="340" spans="4:36" x14ac:dyDescent="0.25">
      <c r="D340" s="54"/>
      <c r="E340" s="54"/>
      <c r="F340" s="54"/>
      <c r="G340" s="54"/>
      <c r="H340" s="54"/>
      <c r="I340" s="54"/>
      <c r="J340" s="2"/>
      <c r="AA340" s="264">
        <v>336</v>
      </c>
      <c r="AB340" s="16" t="str">
        <f t="shared" si="189"/>
        <v/>
      </c>
      <c r="AC340" s="16" t="str">
        <f t="shared" si="190"/>
        <v/>
      </c>
      <c r="AD340" s="16" t="str">
        <f t="shared" si="193"/>
        <v/>
      </c>
      <c r="AE340" s="16" t="str">
        <f t="shared" si="194"/>
        <v/>
      </c>
      <c r="AF340" s="16" t="str">
        <f t="shared" si="195"/>
        <v/>
      </c>
      <c r="AG340" s="16" t="str">
        <f t="shared" si="191"/>
        <v/>
      </c>
      <c r="AH340" s="16" t="str">
        <f t="shared" si="192"/>
        <v/>
      </c>
      <c r="AI340" s="29" t="str">
        <f t="shared" si="196"/>
        <v/>
      </c>
      <c r="AJ340" s="29" t="str">
        <f t="shared" si="197"/>
        <v/>
      </c>
    </row>
    <row r="341" spans="4:36" x14ac:dyDescent="0.25">
      <c r="D341" s="54"/>
      <c r="E341" s="54"/>
      <c r="F341" s="54"/>
      <c r="G341" s="54"/>
      <c r="H341" s="54"/>
      <c r="I341" s="54"/>
      <c r="J341" s="2"/>
      <c r="AA341" s="264">
        <v>337</v>
      </c>
      <c r="AB341" s="16" t="str">
        <f t="shared" si="189"/>
        <v/>
      </c>
      <c r="AC341" s="16" t="str">
        <f t="shared" si="190"/>
        <v/>
      </c>
      <c r="AD341" s="16" t="str">
        <f t="shared" si="193"/>
        <v/>
      </c>
      <c r="AE341" s="16" t="str">
        <f t="shared" si="194"/>
        <v/>
      </c>
      <c r="AF341" s="16" t="str">
        <f t="shared" si="195"/>
        <v/>
      </c>
      <c r="AG341" s="16" t="str">
        <f t="shared" si="191"/>
        <v/>
      </c>
      <c r="AH341" s="16" t="str">
        <f t="shared" si="192"/>
        <v/>
      </c>
      <c r="AI341" s="29" t="str">
        <f t="shared" si="196"/>
        <v/>
      </c>
      <c r="AJ341" s="29" t="str">
        <f t="shared" si="197"/>
        <v/>
      </c>
    </row>
    <row r="342" spans="4:36" x14ac:dyDescent="0.25">
      <c r="D342" s="54"/>
      <c r="E342" s="54"/>
      <c r="F342" s="54"/>
      <c r="G342" s="54"/>
      <c r="H342" s="54"/>
      <c r="I342" s="54"/>
      <c r="J342" s="2"/>
      <c r="AA342" s="264">
        <v>338</v>
      </c>
      <c r="AB342" s="16" t="str">
        <f t="shared" si="189"/>
        <v/>
      </c>
      <c r="AC342" s="16" t="str">
        <f t="shared" si="190"/>
        <v/>
      </c>
      <c r="AD342" s="16" t="str">
        <f t="shared" si="193"/>
        <v/>
      </c>
      <c r="AE342" s="16" t="str">
        <f t="shared" si="194"/>
        <v/>
      </c>
      <c r="AF342" s="16" t="str">
        <f t="shared" si="195"/>
        <v/>
      </c>
      <c r="AG342" s="16" t="str">
        <f t="shared" si="191"/>
        <v/>
      </c>
      <c r="AH342" s="16" t="str">
        <f t="shared" si="192"/>
        <v/>
      </c>
      <c r="AI342" s="29" t="str">
        <f t="shared" si="196"/>
        <v/>
      </c>
      <c r="AJ342" s="29" t="str">
        <f t="shared" si="197"/>
        <v/>
      </c>
    </row>
    <row r="343" spans="4:36" x14ac:dyDescent="0.25">
      <c r="D343" s="54"/>
      <c r="E343" s="54"/>
      <c r="F343" s="54"/>
      <c r="G343" s="54"/>
      <c r="H343" s="54"/>
      <c r="I343" s="54"/>
      <c r="J343" s="2"/>
      <c r="AA343" s="264">
        <v>339</v>
      </c>
      <c r="AB343" s="16" t="str">
        <f t="shared" si="189"/>
        <v/>
      </c>
      <c r="AC343" s="16" t="str">
        <f t="shared" si="190"/>
        <v/>
      </c>
      <c r="AD343" s="16" t="str">
        <f t="shared" si="193"/>
        <v/>
      </c>
      <c r="AE343" s="16" t="str">
        <f t="shared" si="194"/>
        <v/>
      </c>
      <c r="AF343" s="16" t="str">
        <f t="shared" si="195"/>
        <v/>
      </c>
      <c r="AG343" s="16" t="str">
        <f t="shared" si="191"/>
        <v/>
      </c>
      <c r="AH343" s="16" t="str">
        <f t="shared" si="192"/>
        <v/>
      </c>
      <c r="AI343" s="29" t="str">
        <f t="shared" si="196"/>
        <v/>
      </c>
      <c r="AJ343" s="29" t="str">
        <f t="shared" si="197"/>
        <v/>
      </c>
    </row>
    <row r="344" spans="4:36" x14ac:dyDescent="0.25">
      <c r="D344" s="54"/>
      <c r="E344" s="54"/>
      <c r="F344" s="54"/>
      <c r="G344" s="54"/>
      <c r="H344" s="54"/>
      <c r="I344" s="54"/>
      <c r="J344" s="2"/>
      <c r="AA344" s="264">
        <v>340</v>
      </c>
      <c r="AB344" s="16" t="str">
        <f t="shared" si="189"/>
        <v/>
      </c>
      <c r="AC344" s="16" t="str">
        <f t="shared" si="190"/>
        <v/>
      </c>
      <c r="AD344" s="16" t="str">
        <f t="shared" si="193"/>
        <v/>
      </c>
      <c r="AE344" s="16" t="str">
        <f t="shared" si="194"/>
        <v/>
      </c>
      <c r="AF344" s="16" t="str">
        <f t="shared" si="195"/>
        <v/>
      </c>
      <c r="AG344" s="16" t="str">
        <f t="shared" si="191"/>
        <v/>
      </c>
      <c r="AH344" s="16" t="str">
        <f t="shared" si="192"/>
        <v/>
      </c>
      <c r="AI344" s="29" t="str">
        <f t="shared" si="196"/>
        <v/>
      </c>
      <c r="AJ344" s="29" t="str">
        <f t="shared" si="197"/>
        <v/>
      </c>
    </row>
    <row r="345" spans="4:36" x14ac:dyDescent="0.25">
      <c r="D345" s="54"/>
      <c r="E345" s="54"/>
      <c r="F345" s="54"/>
      <c r="G345" s="54"/>
      <c r="H345" s="54"/>
      <c r="I345" s="54"/>
      <c r="J345" s="2"/>
      <c r="AA345" s="264">
        <v>341</v>
      </c>
      <c r="AB345" s="16" t="str">
        <f t="shared" si="189"/>
        <v/>
      </c>
      <c r="AC345" s="16" t="str">
        <f t="shared" si="190"/>
        <v/>
      </c>
      <c r="AD345" s="16" t="str">
        <f t="shared" si="193"/>
        <v/>
      </c>
      <c r="AE345" s="16" t="str">
        <f t="shared" si="194"/>
        <v/>
      </c>
      <c r="AF345" s="16" t="str">
        <f t="shared" si="195"/>
        <v/>
      </c>
      <c r="AG345" s="16" t="str">
        <f t="shared" si="191"/>
        <v/>
      </c>
      <c r="AH345" s="16" t="str">
        <f t="shared" si="192"/>
        <v/>
      </c>
      <c r="AI345" s="29" t="str">
        <f t="shared" si="196"/>
        <v/>
      </c>
      <c r="AJ345" s="29" t="str">
        <f t="shared" si="197"/>
        <v/>
      </c>
    </row>
    <row r="346" spans="4:36" x14ac:dyDescent="0.25">
      <c r="D346" s="54"/>
      <c r="E346" s="54"/>
      <c r="F346" s="54"/>
      <c r="G346" s="54"/>
      <c r="H346" s="54"/>
      <c r="I346" s="54"/>
      <c r="J346" s="2"/>
      <c r="AA346" s="264">
        <v>342</v>
      </c>
      <c r="AB346" s="16" t="str">
        <f t="shared" si="189"/>
        <v/>
      </c>
      <c r="AC346" s="16" t="str">
        <f t="shared" si="190"/>
        <v/>
      </c>
      <c r="AD346" s="16" t="str">
        <f t="shared" si="193"/>
        <v/>
      </c>
      <c r="AE346" s="16" t="str">
        <f t="shared" si="194"/>
        <v/>
      </c>
      <c r="AF346" s="16" t="str">
        <f t="shared" si="195"/>
        <v/>
      </c>
      <c r="AG346" s="16" t="str">
        <f t="shared" si="191"/>
        <v/>
      </c>
      <c r="AH346" s="16" t="str">
        <f t="shared" si="192"/>
        <v/>
      </c>
      <c r="AI346" s="29" t="str">
        <f t="shared" si="196"/>
        <v/>
      </c>
      <c r="AJ346" s="29" t="str">
        <f t="shared" si="197"/>
        <v/>
      </c>
    </row>
    <row r="347" spans="4:36" x14ac:dyDescent="0.25">
      <c r="D347" s="54"/>
      <c r="E347" s="54"/>
      <c r="F347" s="54"/>
      <c r="G347" s="54"/>
      <c r="H347" s="54"/>
      <c r="I347" s="54"/>
      <c r="J347" s="2"/>
      <c r="AA347" s="264">
        <v>343</v>
      </c>
      <c r="AB347" s="16" t="str">
        <f t="shared" si="189"/>
        <v/>
      </c>
      <c r="AC347" s="16" t="str">
        <f t="shared" si="190"/>
        <v/>
      </c>
      <c r="AD347" s="16" t="str">
        <f t="shared" si="193"/>
        <v/>
      </c>
      <c r="AE347" s="16" t="str">
        <f t="shared" si="194"/>
        <v/>
      </c>
      <c r="AF347" s="16" t="str">
        <f t="shared" si="195"/>
        <v/>
      </c>
      <c r="AG347" s="16" t="str">
        <f t="shared" si="191"/>
        <v/>
      </c>
      <c r="AH347" s="16" t="str">
        <f t="shared" si="192"/>
        <v/>
      </c>
      <c r="AI347" s="29" t="str">
        <f t="shared" si="196"/>
        <v/>
      </c>
      <c r="AJ347" s="29" t="str">
        <f t="shared" si="197"/>
        <v/>
      </c>
    </row>
    <row r="348" spans="4:36" x14ac:dyDescent="0.25">
      <c r="D348" s="54"/>
      <c r="E348" s="54"/>
      <c r="F348" s="54"/>
      <c r="G348" s="54"/>
      <c r="H348" s="54"/>
      <c r="I348" s="54"/>
      <c r="J348" s="2"/>
      <c r="AA348" s="264">
        <v>344</v>
      </c>
      <c r="AB348" s="16" t="str">
        <f t="shared" si="189"/>
        <v/>
      </c>
      <c r="AC348" s="16" t="str">
        <f t="shared" si="190"/>
        <v/>
      </c>
      <c r="AD348" s="16" t="str">
        <f t="shared" si="193"/>
        <v/>
      </c>
      <c r="AE348" s="16" t="str">
        <f t="shared" si="194"/>
        <v/>
      </c>
      <c r="AF348" s="16" t="str">
        <f t="shared" si="195"/>
        <v/>
      </c>
      <c r="AG348" s="16" t="str">
        <f t="shared" si="191"/>
        <v/>
      </c>
      <c r="AH348" s="16" t="str">
        <f t="shared" si="192"/>
        <v/>
      </c>
      <c r="AI348" s="29" t="str">
        <f t="shared" si="196"/>
        <v/>
      </c>
      <c r="AJ348" s="29" t="str">
        <f t="shared" si="197"/>
        <v/>
      </c>
    </row>
    <row r="349" spans="4:36" x14ac:dyDescent="0.25">
      <c r="D349" s="54"/>
      <c r="E349" s="54"/>
      <c r="F349" s="54"/>
      <c r="G349" s="54"/>
      <c r="H349" s="54"/>
      <c r="I349" s="54"/>
      <c r="J349" s="2"/>
      <c r="AA349" s="264">
        <v>345</v>
      </c>
      <c r="AB349" s="16" t="str">
        <f t="shared" si="189"/>
        <v/>
      </c>
      <c r="AC349" s="16" t="str">
        <f t="shared" si="190"/>
        <v/>
      </c>
      <c r="AD349" s="16" t="str">
        <f t="shared" si="193"/>
        <v/>
      </c>
      <c r="AE349" s="16" t="str">
        <f t="shared" si="194"/>
        <v/>
      </c>
      <c r="AF349" s="16" t="str">
        <f t="shared" si="195"/>
        <v/>
      </c>
      <c r="AG349" s="16" t="str">
        <f t="shared" si="191"/>
        <v/>
      </c>
      <c r="AH349" s="16" t="str">
        <f t="shared" si="192"/>
        <v/>
      </c>
      <c r="AI349" s="29" t="str">
        <f t="shared" si="196"/>
        <v/>
      </c>
      <c r="AJ349" s="29" t="str">
        <f t="shared" si="197"/>
        <v/>
      </c>
    </row>
    <row r="350" spans="4:36" x14ac:dyDescent="0.25">
      <c r="D350" s="54"/>
      <c r="E350" s="54"/>
      <c r="F350" s="54"/>
      <c r="G350" s="54"/>
      <c r="H350" s="54"/>
      <c r="I350" s="54"/>
      <c r="J350" s="2"/>
      <c r="AA350" s="264">
        <v>346</v>
      </c>
      <c r="AB350" s="16" t="str">
        <f t="shared" si="189"/>
        <v/>
      </c>
      <c r="AC350" s="16" t="str">
        <f t="shared" si="190"/>
        <v/>
      </c>
      <c r="AD350" s="16" t="str">
        <f t="shared" si="193"/>
        <v/>
      </c>
      <c r="AE350" s="16" t="str">
        <f t="shared" si="194"/>
        <v/>
      </c>
      <c r="AF350" s="16" t="str">
        <f t="shared" si="195"/>
        <v/>
      </c>
      <c r="AG350" s="16" t="str">
        <f t="shared" si="191"/>
        <v/>
      </c>
      <c r="AH350" s="16" t="str">
        <f t="shared" si="192"/>
        <v/>
      </c>
      <c r="AI350" s="29" t="str">
        <f t="shared" si="196"/>
        <v/>
      </c>
      <c r="AJ350" s="29" t="str">
        <f t="shared" si="197"/>
        <v/>
      </c>
    </row>
    <row r="351" spans="4:36" x14ac:dyDescent="0.25">
      <c r="D351" s="54"/>
      <c r="E351" s="54"/>
      <c r="F351" s="54"/>
      <c r="G351" s="54"/>
      <c r="H351" s="54"/>
      <c r="I351" s="54"/>
      <c r="J351" s="2"/>
      <c r="AA351" s="264">
        <v>347</v>
      </c>
      <c r="AB351" s="16" t="str">
        <f t="shared" si="189"/>
        <v/>
      </c>
      <c r="AC351" s="16" t="str">
        <f t="shared" si="190"/>
        <v/>
      </c>
      <c r="AD351" s="16" t="str">
        <f t="shared" si="193"/>
        <v/>
      </c>
      <c r="AE351" s="16" t="str">
        <f t="shared" si="194"/>
        <v/>
      </c>
      <c r="AF351" s="16" t="str">
        <f t="shared" si="195"/>
        <v/>
      </c>
      <c r="AG351" s="16" t="str">
        <f t="shared" si="191"/>
        <v/>
      </c>
      <c r="AH351" s="16" t="str">
        <f t="shared" si="192"/>
        <v/>
      </c>
      <c r="AI351" s="29" t="str">
        <f t="shared" si="196"/>
        <v/>
      </c>
      <c r="AJ351" s="29" t="str">
        <f t="shared" si="197"/>
        <v/>
      </c>
    </row>
    <row r="352" spans="4:36" x14ac:dyDescent="0.25">
      <c r="D352" s="54"/>
      <c r="E352" s="54"/>
      <c r="F352" s="54"/>
      <c r="G352" s="54"/>
      <c r="H352" s="54"/>
      <c r="I352" s="54"/>
      <c r="J352" s="2"/>
      <c r="AA352" s="264">
        <v>348</v>
      </c>
      <c r="AB352" s="16" t="str">
        <f t="shared" si="189"/>
        <v/>
      </c>
      <c r="AC352" s="16" t="str">
        <f t="shared" si="190"/>
        <v/>
      </c>
      <c r="AD352" s="16" t="str">
        <f t="shared" si="193"/>
        <v/>
      </c>
      <c r="AE352" s="16" t="str">
        <f t="shared" si="194"/>
        <v/>
      </c>
      <c r="AF352" s="16" t="str">
        <f t="shared" si="195"/>
        <v/>
      </c>
      <c r="AG352" s="16" t="str">
        <f t="shared" si="191"/>
        <v/>
      </c>
      <c r="AH352" s="16" t="str">
        <f t="shared" si="192"/>
        <v/>
      </c>
      <c r="AI352" s="29" t="str">
        <f t="shared" si="196"/>
        <v/>
      </c>
      <c r="AJ352" s="29" t="str">
        <f t="shared" si="197"/>
        <v/>
      </c>
    </row>
    <row r="353" spans="4:36" x14ac:dyDescent="0.25">
      <c r="D353" s="54"/>
      <c r="E353" s="54"/>
      <c r="F353" s="54"/>
      <c r="G353" s="54"/>
      <c r="H353" s="54"/>
      <c r="I353" s="54"/>
      <c r="J353" s="2"/>
      <c r="AA353" s="264">
        <v>349</v>
      </c>
      <c r="AB353" s="16" t="str">
        <f t="shared" si="189"/>
        <v/>
      </c>
      <c r="AC353" s="16" t="str">
        <f t="shared" si="190"/>
        <v/>
      </c>
      <c r="AD353" s="16" t="str">
        <f t="shared" si="193"/>
        <v/>
      </c>
      <c r="AE353" s="16" t="str">
        <f t="shared" si="194"/>
        <v/>
      </c>
      <c r="AF353" s="16" t="str">
        <f t="shared" si="195"/>
        <v/>
      </c>
      <c r="AG353" s="16" t="str">
        <f t="shared" si="191"/>
        <v/>
      </c>
      <c r="AH353" s="16" t="str">
        <f t="shared" si="192"/>
        <v/>
      </c>
      <c r="AI353" s="29" t="str">
        <f t="shared" si="196"/>
        <v/>
      </c>
      <c r="AJ353" s="29" t="str">
        <f t="shared" si="197"/>
        <v/>
      </c>
    </row>
    <row r="354" spans="4:36" x14ac:dyDescent="0.25">
      <c r="D354" s="54"/>
      <c r="E354" s="54"/>
      <c r="F354" s="54"/>
      <c r="G354" s="54"/>
      <c r="H354" s="54"/>
      <c r="I354" s="54"/>
      <c r="J354" s="2"/>
      <c r="AA354" s="264">
        <v>350</v>
      </c>
      <c r="AB354" s="16" t="str">
        <f t="shared" si="189"/>
        <v/>
      </c>
      <c r="AC354" s="16" t="str">
        <f t="shared" si="190"/>
        <v/>
      </c>
      <c r="AD354" s="16" t="str">
        <f t="shared" si="193"/>
        <v/>
      </c>
      <c r="AE354" s="16" t="str">
        <f t="shared" si="194"/>
        <v/>
      </c>
      <c r="AF354" s="16" t="str">
        <f t="shared" si="195"/>
        <v/>
      </c>
      <c r="AG354" s="16" t="str">
        <f t="shared" si="191"/>
        <v/>
      </c>
      <c r="AH354" s="16" t="str">
        <f t="shared" si="192"/>
        <v/>
      </c>
      <c r="AI354" s="29" t="str">
        <f t="shared" si="196"/>
        <v/>
      </c>
      <c r="AJ354" s="29" t="str">
        <f t="shared" si="197"/>
        <v/>
      </c>
    </row>
    <row r="355" spans="4:36" x14ac:dyDescent="0.25">
      <c r="D355" s="54"/>
      <c r="E355" s="54"/>
      <c r="F355" s="54"/>
      <c r="G355" s="54"/>
      <c r="H355" s="54"/>
      <c r="I355" s="54"/>
      <c r="J355" s="2"/>
      <c r="AA355" s="264">
        <v>351</v>
      </c>
      <c r="AB355" s="16" t="str">
        <f>IF($C$9&gt;=$AA355,$X13+0.000001-$AB$410,"")</f>
        <v/>
      </c>
      <c r="AC355" s="16" t="str">
        <f>IF($C$9&gt;=$AA355,$W13+0.000001-$AB$409,"")</f>
        <v/>
      </c>
      <c r="AD355" s="16" t="str">
        <f t="shared" si="193"/>
        <v/>
      </c>
      <c r="AE355" s="16" t="str">
        <f t="shared" si="194"/>
        <v/>
      </c>
      <c r="AF355" s="16" t="str">
        <f t="shared" si="195"/>
        <v/>
      </c>
      <c r="AG355" s="16" t="str">
        <f>IF($C$9&gt;=$AA355,$W13-$AB$409,"")</f>
        <v/>
      </c>
      <c r="AH355" s="16" t="str">
        <f>IF($C$9&gt;=$AA355,$X13-$AB$410,"")</f>
        <v/>
      </c>
      <c r="AI355" s="29" t="str">
        <f t="shared" si="196"/>
        <v/>
      </c>
      <c r="AJ355" s="29" t="str">
        <f t="shared" si="197"/>
        <v/>
      </c>
    </row>
    <row r="356" spans="4:36" x14ac:dyDescent="0.25">
      <c r="D356" s="54"/>
      <c r="E356" s="54"/>
      <c r="F356" s="54"/>
      <c r="G356" s="54"/>
      <c r="H356" s="54"/>
      <c r="I356" s="54"/>
      <c r="J356" s="2"/>
      <c r="AA356" s="264">
        <v>352</v>
      </c>
      <c r="AB356" s="16" t="str">
        <f t="shared" ref="AB356:AB404" si="198">IF($C$9&gt;=$AA356,$X14+0.000001-$AB$410,"")</f>
        <v/>
      </c>
      <c r="AC356" s="16" t="str">
        <f t="shared" ref="AC356:AC404" si="199">IF($C$9&gt;=$AA356,$W14+0.000001-$AB$409,"")</f>
        <v/>
      </c>
      <c r="AD356" s="16" t="str">
        <f t="shared" si="193"/>
        <v/>
      </c>
      <c r="AE356" s="16" t="str">
        <f t="shared" si="194"/>
        <v/>
      </c>
      <c r="AF356" s="16" t="str">
        <f t="shared" si="195"/>
        <v/>
      </c>
      <c r="AG356" s="16" t="str">
        <f t="shared" ref="AG356:AG404" si="200">IF($C$9&gt;=$AA356,$W14-$AB$409,"")</f>
        <v/>
      </c>
      <c r="AH356" s="16" t="str">
        <f t="shared" ref="AH356:AH404" si="201">IF($C$9&gt;=$AA356,$X14-$AB$410,"")</f>
        <v/>
      </c>
      <c r="AI356" s="29" t="str">
        <f t="shared" si="196"/>
        <v/>
      </c>
      <c r="AJ356" s="29" t="str">
        <f t="shared" si="197"/>
        <v/>
      </c>
    </row>
    <row r="357" spans="4:36" x14ac:dyDescent="0.25">
      <c r="D357" s="54"/>
      <c r="E357" s="54"/>
      <c r="F357" s="54"/>
      <c r="G357" s="54"/>
      <c r="H357" s="54"/>
      <c r="I357" s="54"/>
      <c r="J357" s="2"/>
      <c r="AA357" s="264">
        <v>353</v>
      </c>
      <c r="AB357" s="16" t="str">
        <f t="shared" si="198"/>
        <v/>
      </c>
      <c r="AC357" s="16" t="str">
        <f t="shared" si="199"/>
        <v/>
      </c>
      <c r="AD357" s="16" t="str">
        <f t="shared" si="193"/>
        <v/>
      </c>
      <c r="AE357" s="16" t="str">
        <f t="shared" si="194"/>
        <v/>
      </c>
      <c r="AF357" s="16" t="str">
        <f t="shared" si="195"/>
        <v/>
      </c>
      <c r="AG357" s="16" t="str">
        <f t="shared" si="200"/>
        <v/>
      </c>
      <c r="AH357" s="16" t="str">
        <f t="shared" si="201"/>
        <v/>
      </c>
      <c r="AI357" s="29" t="str">
        <f t="shared" si="196"/>
        <v/>
      </c>
      <c r="AJ357" s="29" t="str">
        <f t="shared" si="197"/>
        <v/>
      </c>
    </row>
    <row r="358" spans="4:36" x14ac:dyDescent="0.25">
      <c r="D358" s="54"/>
      <c r="E358" s="54"/>
      <c r="F358" s="54"/>
      <c r="G358" s="54"/>
      <c r="H358" s="54"/>
      <c r="I358" s="54"/>
      <c r="J358" s="2"/>
      <c r="AA358" s="264">
        <v>354</v>
      </c>
      <c r="AB358" s="16" t="str">
        <f t="shared" si="198"/>
        <v/>
      </c>
      <c r="AC358" s="16" t="str">
        <f t="shared" si="199"/>
        <v/>
      </c>
      <c r="AD358" s="16" t="str">
        <f t="shared" si="193"/>
        <v/>
      </c>
      <c r="AE358" s="16" t="str">
        <f t="shared" si="194"/>
        <v/>
      </c>
      <c r="AF358" s="16" t="str">
        <f t="shared" si="195"/>
        <v/>
      </c>
      <c r="AG358" s="16" t="str">
        <f t="shared" si="200"/>
        <v/>
      </c>
      <c r="AH358" s="16" t="str">
        <f t="shared" si="201"/>
        <v/>
      </c>
      <c r="AI358" s="29" t="str">
        <f t="shared" si="196"/>
        <v/>
      </c>
      <c r="AJ358" s="29" t="str">
        <f t="shared" si="197"/>
        <v/>
      </c>
    </row>
    <row r="359" spans="4:36" x14ac:dyDescent="0.25">
      <c r="D359" s="54"/>
      <c r="E359" s="54"/>
      <c r="F359" s="54"/>
      <c r="G359" s="54"/>
      <c r="H359" s="54"/>
      <c r="I359" s="54"/>
      <c r="J359" s="2"/>
      <c r="AA359" s="264">
        <v>355</v>
      </c>
      <c r="AB359" s="16" t="str">
        <f t="shared" si="198"/>
        <v/>
      </c>
      <c r="AC359" s="16" t="str">
        <f t="shared" si="199"/>
        <v/>
      </c>
      <c r="AD359" s="16" t="str">
        <f t="shared" si="193"/>
        <v/>
      </c>
      <c r="AE359" s="16" t="str">
        <f t="shared" si="194"/>
        <v/>
      </c>
      <c r="AF359" s="16" t="str">
        <f t="shared" si="195"/>
        <v/>
      </c>
      <c r="AG359" s="16" t="str">
        <f t="shared" si="200"/>
        <v/>
      </c>
      <c r="AH359" s="16" t="str">
        <f t="shared" si="201"/>
        <v/>
      </c>
      <c r="AI359" s="29" t="str">
        <f t="shared" si="196"/>
        <v/>
      </c>
      <c r="AJ359" s="29" t="str">
        <f t="shared" si="197"/>
        <v/>
      </c>
    </row>
    <row r="360" spans="4:36" x14ac:dyDescent="0.25">
      <c r="D360" s="54"/>
      <c r="E360" s="54"/>
      <c r="F360" s="54"/>
      <c r="G360" s="54"/>
      <c r="H360" s="54"/>
      <c r="I360" s="54"/>
      <c r="J360" s="2"/>
      <c r="AA360" s="264">
        <v>356</v>
      </c>
      <c r="AB360" s="16" t="str">
        <f t="shared" si="198"/>
        <v/>
      </c>
      <c r="AC360" s="16" t="str">
        <f t="shared" si="199"/>
        <v/>
      </c>
      <c r="AD360" s="16" t="str">
        <f t="shared" si="193"/>
        <v/>
      </c>
      <c r="AE360" s="16" t="str">
        <f t="shared" si="194"/>
        <v/>
      </c>
      <c r="AF360" s="16" t="str">
        <f t="shared" si="195"/>
        <v/>
      </c>
      <c r="AG360" s="16" t="str">
        <f t="shared" si="200"/>
        <v/>
      </c>
      <c r="AH360" s="16" t="str">
        <f t="shared" si="201"/>
        <v/>
      </c>
      <c r="AI360" s="29" t="str">
        <f t="shared" si="196"/>
        <v/>
      </c>
      <c r="AJ360" s="29" t="str">
        <f t="shared" si="197"/>
        <v/>
      </c>
    </row>
    <row r="361" spans="4:36" x14ac:dyDescent="0.25">
      <c r="D361" s="54"/>
      <c r="E361" s="54"/>
      <c r="F361" s="54"/>
      <c r="G361" s="54"/>
      <c r="H361" s="54"/>
      <c r="I361" s="54"/>
      <c r="J361" s="2"/>
      <c r="AA361" s="264">
        <v>357</v>
      </c>
      <c r="AB361" s="16" t="str">
        <f t="shared" si="198"/>
        <v/>
      </c>
      <c r="AC361" s="16" t="str">
        <f t="shared" si="199"/>
        <v/>
      </c>
      <c r="AD361" s="16" t="str">
        <f t="shared" si="193"/>
        <v/>
      </c>
      <c r="AE361" s="16" t="str">
        <f t="shared" si="194"/>
        <v/>
      </c>
      <c r="AF361" s="16" t="str">
        <f t="shared" si="195"/>
        <v/>
      </c>
      <c r="AG361" s="16" t="str">
        <f t="shared" si="200"/>
        <v/>
      </c>
      <c r="AH361" s="16" t="str">
        <f t="shared" si="201"/>
        <v/>
      </c>
      <c r="AI361" s="29" t="str">
        <f t="shared" si="196"/>
        <v/>
      </c>
      <c r="AJ361" s="29" t="str">
        <f t="shared" si="197"/>
        <v/>
      </c>
    </row>
    <row r="362" spans="4:36" x14ac:dyDescent="0.25">
      <c r="D362" s="54"/>
      <c r="E362" s="54"/>
      <c r="F362" s="54"/>
      <c r="G362" s="54"/>
      <c r="H362" s="54"/>
      <c r="I362" s="54"/>
      <c r="J362" s="2"/>
      <c r="AA362" s="264">
        <v>358</v>
      </c>
      <c r="AB362" s="16" t="str">
        <f t="shared" si="198"/>
        <v/>
      </c>
      <c r="AC362" s="16" t="str">
        <f t="shared" si="199"/>
        <v/>
      </c>
      <c r="AD362" s="16" t="str">
        <f t="shared" si="193"/>
        <v/>
      </c>
      <c r="AE362" s="16" t="str">
        <f t="shared" si="194"/>
        <v/>
      </c>
      <c r="AF362" s="16" t="str">
        <f t="shared" si="195"/>
        <v/>
      </c>
      <c r="AG362" s="16" t="str">
        <f t="shared" si="200"/>
        <v/>
      </c>
      <c r="AH362" s="16" t="str">
        <f t="shared" si="201"/>
        <v/>
      </c>
      <c r="AI362" s="29" t="str">
        <f t="shared" si="196"/>
        <v/>
      </c>
      <c r="AJ362" s="29" t="str">
        <f t="shared" si="197"/>
        <v/>
      </c>
    </row>
    <row r="363" spans="4:36" x14ac:dyDescent="0.25">
      <c r="D363" s="54"/>
      <c r="E363" s="54"/>
      <c r="F363" s="54"/>
      <c r="G363" s="54"/>
      <c r="H363" s="54"/>
      <c r="I363" s="54"/>
      <c r="J363" s="2"/>
      <c r="AA363" s="264">
        <v>359</v>
      </c>
      <c r="AB363" s="16" t="str">
        <f t="shared" si="198"/>
        <v/>
      </c>
      <c r="AC363" s="16" t="str">
        <f t="shared" si="199"/>
        <v/>
      </c>
      <c r="AD363" s="16" t="str">
        <f t="shared" si="193"/>
        <v/>
      </c>
      <c r="AE363" s="16" t="str">
        <f t="shared" si="194"/>
        <v/>
      </c>
      <c r="AF363" s="16" t="str">
        <f t="shared" si="195"/>
        <v/>
      </c>
      <c r="AG363" s="16" t="str">
        <f t="shared" si="200"/>
        <v/>
      </c>
      <c r="AH363" s="16" t="str">
        <f t="shared" si="201"/>
        <v/>
      </c>
      <c r="AI363" s="29" t="str">
        <f t="shared" si="196"/>
        <v/>
      </c>
      <c r="AJ363" s="29" t="str">
        <f t="shared" si="197"/>
        <v/>
      </c>
    </row>
    <row r="364" spans="4:36" x14ac:dyDescent="0.25">
      <c r="D364" s="54"/>
      <c r="E364" s="54"/>
      <c r="F364" s="54"/>
      <c r="G364" s="54"/>
      <c r="H364" s="54"/>
      <c r="I364" s="54"/>
      <c r="J364" s="2"/>
      <c r="AA364" s="264">
        <v>360</v>
      </c>
      <c r="AB364" s="16" t="str">
        <f t="shared" si="198"/>
        <v/>
      </c>
      <c r="AC364" s="16" t="str">
        <f t="shared" si="199"/>
        <v/>
      </c>
      <c r="AD364" s="16" t="str">
        <f t="shared" si="193"/>
        <v/>
      </c>
      <c r="AE364" s="16" t="str">
        <f t="shared" si="194"/>
        <v/>
      </c>
      <c r="AF364" s="16" t="str">
        <f t="shared" si="195"/>
        <v/>
      </c>
      <c r="AG364" s="16" t="str">
        <f t="shared" si="200"/>
        <v/>
      </c>
      <c r="AH364" s="16" t="str">
        <f t="shared" si="201"/>
        <v/>
      </c>
      <c r="AI364" s="29" t="str">
        <f t="shared" si="196"/>
        <v/>
      </c>
      <c r="AJ364" s="29" t="str">
        <f t="shared" si="197"/>
        <v/>
      </c>
    </row>
    <row r="365" spans="4:36" x14ac:dyDescent="0.25">
      <c r="D365" s="54"/>
      <c r="E365" s="54"/>
      <c r="F365" s="54"/>
      <c r="G365" s="54"/>
      <c r="H365" s="54"/>
      <c r="I365" s="54"/>
      <c r="J365" s="2"/>
      <c r="AA365" s="264">
        <v>361</v>
      </c>
      <c r="AB365" s="16" t="str">
        <f t="shared" si="198"/>
        <v/>
      </c>
      <c r="AC365" s="16" t="str">
        <f t="shared" si="199"/>
        <v/>
      </c>
      <c r="AD365" s="16" t="str">
        <f t="shared" si="193"/>
        <v/>
      </c>
      <c r="AE365" s="16" t="str">
        <f t="shared" si="194"/>
        <v/>
      </c>
      <c r="AF365" s="16" t="str">
        <f t="shared" si="195"/>
        <v/>
      </c>
      <c r="AG365" s="16" t="str">
        <f t="shared" si="200"/>
        <v/>
      </c>
      <c r="AH365" s="16" t="str">
        <f t="shared" si="201"/>
        <v/>
      </c>
      <c r="AI365" s="29" t="str">
        <f t="shared" si="196"/>
        <v/>
      </c>
      <c r="AJ365" s="29" t="str">
        <f t="shared" si="197"/>
        <v/>
      </c>
    </row>
    <row r="366" spans="4:36" x14ac:dyDescent="0.25">
      <c r="D366" s="54"/>
      <c r="E366" s="54"/>
      <c r="F366" s="54"/>
      <c r="G366" s="54"/>
      <c r="H366" s="54"/>
      <c r="I366" s="54"/>
      <c r="J366" s="2"/>
      <c r="AA366" s="264">
        <v>362</v>
      </c>
      <c r="AB366" s="16" t="str">
        <f t="shared" si="198"/>
        <v/>
      </c>
      <c r="AC366" s="16" t="str">
        <f t="shared" si="199"/>
        <v/>
      </c>
      <c r="AD366" s="16" t="str">
        <f t="shared" si="193"/>
        <v/>
      </c>
      <c r="AE366" s="16" t="str">
        <f t="shared" si="194"/>
        <v/>
      </c>
      <c r="AF366" s="16" t="str">
        <f t="shared" si="195"/>
        <v/>
      </c>
      <c r="AG366" s="16" t="str">
        <f t="shared" si="200"/>
        <v/>
      </c>
      <c r="AH366" s="16" t="str">
        <f t="shared" si="201"/>
        <v/>
      </c>
      <c r="AI366" s="29" t="str">
        <f t="shared" si="196"/>
        <v/>
      </c>
      <c r="AJ366" s="29" t="str">
        <f t="shared" si="197"/>
        <v/>
      </c>
    </row>
    <row r="367" spans="4:36" x14ac:dyDescent="0.25">
      <c r="D367" s="54"/>
      <c r="E367" s="54"/>
      <c r="F367" s="54"/>
      <c r="G367" s="54"/>
      <c r="H367" s="54"/>
      <c r="I367" s="54"/>
      <c r="J367" s="2"/>
      <c r="AA367" s="264">
        <v>363</v>
      </c>
      <c r="AB367" s="16" t="str">
        <f t="shared" si="198"/>
        <v/>
      </c>
      <c r="AC367" s="16" t="str">
        <f t="shared" si="199"/>
        <v/>
      </c>
      <c r="AD367" s="16" t="str">
        <f t="shared" si="193"/>
        <v/>
      </c>
      <c r="AE367" s="16" t="str">
        <f t="shared" si="194"/>
        <v/>
      </c>
      <c r="AF367" s="16" t="str">
        <f t="shared" si="195"/>
        <v/>
      </c>
      <c r="AG367" s="16" t="str">
        <f t="shared" si="200"/>
        <v/>
      </c>
      <c r="AH367" s="16" t="str">
        <f t="shared" si="201"/>
        <v/>
      </c>
      <c r="AI367" s="29" t="str">
        <f t="shared" si="196"/>
        <v/>
      </c>
      <c r="AJ367" s="29" t="str">
        <f t="shared" si="197"/>
        <v/>
      </c>
    </row>
    <row r="368" spans="4:36" x14ac:dyDescent="0.25">
      <c r="D368" s="54"/>
      <c r="E368" s="54"/>
      <c r="F368" s="54"/>
      <c r="G368" s="54"/>
      <c r="H368" s="54"/>
      <c r="I368" s="54"/>
      <c r="J368" s="2"/>
      <c r="AA368" s="264">
        <v>364</v>
      </c>
      <c r="AB368" s="16" t="str">
        <f t="shared" si="198"/>
        <v/>
      </c>
      <c r="AC368" s="16" t="str">
        <f t="shared" si="199"/>
        <v/>
      </c>
      <c r="AD368" s="16" t="str">
        <f t="shared" si="193"/>
        <v/>
      </c>
      <c r="AE368" s="16" t="str">
        <f t="shared" si="194"/>
        <v/>
      </c>
      <c r="AF368" s="16" t="str">
        <f t="shared" si="195"/>
        <v/>
      </c>
      <c r="AG368" s="16" t="str">
        <f t="shared" si="200"/>
        <v/>
      </c>
      <c r="AH368" s="16" t="str">
        <f t="shared" si="201"/>
        <v/>
      </c>
      <c r="AI368" s="29" t="str">
        <f t="shared" si="196"/>
        <v/>
      </c>
      <c r="AJ368" s="29" t="str">
        <f t="shared" si="197"/>
        <v/>
      </c>
    </row>
    <row r="369" spans="4:36" x14ac:dyDescent="0.25">
      <c r="D369" s="54"/>
      <c r="E369" s="54"/>
      <c r="F369" s="54"/>
      <c r="G369" s="54"/>
      <c r="H369" s="54"/>
      <c r="I369" s="54"/>
      <c r="J369" s="2"/>
      <c r="AA369" s="264">
        <v>365</v>
      </c>
      <c r="AB369" s="16" t="str">
        <f t="shared" si="198"/>
        <v/>
      </c>
      <c r="AC369" s="16" t="str">
        <f t="shared" si="199"/>
        <v/>
      </c>
      <c r="AD369" s="16" t="str">
        <f t="shared" si="193"/>
        <v/>
      </c>
      <c r="AE369" s="16" t="str">
        <f t="shared" si="194"/>
        <v/>
      </c>
      <c r="AF369" s="16" t="str">
        <f t="shared" si="195"/>
        <v/>
      </c>
      <c r="AG369" s="16" t="str">
        <f t="shared" si="200"/>
        <v/>
      </c>
      <c r="AH369" s="16" t="str">
        <f t="shared" si="201"/>
        <v/>
      </c>
      <c r="AI369" s="29" t="str">
        <f t="shared" si="196"/>
        <v/>
      </c>
      <c r="AJ369" s="29" t="str">
        <f t="shared" si="197"/>
        <v/>
      </c>
    </row>
    <row r="370" spans="4:36" x14ac:dyDescent="0.25">
      <c r="D370" s="54"/>
      <c r="E370" s="54"/>
      <c r="F370" s="54"/>
      <c r="G370" s="54"/>
      <c r="H370" s="54"/>
      <c r="I370" s="54"/>
      <c r="J370" s="2"/>
      <c r="AA370" s="264">
        <v>366</v>
      </c>
      <c r="AB370" s="16" t="str">
        <f t="shared" si="198"/>
        <v/>
      </c>
      <c r="AC370" s="16" t="str">
        <f t="shared" si="199"/>
        <v/>
      </c>
      <c r="AD370" s="16" t="str">
        <f t="shared" si="193"/>
        <v/>
      </c>
      <c r="AE370" s="16" t="str">
        <f t="shared" si="194"/>
        <v/>
      </c>
      <c r="AF370" s="16" t="str">
        <f t="shared" si="195"/>
        <v/>
      </c>
      <c r="AG370" s="16" t="str">
        <f t="shared" si="200"/>
        <v/>
      </c>
      <c r="AH370" s="16" t="str">
        <f t="shared" si="201"/>
        <v/>
      </c>
      <c r="AI370" s="29" t="str">
        <f t="shared" si="196"/>
        <v/>
      </c>
      <c r="AJ370" s="29" t="str">
        <f t="shared" si="197"/>
        <v/>
      </c>
    </row>
    <row r="371" spans="4:36" x14ac:dyDescent="0.25">
      <c r="D371" s="54"/>
      <c r="E371" s="54"/>
      <c r="F371" s="54"/>
      <c r="G371" s="54"/>
      <c r="H371" s="54"/>
      <c r="I371" s="54"/>
      <c r="J371" s="2"/>
      <c r="AA371" s="264">
        <v>367</v>
      </c>
      <c r="AB371" s="16" t="str">
        <f t="shared" si="198"/>
        <v/>
      </c>
      <c r="AC371" s="16" t="str">
        <f t="shared" si="199"/>
        <v/>
      </c>
      <c r="AD371" s="16" t="str">
        <f t="shared" si="193"/>
        <v/>
      </c>
      <c r="AE371" s="16" t="str">
        <f t="shared" si="194"/>
        <v/>
      </c>
      <c r="AF371" s="16" t="str">
        <f t="shared" si="195"/>
        <v/>
      </c>
      <c r="AG371" s="16" t="str">
        <f t="shared" si="200"/>
        <v/>
      </c>
      <c r="AH371" s="16" t="str">
        <f t="shared" si="201"/>
        <v/>
      </c>
      <c r="AI371" s="29" t="str">
        <f t="shared" si="196"/>
        <v/>
      </c>
      <c r="AJ371" s="29" t="str">
        <f t="shared" si="197"/>
        <v/>
      </c>
    </row>
    <row r="372" spans="4:36" x14ac:dyDescent="0.25">
      <c r="D372" s="54"/>
      <c r="E372" s="54"/>
      <c r="F372" s="54"/>
      <c r="G372" s="54"/>
      <c r="H372" s="54"/>
      <c r="I372" s="54"/>
      <c r="J372" s="2"/>
      <c r="K372" s="2"/>
      <c r="L372" s="2"/>
      <c r="M372" s="2"/>
      <c r="N372" s="2"/>
      <c r="O372" s="2"/>
      <c r="P372" s="2"/>
      <c r="Q372" s="2"/>
      <c r="R372" s="2"/>
      <c r="S372" s="2"/>
      <c r="T372" s="2"/>
      <c r="U372" s="2"/>
      <c r="V372" s="2"/>
      <c r="W372" s="2"/>
      <c r="X372" s="2"/>
      <c r="Y372" s="2"/>
      <c r="Z372" s="2"/>
      <c r="AA372" s="264">
        <v>368</v>
      </c>
      <c r="AB372" s="16" t="str">
        <f t="shared" si="198"/>
        <v/>
      </c>
      <c r="AC372" s="16" t="str">
        <f t="shared" si="199"/>
        <v/>
      </c>
      <c r="AD372" s="16" t="str">
        <f t="shared" si="193"/>
        <v/>
      </c>
      <c r="AE372" s="16" t="str">
        <f t="shared" si="194"/>
        <v/>
      </c>
      <c r="AF372" s="16" t="str">
        <f t="shared" si="195"/>
        <v/>
      </c>
      <c r="AG372" s="16" t="str">
        <f t="shared" si="200"/>
        <v/>
      </c>
      <c r="AH372" s="16" t="str">
        <f t="shared" si="201"/>
        <v/>
      </c>
      <c r="AI372" s="29" t="str">
        <f t="shared" si="196"/>
        <v/>
      </c>
      <c r="AJ372" s="29" t="str">
        <f t="shared" si="197"/>
        <v/>
      </c>
    </row>
    <row r="373" spans="4:36" x14ac:dyDescent="0.25">
      <c r="D373" s="54"/>
      <c r="E373" s="54"/>
      <c r="F373" s="54"/>
      <c r="G373" s="54"/>
      <c r="H373" s="54"/>
      <c r="I373" s="54"/>
      <c r="J373" s="2"/>
      <c r="K373" s="2"/>
      <c r="L373" s="2"/>
      <c r="M373" s="2"/>
      <c r="N373" s="2"/>
      <c r="O373" s="2"/>
      <c r="P373" s="2"/>
      <c r="Q373" s="2"/>
      <c r="R373" s="2"/>
      <c r="S373" s="2"/>
      <c r="T373" s="2"/>
      <c r="U373" s="2"/>
      <c r="V373" s="2"/>
      <c r="W373" s="2"/>
      <c r="X373" s="2"/>
      <c r="Y373" s="2"/>
      <c r="Z373" s="2"/>
      <c r="AA373" s="264">
        <v>369</v>
      </c>
      <c r="AB373" s="16" t="str">
        <f t="shared" si="198"/>
        <v/>
      </c>
      <c r="AC373" s="16" t="str">
        <f t="shared" si="199"/>
        <v/>
      </c>
      <c r="AD373" s="16" t="str">
        <f t="shared" si="193"/>
        <v/>
      </c>
      <c r="AE373" s="16" t="str">
        <f t="shared" si="194"/>
        <v/>
      </c>
      <c r="AF373" s="16" t="str">
        <f t="shared" si="195"/>
        <v/>
      </c>
      <c r="AG373" s="16" t="str">
        <f t="shared" si="200"/>
        <v/>
      </c>
      <c r="AH373" s="16" t="str">
        <f t="shared" si="201"/>
        <v/>
      </c>
      <c r="AI373" s="29" t="str">
        <f t="shared" si="196"/>
        <v/>
      </c>
      <c r="AJ373" s="29" t="str">
        <f t="shared" si="197"/>
        <v/>
      </c>
    </row>
    <row r="374" spans="4:36" x14ac:dyDescent="0.25">
      <c r="D374" s="54"/>
      <c r="E374" s="54"/>
      <c r="F374" s="54"/>
      <c r="G374" s="54"/>
      <c r="H374" s="54"/>
      <c r="I374" s="54"/>
      <c r="J374" s="2"/>
      <c r="K374" s="2"/>
      <c r="L374" s="2"/>
      <c r="M374" s="2"/>
      <c r="N374" s="2"/>
      <c r="O374" s="2"/>
      <c r="P374" s="2"/>
      <c r="Q374" s="2"/>
      <c r="R374" s="2"/>
      <c r="S374" s="2"/>
      <c r="T374" s="2"/>
      <c r="U374" s="2"/>
      <c r="V374" s="2"/>
      <c r="W374" s="2"/>
      <c r="X374" s="2"/>
      <c r="Y374" s="2"/>
      <c r="Z374" s="2"/>
      <c r="AA374" s="264">
        <v>370</v>
      </c>
      <c r="AB374" s="16" t="str">
        <f t="shared" si="198"/>
        <v/>
      </c>
      <c r="AC374" s="16" t="str">
        <f t="shared" si="199"/>
        <v/>
      </c>
      <c r="AD374" s="16" t="str">
        <f t="shared" si="193"/>
        <v/>
      </c>
      <c r="AE374" s="16" t="str">
        <f t="shared" si="194"/>
        <v/>
      </c>
      <c r="AF374" s="16" t="str">
        <f t="shared" si="195"/>
        <v/>
      </c>
      <c r="AG374" s="16" t="str">
        <f t="shared" si="200"/>
        <v/>
      </c>
      <c r="AH374" s="16" t="str">
        <f t="shared" si="201"/>
        <v/>
      </c>
      <c r="AI374" s="29" t="str">
        <f t="shared" si="196"/>
        <v/>
      </c>
      <c r="AJ374" s="29" t="str">
        <f t="shared" si="197"/>
        <v/>
      </c>
    </row>
    <row r="375" spans="4:36" x14ac:dyDescent="0.25">
      <c r="D375" s="54"/>
      <c r="E375" s="54"/>
      <c r="F375" s="54"/>
      <c r="G375" s="54"/>
      <c r="H375" s="54"/>
      <c r="I375" s="54"/>
      <c r="J375" s="2"/>
      <c r="K375" s="2"/>
      <c r="L375" s="2"/>
      <c r="M375" s="2"/>
      <c r="N375" s="2"/>
      <c r="O375" s="2"/>
      <c r="P375" s="2"/>
      <c r="Q375" s="2"/>
      <c r="R375" s="2"/>
      <c r="S375" s="2"/>
      <c r="T375" s="2"/>
      <c r="U375" s="2"/>
      <c r="V375" s="2"/>
      <c r="W375" s="2"/>
      <c r="X375" s="2"/>
      <c r="Y375" s="2"/>
      <c r="Z375" s="2"/>
      <c r="AA375" s="264">
        <v>371</v>
      </c>
      <c r="AB375" s="16" t="str">
        <f t="shared" si="198"/>
        <v/>
      </c>
      <c r="AC375" s="16" t="str">
        <f t="shared" si="199"/>
        <v/>
      </c>
      <c r="AD375" s="16" t="str">
        <f t="shared" si="193"/>
        <v/>
      </c>
      <c r="AE375" s="16" t="str">
        <f t="shared" si="194"/>
        <v/>
      </c>
      <c r="AF375" s="16" t="str">
        <f t="shared" si="195"/>
        <v/>
      </c>
      <c r="AG375" s="16" t="str">
        <f t="shared" si="200"/>
        <v/>
      </c>
      <c r="AH375" s="16" t="str">
        <f t="shared" si="201"/>
        <v/>
      </c>
      <c r="AI375" s="29" t="str">
        <f t="shared" si="196"/>
        <v/>
      </c>
      <c r="AJ375" s="29" t="str">
        <f t="shared" si="197"/>
        <v/>
      </c>
    </row>
    <row r="376" spans="4:36" x14ac:dyDescent="0.25">
      <c r="D376" s="54"/>
      <c r="E376" s="54"/>
      <c r="F376" s="54"/>
      <c r="G376" s="54"/>
      <c r="H376" s="54"/>
      <c r="I376" s="54"/>
      <c r="J376" s="2"/>
      <c r="AA376" s="264">
        <v>372</v>
      </c>
      <c r="AB376" s="16" t="str">
        <f t="shared" si="198"/>
        <v/>
      </c>
      <c r="AC376" s="16" t="str">
        <f t="shared" si="199"/>
        <v/>
      </c>
      <c r="AD376" s="16" t="str">
        <f t="shared" si="193"/>
        <v/>
      </c>
      <c r="AE376" s="16" t="str">
        <f t="shared" si="194"/>
        <v/>
      </c>
      <c r="AF376" s="16" t="str">
        <f t="shared" si="195"/>
        <v/>
      </c>
      <c r="AG376" s="16" t="str">
        <f t="shared" si="200"/>
        <v/>
      </c>
      <c r="AH376" s="16" t="str">
        <f t="shared" si="201"/>
        <v/>
      </c>
      <c r="AI376" s="29" t="str">
        <f t="shared" si="196"/>
        <v/>
      </c>
      <c r="AJ376" s="29" t="str">
        <f t="shared" si="197"/>
        <v/>
      </c>
    </row>
    <row r="377" spans="4:36" x14ac:dyDescent="0.25">
      <c r="D377" s="54"/>
      <c r="E377" s="54"/>
      <c r="F377" s="54"/>
      <c r="G377" s="54"/>
      <c r="H377" s="54"/>
      <c r="I377" s="54"/>
      <c r="J377" s="2"/>
      <c r="AA377" s="264">
        <v>373</v>
      </c>
      <c r="AB377" s="16" t="str">
        <f t="shared" si="198"/>
        <v/>
      </c>
      <c r="AC377" s="16" t="str">
        <f t="shared" si="199"/>
        <v/>
      </c>
      <c r="AD377" s="16" t="str">
        <f t="shared" si="193"/>
        <v/>
      </c>
      <c r="AE377" s="16" t="str">
        <f t="shared" si="194"/>
        <v/>
      </c>
      <c r="AF377" s="16" t="str">
        <f t="shared" si="195"/>
        <v/>
      </c>
      <c r="AG377" s="16" t="str">
        <f t="shared" si="200"/>
        <v/>
      </c>
      <c r="AH377" s="16" t="str">
        <f t="shared" si="201"/>
        <v/>
      </c>
      <c r="AI377" s="29" t="str">
        <f t="shared" si="196"/>
        <v/>
      </c>
      <c r="AJ377" s="29" t="str">
        <f t="shared" si="197"/>
        <v/>
      </c>
    </row>
    <row r="378" spans="4:36" x14ac:dyDescent="0.25">
      <c r="D378" s="54"/>
      <c r="E378" s="54"/>
      <c r="F378" s="54"/>
      <c r="G378" s="54"/>
      <c r="H378" s="54"/>
      <c r="I378" s="54"/>
      <c r="J378" s="2"/>
      <c r="AA378" s="264">
        <v>374</v>
      </c>
      <c r="AB378" s="16" t="str">
        <f t="shared" si="198"/>
        <v/>
      </c>
      <c r="AC378" s="16" t="str">
        <f t="shared" si="199"/>
        <v/>
      </c>
      <c r="AD378" s="16" t="str">
        <f t="shared" si="193"/>
        <v/>
      </c>
      <c r="AE378" s="16" t="str">
        <f t="shared" si="194"/>
        <v/>
      </c>
      <c r="AF378" s="16" t="str">
        <f t="shared" si="195"/>
        <v/>
      </c>
      <c r="AG378" s="16" t="str">
        <f t="shared" si="200"/>
        <v/>
      </c>
      <c r="AH378" s="16" t="str">
        <f t="shared" si="201"/>
        <v/>
      </c>
      <c r="AI378" s="29" t="str">
        <f t="shared" si="196"/>
        <v/>
      </c>
      <c r="AJ378" s="29" t="str">
        <f t="shared" si="197"/>
        <v/>
      </c>
    </row>
    <row r="379" spans="4:36" x14ac:dyDescent="0.25">
      <c r="D379" s="54"/>
      <c r="E379" s="54"/>
      <c r="F379" s="54"/>
      <c r="G379" s="54"/>
      <c r="H379" s="54"/>
      <c r="I379" s="54"/>
      <c r="J379" s="2"/>
      <c r="AA379" s="264">
        <v>375</v>
      </c>
      <c r="AB379" s="16" t="str">
        <f t="shared" si="198"/>
        <v/>
      </c>
      <c r="AC379" s="16" t="str">
        <f t="shared" si="199"/>
        <v/>
      </c>
      <c r="AD379" s="16" t="str">
        <f t="shared" si="193"/>
        <v/>
      </c>
      <c r="AE379" s="16" t="str">
        <f t="shared" si="194"/>
        <v/>
      </c>
      <c r="AF379" s="16" t="str">
        <f t="shared" si="195"/>
        <v/>
      </c>
      <c r="AG379" s="16" t="str">
        <f t="shared" si="200"/>
        <v/>
      </c>
      <c r="AH379" s="16" t="str">
        <f t="shared" si="201"/>
        <v/>
      </c>
      <c r="AI379" s="29" t="str">
        <f t="shared" si="196"/>
        <v/>
      </c>
      <c r="AJ379" s="29" t="str">
        <f t="shared" si="197"/>
        <v/>
      </c>
    </row>
    <row r="380" spans="4:36" x14ac:dyDescent="0.25">
      <c r="D380" s="54"/>
      <c r="E380" s="54"/>
      <c r="F380" s="54"/>
      <c r="G380" s="54"/>
      <c r="H380" s="54"/>
      <c r="I380" s="54"/>
      <c r="J380" s="2"/>
      <c r="AA380" s="264">
        <v>376</v>
      </c>
      <c r="AB380" s="16" t="str">
        <f t="shared" si="198"/>
        <v/>
      </c>
      <c r="AC380" s="16" t="str">
        <f t="shared" si="199"/>
        <v/>
      </c>
      <c r="AD380" s="16" t="str">
        <f t="shared" si="193"/>
        <v/>
      </c>
      <c r="AE380" s="16" t="str">
        <f t="shared" si="194"/>
        <v/>
      </c>
      <c r="AF380" s="16" t="str">
        <f t="shared" si="195"/>
        <v/>
      </c>
      <c r="AG380" s="16" t="str">
        <f t="shared" si="200"/>
        <v/>
      </c>
      <c r="AH380" s="16" t="str">
        <f t="shared" si="201"/>
        <v/>
      </c>
      <c r="AI380" s="29" t="str">
        <f t="shared" si="196"/>
        <v/>
      </c>
      <c r="AJ380" s="29" t="str">
        <f t="shared" si="197"/>
        <v/>
      </c>
    </row>
    <row r="381" spans="4:36" x14ac:dyDescent="0.25">
      <c r="D381" s="54"/>
      <c r="E381" s="54"/>
      <c r="F381" s="54"/>
      <c r="G381" s="54"/>
      <c r="H381" s="54"/>
      <c r="I381" s="54"/>
      <c r="J381" s="2"/>
      <c r="AA381" s="264">
        <v>377</v>
      </c>
      <c r="AB381" s="16" t="str">
        <f t="shared" si="198"/>
        <v/>
      </c>
      <c r="AC381" s="16" t="str">
        <f t="shared" si="199"/>
        <v/>
      </c>
      <c r="AD381" s="16" t="str">
        <f t="shared" si="193"/>
        <v/>
      </c>
      <c r="AE381" s="16" t="str">
        <f t="shared" si="194"/>
        <v/>
      </c>
      <c r="AF381" s="16" t="str">
        <f t="shared" si="195"/>
        <v/>
      </c>
      <c r="AG381" s="16" t="str">
        <f t="shared" si="200"/>
        <v/>
      </c>
      <c r="AH381" s="16" t="str">
        <f t="shared" si="201"/>
        <v/>
      </c>
      <c r="AI381" s="29" t="str">
        <f t="shared" si="196"/>
        <v/>
      </c>
      <c r="AJ381" s="29" t="str">
        <f t="shared" si="197"/>
        <v/>
      </c>
    </row>
    <row r="382" spans="4:36" x14ac:dyDescent="0.25">
      <c r="D382" s="54"/>
      <c r="E382" s="54"/>
      <c r="F382" s="54"/>
      <c r="G382" s="54"/>
      <c r="H382" s="54"/>
      <c r="I382" s="54"/>
      <c r="J382" s="2"/>
      <c r="AA382" s="264">
        <v>378</v>
      </c>
      <c r="AB382" s="16" t="str">
        <f t="shared" si="198"/>
        <v/>
      </c>
      <c r="AC382" s="16" t="str">
        <f t="shared" si="199"/>
        <v/>
      </c>
      <c r="AD382" s="16" t="str">
        <f t="shared" si="193"/>
        <v/>
      </c>
      <c r="AE382" s="16" t="str">
        <f t="shared" si="194"/>
        <v/>
      </c>
      <c r="AF382" s="16" t="str">
        <f t="shared" si="195"/>
        <v/>
      </c>
      <c r="AG382" s="16" t="str">
        <f t="shared" si="200"/>
        <v/>
      </c>
      <c r="AH382" s="16" t="str">
        <f t="shared" si="201"/>
        <v/>
      </c>
      <c r="AI382" s="29" t="str">
        <f t="shared" si="196"/>
        <v/>
      </c>
      <c r="AJ382" s="29" t="str">
        <f t="shared" si="197"/>
        <v/>
      </c>
    </row>
    <row r="383" spans="4:36" x14ac:dyDescent="0.25">
      <c r="D383" s="54"/>
      <c r="E383" s="54"/>
      <c r="F383" s="54"/>
      <c r="G383" s="54"/>
      <c r="H383" s="54"/>
      <c r="I383" s="54"/>
      <c r="J383" s="2"/>
      <c r="AA383" s="264">
        <v>379</v>
      </c>
      <c r="AB383" s="16" t="str">
        <f t="shared" si="198"/>
        <v/>
      </c>
      <c r="AC383" s="16" t="str">
        <f t="shared" si="199"/>
        <v/>
      </c>
      <c r="AD383" s="16" t="str">
        <f t="shared" si="193"/>
        <v/>
      </c>
      <c r="AE383" s="16" t="str">
        <f t="shared" si="194"/>
        <v/>
      </c>
      <c r="AF383" s="16" t="str">
        <f t="shared" si="195"/>
        <v/>
      </c>
      <c r="AG383" s="16" t="str">
        <f t="shared" si="200"/>
        <v/>
      </c>
      <c r="AH383" s="16" t="str">
        <f t="shared" si="201"/>
        <v/>
      </c>
      <c r="AI383" s="29" t="str">
        <f t="shared" si="196"/>
        <v/>
      </c>
      <c r="AJ383" s="29" t="str">
        <f t="shared" si="197"/>
        <v/>
      </c>
    </row>
    <row r="384" spans="4:36" x14ac:dyDescent="0.25">
      <c r="D384" s="54"/>
      <c r="E384" s="54"/>
      <c r="F384" s="54"/>
      <c r="G384" s="54"/>
      <c r="H384" s="54"/>
      <c r="I384" s="54"/>
      <c r="J384" s="2"/>
      <c r="AA384" s="264">
        <v>380</v>
      </c>
      <c r="AB384" s="16" t="str">
        <f t="shared" si="198"/>
        <v/>
      </c>
      <c r="AC384" s="16" t="str">
        <f t="shared" si="199"/>
        <v/>
      </c>
      <c r="AD384" s="16" t="str">
        <f t="shared" si="193"/>
        <v/>
      </c>
      <c r="AE384" s="16" t="str">
        <f t="shared" si="194"/>
        <v/>
      </c>
      <c r="AF384" s="16" t="str">
        <f t="shared" si="195"/>
        <v/>
      </c>
      <c r="AG384" s="16" t="str">
        <f t="shared" si="200"/>
        <v/>
      </c>
      <c r="AH384" s="16" t="str">
        <f t="shared" si="201"/>
        <v/>
      </c>
      <c r="AI384" s="29" t="str">
        <f t="shared" si="196"/>
        <v/>
      </c>
      <c r="AJ384" s="29" t="str">
        <f t="shared" si="197"/>
        <v/>
      </c>
    </row>
    <row r="385" spans="1:36" x14ac:dyDescent="0.25">
      <c r="D385" s="54"/>
      <c r="E385" s="54"/>
      <c r="F385" s="54"/>
      <c r="G385" s="54"/>
      <c r="H385" s="54"/>
      <c r="I385" s="54"/>
      <c r="J385" s="2"/>
      <c r="AA385" s="264">
        <v>381</v>
      </c>
      <c r="AB385" s="16" t="str">
        <f t="shared" si="198"/>
        <v/>
      </c>
      <c r="AC385" s="16" t="str">
        <f t="shared" si="199"/>
        <v/>
      </c>
      <c r="AD385" s="16" t="str">
        <f t="shared" si="193"/>
        <v/>
      </c>
      <c r="AE385" s="16" t="str">
        <f t="shared" si="194"/>
        <v/>
      </c>
      <c r="AF385" s="16" t="str">
        <f t="shared" si="195"/>
        <v/>
      </c>
      <c r="AG385" s="16" t="str">
        <f t="shared" si="200"/>
        <v/>
      </c>
      <c r="AH385" s="16" t="str">
        <f t="shared" si="201"/>
        <v/>
      </c>
      <c r="AI385" s="29" t="str">
        <f t="shared" si="196"/>
        <v/>
      </c>
      <c r="AJ385" s="29" t="str">
        <f t="shared" si="197"/>
        <v/>
      </c>
    </row>
    <row r="386" spans="1:36" x14ac:dyDescent="0.25">
      <c r="D386" s="54"/>
      <c r="E386" s="54"/>
      <c r="F386" s="54"/>
      <c r="G386" s="54"/>
      <c r="H386" s="54"/>
      <c r="I386" s="54"/>
      <c r="J386" s="2"/>
      <c r="AA386" s="264">
        <v>382</v>
      </c>
      <c r="AB386" s="16" t="str">
        <f t="shared" si="198"/>
        <v/>
      </c>
      <c r="AC386" s="16" t="str">
        <f t="shared" si="199"/>
        <v/>
      </c>
      <c r="AD386" s="16" t="str">
        <f t="shared" si="193"/>
        <v/>
      </c>
      <c r="AE386" s="16" t="str">
        <f t="shared" si="194"/>
        <v/>
      </c>
      <c r="AF386" s="16" t="str">
        <f t="shared" si="195"/>
        <v/>
      </c>
      <c r="AG386" s="16" t="str">
        <f t="shared" si="200"/>
        <v/>
      </c>
      <c r="AH386" s="16" t="str">
        <f t="shared" si="201"/>
        <v/>
      </c>
      <c r="AI386" s="29" t="str">
        <f t="shared" si="196"/>
        <v/>
      </c>
      <c r="AJ386" s="29" t="str">
        <f t="shared" si="197"/>
        <v/>
      </c>
    </row>
    <row r="387" spans="1:36" x14ac:dyDescent="0.25">
      <c r="D387" s="54"/>
      <c r="E387" s="54"/>
      <c r="F387" s="54"/>
      <c r="G387" s="54"/>
      <c r="H387" s="54"/>
      <c r="I387" s="54"/>
      <c r="J387" s="2"/>
      <c r="AA387" s="264">
        <v>383</v>
      </c>
      <c r="AB387" s="16" t="str">
        <f t="shared" si="198"/>
        <v/>
      </c>
      <c r="AC387" s="16" t="str">
        <f t="shared" si="199"/>
        <v/>
      </c>
      <c r="AD387" s="16" t="str">
        <f t="shared" si="193"/>
        <v/>
      </c>
      <c r="AE387" s="16" t="str">
        <f t="shared" si="194"/>
        <v/>
      </c>
      <c r="AF387" s="16" t="str">
        <f t="shared" si="195"/>
        <v/>
      </c>
      <c r="AG387" s="16" t="str">
        <f t="shared" si="200"/>
        <v/>
      </c>
      <c r="AH387" s="16" t="str">
        <f t="shared" si="201"/>
        <v/>
      </c>
      <c r="AI387" s="29" t="str">
        <f t="shared" si="196"/>
        <v/>
      </c>
      <c r="AJ387" s="29" t="str">
        <f t="shared" si="197"/>
        <v/>
      </c>
    </row>
    <row r="388" spans="1:36" x14ac:dyDescent="0.25">
      <c r="D388" s="54"/>
      <c r="E388" s="54"/>
      <c r="F388" s="54"/>
      <c r="G388" s="54"/>
      <c r="H388" s="54"/>
      <c r="I388" s="54"/>
      <c r="J388" s="2"/>
      <c r="AA388" s="264">
        <v>384</v>
      </c>
      <c r="AB388" s="16" t="str">
        <f t="shared" si="198"/>
        <v/>
      </c>
      <c r="AC388" s="16" t="str">
        <f t="shared" si="199"/>
        <v/>
      </c>
      <c r="AD388" s="16" t="str">
        <f t="shared" si="193"/>
        <v/>
      </c>
      <c r="AE388" s="16" t="str">
        <f t="shared" si="194"/>
        <v/>
      </c>
      <c r="AF388" s="16" t="str">
        <f t="shared" si="195"/>
        <v/>
      </c>
      <c r="AG388" s="16" t="str">
        <f t="shared" si="200"/>
        <v/>
      </c>
      <c r="AH388" s="16" t="str">
        <f t="shared" si="201"/>
        <v/>
      </c>
      <c r="AI388" s="29" t="str">
        <f t="shared" si="196"/>
        <v/>
      </c>
      <c r="AJ388" s="29" t="str">
        <f t="shared" si="197"/>
        <v/>
      </c>
    </row>
    <row r="389" spans="1:36" x14ac:dyDescent="0.25">
      <c r="D389" s="54"/>
      <c r="E389" s="54"/>
      <c r="F389" s="54"/>
      <c r="G389" s="54"/>
      <c r="H389" s="54"/>
      <c r="I389" s="54"/>
      <c r="J389" s="2"/>
      <c r="AA389" s="264">
        <v>385</v>
      </c>
      <c r="AB389" s="16" t="str">
        <f t="shared" si="198"/>
        <v/>
      </c>
      <c r="AC389" s="16" t="str">
        <f t="shared" si="199"/>
        <v/>
      </c>
      <c r="AD389" s="16" t="str">
        <f t="shared" ref="AD389:AD404" si="202">IF($C$9&gt;=$AA389,$AB389^2,"")</f>
        <v/>
      </c>
      <c r="AE389" s="16" t="str">
        <f t="shared" ref="AE389:AE404" si="203">IF($C$9&gt;=$AA389,$AC389^2,"")</f>
        <v/>
      </c>
      <c r="AF389" s="16" t="str">
        <f t="shared" ref="AF389:AF404" si="204">IF($C$9&gt;=$AA389,$AB389*$AC389,"")</f>
        <v/>
      </c>
      <c r="AG389" s="16" t="str">
        <f t="shared" si="200"/>
        <v/>
      </c>
      <c r="AH389" s="16" t="str">
        <f t="shared" si="201"/>
        <v/>
      </c>
      <c r="AI389" s="29" t="str">
        <f t="shared" ref="AI389:AI404" si="205">IF($C$9&gt;=$AA389,(-$AF$418/$C$9+($AF$422*$AB$411--$AF$421*$AB$414)/($AB$411*$AB$412-$AB$414^2)*$AG389+(-$AF$421*$AB$412-$AF$422*$AB$414)/($AB$411*$AB$412-$AB$414^2)*$AH389),"")</f>
        <v/>
      </c>
      <c r="AJ389" s="29" t="str">
        <f t="shared" ref="AJ389:AJ404" si="206">IF($C$9&gt;=$AA389,((($AF$419/$C$9+$AF$423*-$AH389/$AB$413)^2+($AF$420/$C$9+$AF$423*$AG389/$AB$413)^2)^(1/2)),"")</f>
        <v/>
      </c>
    </row>
    <row r="390" spans="1:36" x14ac:dyDescent="0.25">
      <c r="D390" s="54"/>
      <c r="E390" s="54"/>
      <c r="F390" s="54"/>
      <c r="G390" s="54"/>
      <c r="H390" s="54"/>
      <c r="I390" s="54"/>
      <c r="J390" s="2"/>
      <c r="AA390" s="264">
        <v>386</v>
      </c>
      <c r="AB390" s="16" t="str">
        <f t="shared" si="198"/>
        <v/>
      </c>
      <c r="AC390" s="16" t="str">
        <f t="shared" si="199"/>
        <v/>
      </c>
      <c r="AD390" s="16" t="str">
        <f t="shared" si="202"/>
        <v/>
      </c>
      <c r="AE390" s="16" t="str">
        <f t="shared" si="203"/>
        <v/>
      </c>
      <c r="AF390" s="16" t="str">
        <f t="shared" si="204"/>
        <v/>
      </c>
      <c r="AG390" s="16" t="str">
        <f t="shared" si="200"/>
        <v/>
      </c>
      <c r="AH390" s="16" t="str">
        <f t="shared" si="201"/>
        <v/>
      </c>
      <c r="AI390" s="29" t="str">
        <f t="shared" si="205"/>
        <v/>
      </c>
      <c r="AJ390" s="29" t="str">
        <f t="shared" si="206"/>
        <v/>
      </c>
    </row>
    <row r="391" spans="1:36" x14ac:dyDescent="0.25">
      <c r="D391" s="54"/>
      <c r="E391" s="54"/>
      <c r="F391" s="54"/>
      <c r="G391" s="54"/>
      <c r="H391" s="54"/>
      <c r="I391" s="54"/>
      <c r="J391" s="2"/>
      <c r="AA391" s="264">
        <v>387</v>
      </c>
      <c r="AB391" s="16" t="str">
        <f t="shared" si="198"/>
        <v/>
      </c>
      <c r="AC391" s="16" t="str">
        <f t="shared" si="199"/>
        <v/>
      </c>
      <c r="AD391" s="16" t="str">
        <f t="shared" si="202"/>
        <v/>
      </c>
      <c r="AE391" s="16" t="str">
        <f t="shared" si="203"/>
        <v/>
      </c>
      <c r="AF391" s="16" t="str">
        <f t="shared" si="204"/>
        <v/>
      </c>
      <c r="AG391" s="16" t="str">
        <f t="shared" si="200"/>
        <v/>
      </c>
      <c r="AH391" s="16" t="str">
        <f t="shared" si="201"/>
        <v/>
      </c>
      <c r="AI391" s="29" t="str">
        <f t="shared" si="205"/>
        <v/>
      </c>
      <c r="AJ391" s="29" t="str">
        <f t="shared" si="206"/>
        <v/>
      </c>
    </row>
    <row r="392" spans="1:36" x14ac:dyDescent="0.25">
      <c r="D392" s="54"/>
      <c r="E392" s="54"/>
      <c r="F392" s="54"/>
      <c r="G392" s="54"/>
      <c r="H392" s="54"/>
      <c r="I392" s="54"/>
      <c r="J392" s="2"/>
      <c r="AA392" s="264">
        <v>388</v>
      </c>
      <c r="AB392" s="16" t="str">
        <f t="shared" si="198"/>
        <v/>
      </c>
      <c r="AC392" s="16" t="str">
        <f t="shared" si="199"/>
        <v/>
      </c>
      <c r="AD392" s="16" t="str">
        <f t="shared" si="202"/>
        <v/>
      </c>
      <c r="AE392" s="16" t="str">
        <f t="shared" si="203"/>
        <v/>
      </c>
      <c r="AF392" s="16" t="str">
        <f t="shared" si="204"/>
        <v/>
      </c>
      <c r="AG392" s="16" t="str">
        <f t="shared" si="200"/>
        <v/>
      </c>
      <c r="AH392" s="16" t="str">
        <f t="shared" si="201"/>
        <v/>
      </c>
      <c r="AI392" s="29" t="str">
        <f t="shared" si="205"/>
        <v/>
      </c>
      <c r="AJ392" s="29" t="str">
        <f t="shared" si="206"/>
        <v/>
      </c>
    </row>
    <row r="393" spans="1:36" x14ac:dyDescent="0.25">
      <c r="D393" s="54"/>
      <c r="E393" s="54"/>
      <c r="F393" s="54"/>
      <c r="G393" s="54"/>
      <c r="H393" s="54"/>
      <c r="I393" s="54"/>
      <c r="J393" s="2"/>
      <c r="AA393" s="264">
        <v>389</v>
      </c>
      <c r="AB393" s="16" t="str">
        <f t="shared" si="198"/>
        <v/>
      </c>
      <c r="AC393" s="16" t="str">
        <f t="shared" si="199"/>
        <v/>
      </c>
      <c r="AD393" s="16" t="str">
        <f t="shared" si="202"/>
        <v/>
      </c>
      <c r="AE393" s="16" t="str">
        <f t="shared" si="203"/>
        <v/>
      </c>
      <c r="AF393" s="16" t="str">
        <f t="shared" si="204"/>
        <v/>
      </c>
      <c r="AG393" s="16" t="str">
        <f t="shared" si="200"/>
        <v/>
      </c>
      <c r="AH393" s="16" t="str">
        <f t="shared" si="201"/>
        <v/>
      </c>
      <c r="AI393" s="29" t="str">
        <f t="shared" si="205"/>
        <v/>
      </c>
      <c r="AJ393" s="29" t="str">
        <f t="shared" si="206"/>
        <v/>
      </c>
    </row>
    <row r="394" spans="1:36" x14ac:dyDescent="0.25">
      <c r="D394" s="54"/>
      <c r="E394" s="54"/>
      <c r="F394" s="54"/>
      <c r="G394" s="54"/>
      <c r="H394" s="54"/>
      <c r="I394" s="54"/>
      <c r="J394" s="2"/>
      <c r="AA394" s="264">
        <v>390</v>
      </c>
      <c r="AB394" s="16" t="str">
        <f t="shared" si="198"/>
        <v/>
      </c>
      <c r="AC394" s="16" t="str">
        <f t="shared" si="199"/>
        <v/>
      </c>
      <c r="AD394" s="16" t="str">
        <f t="shared" si="202"/>
        <v/>
      </c>
      <c r="AE394" s="16" t="str">
        <f t="shared" si="203"/>
        <v/>
      </c>
      <c r="AF394" s="16" t="str">
        <f t="shared" si="204"/>
        <v/>
      </c>
      <c r="AG394" s="16" t="str">
        <f t="shared" si="200"/>
        <v/>
      </c>
      <c r="AH394" s="16" t="str">
        <f t="shared" si="201"/>
        <v/>
      </c>
      <c r="AI394" s="29" t="str">
        <f t="shared" si="205"/>
        <v/>
      </c>
      <c r="AJ394" s="29" t="str">
        <f t="shared" si="206"/>
        <v/>
      </c>
    </row>
    <row r="395" spans="1:36" x14ac:dyDescent="0.25">
      <c r="D395" s="54"/>
      <c r="E395" s="54"/>
      <c r="F395" s="54"/>
      <c r="G395" s="54"/>
      <c r="H395" s="54"/>
      <c r="I395" s="54"/>
      <c r="J395" s="2"/>
      <c r="AA395" s="264">
        <v>391</v>
      </c>
      <c r="AB395" s="16" t="str">
        <f t="shared" si="198"/>
        <v/>
      </c>
      <c r="AC395" s="16" t="str">
        <f t="shared" si="199"/>
        <v/>
      </c>
      <c r="AD395" s="16" t="str">
        <f t="shared" si="202"/>
        <v/>
      </c>
      <c r="AE395" s="16" t="str">
        <f t="shared" si="203"/>
        <v/>
      </c>
      <c r="AF395" s="16" t="str">
        <f t="shared" si="204"/>
        <v/>
      </c>
      <c r="AG395" s="16" t="str">
        <f t="shared" si="200"/>
        <v/>
      </c>
      <c r="AH395" s="16" t="str">
        <f t="shared" si="201"/>
        <v/>
      </c>
      <c r="AI395" s="29" t="str">
        <f t="shared" si="205"/>
        <v/>
      </c>
      <c r="AJ395" s="29" t="str">
        <f t="shared" si="206"/>
        <v/>
      </c>
    </row>
    <row r="396" spans="1:36" x14ac:dyDescent="0.25">
      <c r="D396" s="54"/>
      <c r="E396" s="54"/>
      <c r="F396" s="54"/>
      <c r="G396" s="54"/>
      <c r="H396" s="54"/>
      <c r="I396" s="54"/>
      <c r="J396" s="2"/>
      <c r="AA396" s="264">
        <v>392</v>
      </c>
      <c r="AB396" s="16" t="str">
        <f t="shared" si="198"/>
        <v/>
      </c>
      <c r="AC396" s="16" t="str">
        <f t="shared" si="199"/>
        <v/>
      </c>
      <c r="AD396" s="16" t="str">
        <f t="shared" si="202"/>
        <v/>
      </c>
      <c r="AE396" s="16" t="str">
        <f t="shared" si="203"/>
        <v/>
      </c>
      <c r="AF396" s="16" t="str">
        <f t="shared" si="204"/>
        <v/>
      </c>
      <c r="AG396" s="16" t="str">
        <f t="shared" si="200"/>
        <v/>
      </c>
      <c r="AH396" s="16" t="str">
        <f t="shared" si="201"/>
        <v/>
      </c>
      <c r="AI396" s="29" t="str">
        <f t="shared" si="205"/>
        <v/>
      </c>
      <c r="AJ396" s="29" t="str">
        <f t="shared" si="206"/>
        <v/>
      </c>
    </row>
    <row r="397" spans="1:36" x14ac:dyDescent="0.25">
      <c r="D397" s="54"/>
      <c r="E397" s="54"/>
      <c r="F397" s="54"/>
      <c r="G397" s="54"/>
      <c r="H397" s="54"/>
      <c r="I397" s="54"/>
      <c r="J397" s="2"/>
      <c r="AA397" s="264">
        <v>393</v>
      </c>
      <c r="AB397" s="16" t="str">
        <f t="shared" si="198"/>
        <v/>
      </c>
      <c r="AC397" s="16" t="str">
        <f t="shared" si="199"/>
        <v/>
      </c>
      <c r="AD397" s="16" t="str">
        <f t="shared" si="202"/>
        <v/>
      </c>
      <c r="AE397" s="16" t="str">
        <f t="shared" si="203"/>
        <v/>
      </c>
      <c r="AF397" s="16" t="str">
        <f t="shared" si="204"/>
        <v/>
      </c>
      <c r="AG397" s="16" t="str">
        <f t="shared" si="200"/>
        <v/>
      </c>
      <c r="AH397" s="16" t="str">
        <f t="shared" si="201"/>
        <v/>
      </c>
      <c r="AI397" s="29" t="str">
        <f t="shared" si="205"/>
        <v/>
      </c>
      <c r="AJ397" s="29" t="str">
        <f t="shared" si="206"/>
        <v/>
      </c>
    </row>
    <row r="398" spans="1:36" x14ac:dyDescent="0.25">
      <c r="A398" s="54"/>
      <c r="B398" s="54"/>
      <c r="C398" s="54"/>
      <c r="D398" s="54"/>
      <c r="E398" s="54"/>
      <c r="F398" s="54"/>
      <c r="G398" s="54"/>
      <c r="H398" s="54"/>
      <c r="I398" s="54"/>
      <c r="J398" s="2"/>
      <c r="AA398" s="264">
        <v>394</v>
      </c>
      <c r="AB398" s="16" t="str">
        <f t="shared" si="198"/>
        <v/>
      </c>
      <c r="AC398" s="16" t="str">
        <f t="shared" si="199"/>
        <v/>
      </c>
      <c r="AD398" s="16" t="str">
        <f t="shared" si="202"/>
        <v/>
      </c>
      <c r="AE398" s="16" t="str">
        <f t="shared" si="203"/>
        <v/>
      </c>
      <c r="AF398" s="16" t="str">
        <f t="shared" si="204"/>
        <v/>
      </c>
      <c r="AG398" s="16" t="str">
        <f t="shared" si="200"/>
        <v/>
      </c>
      <c r="AH398" s="16" t="str">
        <f t="shared" si="201"/>
        <v/>
      </c>
      <c r="AI398" s="29" t="str">
        <f t="shared" si="205"/>
        <v/>
      </c>
      <c r="AJ398" s="29" t="str">
        <f t="shared" si="206"/>
        <v/>
      </c>
    </row>
    <row r="399" spans="1:36" x14ac:dyDescent="0.25">
      <c r="A399" s="54"/>
      <c r="E399" s="54"/>
      <c r="F399" s="54"/>
      <c r="G399" s="54"/>
      <c r="H399" s="54"/>
      <c r="I399" s="54"/>
      <c r="J399" s="2"/>
      <c r="AA399" s="264">
        <v>395</v>
      </c>
      <c r="AB399" s="16" t="str">
        <f t="shared" si="198"/>
        <v/>
      </c>
      <c r="AC399" s="16" t="str">
        <f t="shared" si="199"/>
        <v/>
      </c>
      <c r="AD399" s="16" t="str">
        <f t="shared" si="202"/>
        <v/>
      </c>
      <c r="AE399" s="16" t="str">
        <f t="shared" si="203"/>
        <v/>
      </c>
      <c r="AF399" s="16" t="str">
        <f t="shared" si="204"/>
        <v/>
      </c>
      <c r="AG399" s="16" t="str">
        <f t="shared" si="200"/>
        <v/>
      </c>
      <c r="AH399" s="16" t="str">
        <f t="shared" si="201"/>
        <v/>
      </c>
      <c r="AI399" s="29" t="str">
        <f t="shared" si="205"/>
        <v/>
      </c>
      <c r="AJ399" s="29" t="str">
        <f t="shared" si="206"/>
        <v/>
      </c>
    </row>
    <row r="400" spans="1:36" x14ac:dyDescent="0.25">
      <c r="A400" s="54"/>
      <c r="E400" s="54"/>
      <c r="F400" s="54"/>
      <c r="G400" s="54"/>
      <c r="H400" s="54"/>
      <c r="I400" s="54"/>
      <c r="J400" s="2"/>
      <c r="AA400" s="264">
        <v>396</v>
      </c>
      <c r="AB400" s="16" t="str">
        <f t="shared" si="198"/>
        <v/>
      </c>
      <c r="AC400" s="16" t="str">
        <f t="shared" si="199"/>
        <v/>
      </c>
      <c r="AD400" s="16" t="str">
        <f t="shared" si="202"/>
        <v/>
      </c>
      <c r="AE400" s="16" t="str">
        <f t="shared" si="203"/>
        <v/>
      </c>
      <c r="AF400" s="16" t="str">
        <f t="shared" si="204"/>
        <v/>
      </c>
      <c r="AG400" s="16" t="str">
        <f t="shared" si="200"/>
        <v/>
      </c>
      <c r="AH400" s="16" t="str">
        <f t="shared" si="201"/>
        <v/>
      </c>
      <c r="AI400" s="29" t="str">
        <f t="shared" si="205"/>
        <v/>
      </c>
      <c r="AJ400" s="29" t="str">
        <f t="shared" si="206"/>
        <v/>
      </c>
    </row>
    <row r="401" spans="1:56" x14ac:dyDescent="0.25">
      <c r="A401" s="54"/>
      <c r="E401" s="54"/>
      <c r="F401" s="54"/>
      <c r="G401" s="54"/>
      <c r="H401" s="54"/>
      <c r="I401" s="54"/>
      <c r="J401" s="2"/>
      <c r="AA401" s="264">
        <v>397</v>
      </c>
      <c r="AB401" s="16" t="str">
        <f t="shared" si="198"/>
        <v/>
      </c>
      <c r="AC401" s="16" t="str">
        <f t="shared" si="199"/>
        <v/>
      </c>
      <c r="AD401" s="16" t="str">
        <f t="shared" si="202"/>
        <v/>
      </c>
      <c r="AE401" s="16" t="str">
        <f t="shared" si="203"/>
        <v/>
      </c>
      <c r="AF401" s="16" t="str">
        <f t="shared" si="204"/>
        <v/>
      </c>
      <c r="AG401" s="16" t="str">
        <f t="shared" si="200"/>
        <v/>
      </c>
      <c r="AH401" s="16" t="str">
        <f t="shared" si="201"/>
        <v/>
      </c>
      <c r="AI401" s="29" t="str">
        <f t="shared" si="205"/>
        <v/>
      </c>
      <c r="AJ401" s="29" t="str">
        <f t="shared" si="206"/>
        <v/>
      </c>
    </row>
    <row r="402" spans="1:56" x14ac:dyDescent="0.25">
      <c r="A402" s="54"/>
      <c r="E402" s="54"/>
      <c r="F402" s="54"/>
      <c r="G402" s="54"/>
      <c r="H402" s="54"/>
      <c r="I402" s="54"/>
      <c r="J402" s="2"/>
      <c r="AA402" s="264">
        <v>398</v>
      </c>
      <c r="AB402" s="16" t="str">
        <f t="shared" si="198"/>
        <v/>
      </c>
      <c r="AC402" s="16" t="str">
        <f t="shared" si="199"/>
        <v/>
      </c>
      <c r="AD402" s="16" t="str">
        <f t="shared" si="202"/>
        <v/>
      </c>
      <c r="AE402" s="16" t="str">
        <f t="shared" si="203"/>
        <v/>
      </c>
      <c r="AF402" s="16" t="str">
        <f t="shared" si="204"/>
        <v/>
      </c>
      <c r="AG402" s="16" t="str">
        <f t="shared" si="200"/>
        <v/>
      </c>
      <c r="AH402" s="16" t="str">
        <f t="shared" si="201"/>
        <v/>
      </c>
      <c r="AI402" s="29" t="str">
        <f t="shared" si="205"/>
        <v/>
      </c>
      <c r="AJ402" s="29" t="str">
        <f t="shared" si="206"/>
        <v/>
      </c>
    </row>
    <row r="403" spans="1:56" x14ac:dyDescent="0.25">
      <c r="A403" s="54"/>
      <c r="B403" s="54"/>
      <c r="C403" s="54"/>
      <c r="D403" s="54"/>
      <c r="E403" s="54"/>
      <c r="F403" s="54"/>
      <c r="G403" s="54"/>
      <c r="H403" s="54"/>
      <c r="I403" s="54"/>
      <c r="J403" s="2"/>
      <c r="AA403" s="264">
        <v>399</v>
      </c>
      <c r="AB403" s="16" t="str">
        <f t="shared" si="198"/>
        <v/>
      </c>
      <c r="AC403" s="16" t="str">
        <f t="shared" si="199"/>
        <v/>
      </c>
      <c r="AD403" s="16" t="str">
        <f t="shared" si="202"/>
        <v/>
      </c>
      <c r="AE403" s="16" t="str">
        <f t="shared" si="203"/>
        <v/>
      </c>
      <c r="AF403" s="16" t="str">
        <f t="shared" si="204"/>
        <v/>
      </c>
      <c r="AG403" s="16" t="str">
        <f t="shared" si="200"/>
        <v/>
      </c>
      <c r="AH403" s="16" t="str">
        <f t="shared" si="201"/>
        <v/>
      </c>
      <c r="AI403" s="29" t="str">
        <f t="shared" si="205"/>
        <v/>
      </c>
      <c r="AJ403" s="29" t="str">
        <f t="shared" si="206"/>
        <v/>
      </c>
    </row>
    <row r="404" spans="1:56" x14ac:dyDescent="0.25">
      <c r="A404" s="54"/>
      <c r="J404" s="2"/>
      <c r="AA404" s="264">
        <v>400</v>
      </c>
      <c r="AB404" s="16" t="str">
        <f t="shared" si="198"/>
        <v/>
      </c>
      <c r="AC404" s="16" t="str">
        <f t="shared" si="199"/>
        <v/>
      </c>
      <c r="AD404" s="16" t="str">
        <f t="shared" si="202"/>
        <v/>
      </c>
      <c r="AE404" s="16" t="str">
        <f t="shared" si="203"/>
        <v/>
      </c>
      <c r="AF404" s="16" t="str">
        <f t="shared" si="204"/>
        <v/>
      </c>
      <c r="AG404" s="16" t="str">
        <f t="shared" si="200"/>
        <v/>
      </c>
      <c r="AH404" s="16" t="str">
        <f t="shared" si="201"/>
        <v/>
      </c>
      <c r="AI404" s="29" t="str">
        <f t="shared" si="205"/>
        <v/>
      </c>
      <c r="AJ404" s="29" t="str">
        <f t="shared" si="206"/>
        <v/>
      </c>
    </row>
    <row r="405" spans="1:56" x14ac:dyDescent="0.25">
      <c r="J405" s="2"/>
      <c r="AA405" s="264"/>
    </row>
    <row r="406" spans="1:56" x14ac:dyDescent="0.25">
      <c r="J406" s="2"/>
      <c r="AA406" s="7" t="s">
        <v>32</v>
      </c>
      <c r="AB406" s="5"/>
      <c r="AC406" s="5"/>
      <c r="AD406" s="3"/>
      <c r="AE406" s="7" t="s">
        <v>7</v>
      </c>
      <c r="AF406" s="2"/>
      <c r="AG406" s="2"/>
      <c r="AH406" s="2"/>
      <c r="AI406" s="2"/>
      <c r="AJ406" s="278"/>
      <c r="AK406" s="2"/>
      <c r="AL406" s="2"/>
      <c r="AM406" s="2"/>
      <c r="AN406" s="2"/>
      <c r="AO406" s="2"/>
      <c r="AP406" s="2"/>
      <c r="AQ406" s="2"/>
      <c r="AR406" s="2"/>
      <c r="AS406" s="2"/>
      <c r="AT406" s="2"/>
      <c r="AU406" s="2"/>
      <c r="AV406" s="2"/>
      <c r="AW406" s="2"/>
      <c r="AX406" s="2"/>
      <c r="AY406" s="2"/>
      <c r="AZ406" s="2"/>
      <c r="BA406" s="2"/>
      <c r="BB406" s="2"/>
      <c r="BC406" s="2"/>
    </row>
    <row r="407" spans="1:56" x14ac:dyDescent="0.25">
      <c r="J407" s="2"/>
      <c r="AA407" s="11" t="s">
        <v>85</v>
      </c>
      <c r="AB407" s="4">
        <f>SUM($B$13:$B$62,$E$13:$E$62,$H$13:$H$62,$K$13:$K$62,$N$13:$N$62,$Q$13:$Q$62,$T$13:$T$62, W$13:$W$62)</f>
        <v>54.864000000000026</v>
      </c>
      <c r="AC407" s="2"/>
      <c r="AD407" s="2"/>
      <c r="AE407" s="5"/>
      <c r="AF407" s="23" t="s">
        <v>8</v>
      </c>
      <c r="AG407" s="23" t="s">
        <v>9</v>
      </c>
      <c r="AH407" s="23" t="s">
        <v>10</v>
      </c>
      <c r="AI407" s="23" t="s">
        <v>11</v>
      </c>
      <c r="AJ407" s="23" t="s">
        <v>45</v>
      </c>
      <c r="AK407" s="23" t="s">
        <v>46</v>
      </c>
      <c r="AL407" s="23" t="s">
        <v>47</v>
      </c>
      <c r="AM407" s="23" t="s">
        <v>48</v>
      </c>
      <c r="AN407" s="23" t="s">
        <v>243</v>
      </c>
      <c r="AO407" s="23" t="s">
        <v>244</v>
      </c>
      <c r="AP407" s="23" t="s">
        <v>245</v>
      </c>
      <c r="AQ407" s="23" t="s">
        <v>246</v>
      </c>
      <c r="AR407" s="23" t="s">
        <v>247</v>
      </c>
      <c r="AS407" s="23" t="s">
        <v>248</v>
      </c>
      <c r="AT407" s="23" t="s">
        <v>249</v>
      </c>
      <c r="AU407" s="23" t="s">
        <v>250</v>
      </c>
      <c r="AV407" s="23" t="s">
        <v>350</v>
      </c>
      <c r="AW407" s="23" t="s">
        <v>351</v>
      </c>
      <c r="AX407" s="23" t="s">
        <v>352</v>
      </c>
      <c r="AY407" s="23" t="s">
        <v>353</v>
      </c>
      <c r="AZ407" s="23" t="s">
        <v>354</v>
      </c>
      <c r="BA407" s="23" t="s">
        <v>355</v>
      </c>
      <c r="BB407" s="23" t="s">
        <v>356</v>
      </c>
      <c r="BC407" s="23"/>
    </row>
    <row r="408" spans="1:56" x14ac:dyDescent="0.25">
      <c r="Z408" s="2"/>
      <c r="AA408" s="11" t="s">
        <v>86</v>
      </c>
      <c r="AB408" s="4">
        <f>SUM($C$13:$C$62,$F$13:$F$62,$I$13:$I$62,$L$13:$L$62,$O$13:$O$62,$R$13:$R$62,$U$13:$U$62,$X$13:$X$62)</f>
        <v>164.59200000000007</v>
      </c>
      <c r="AC408" s="2"/>
      <c r="AD408" s="2"/>
      <c r="AE408" s="4" t="s">
        <v>88</v>
      </c>
      <c r="AF408" s="3">
        <f>IF($B$64&gt;=1,$B$67-$AB$409,"")</f>
        <v>-4.4408920985006262E-16</v>
      </c>
      <c r="AG408" s="3">
        <f>IF($B$64&gt;=2,$C$67-$AB$409,"")</f>
        <v>-4.4408920985006262E-16</v>
      </c>
      <c r="AH408" s="3" t="str">
        <f>IF($B$64&gt;=3,$D$67-$AB$409,"")</f>
        <v/>
      </c>
      <c r="AI408" s="3" t="str">
        <f>IF($B$64&gt;=4,$E$67-$AB$409,"")</f>
        <v/>
      </c>
      <c r="AJ408" s="3" t="str">
        <f>IF($B$64&gt;=5,$F$67-$AB$409,"")</f>
        <v/>
      </c>
      <c r="AK408" s="3" t="str">
        <f>IF($B$64&gt;=6,$G$67-$AB$409,"")</f>
        <v/>
      </c>
      <c r="AL408" s="3" t="str">
        <f>IF($B$64&gt;=7,$H$67-$AB$409,"")</f>
        <v/>
      </c>
      <c r="AM408" s="3" t="str">
        <f>IF($B$64&gt;=8,$I$67-$AB$409,"")</f>
        <v/>
      </c>
      <c r="AN408" s="3" t="str">
        <f>IF($B$64&gt;=9,$J$67-$AB$409,"")</f>
        <v/>
      </c>
      <c r="AO408" s="3" t="str">
        <f>IF($B$64&gt;=10,$K$67-$AB$409,"")</f>
        <v/>
      </c>
      <c r="AP408" s="3" t="str">
        <f>IF($B$64&gt;=11,$L$67-$AB$409,"")</f>
        <v/>
      </c>
      <c r="AQ408" s="3" t="str">
        <f>IF($B$64&gt;=12,$M$67-$AB$409,"")</f>
        <v/>
      </c>
      <c r="AR408" s="3" t="str">
        <f>IF($B$64&gt;=13,$N$67-$AB$409,"")</f>
        <v/>
      </c>
      <c r="AS408" s="3" t="str">
        <f>IF($B$64&gt;=14,$O$67-$AB$409,"")</f>
        <v/>
      </c>
      <c r="AT408" s="3" t="str">
        <f>IF($B$64&gt;=15,$P$67-$AB$409,"")</f>
        <v/>
      </c>
      <c r="AU408" s="3" t="str">
        <f>IF($B$64&gt;=16,$Q$67-$AB$409,"")</f>
        <v/>
      </c>
      <c r="AV408" s="3" t="str">
        <f>IF($B$64&gt;=17,$R$67-$AB$409,"")</f>
        <v/>
      </c>
      <c r="AW408" s="3" t="str">
        <f>IF($B$64&gt;=18,$S$67-$AB$409,"")</f>
        <v/>
      </c>
      <c r="AX408" s="3" t="str">
        <f>IF($B$64&gt;=19,$T$67-$AB$409,"")</f>
        <v/>
      </c>
      <c r="AY408" s="3" t="str">
        <f>IF($B$64&gt;=20,$U$67-$AB$409,"")</f>
        <v/>
      </c>
      <c r="AZ408" s="3" t="str">
        <f>IF($B$64&gt;=21,$V$67-$AB$409,"")</f>
        <v/>
      </c>
      <c r="BA408" s="3" t="str">
        <f>IF($B$64&gt;=22,$W$67-$AB$409,"")</f>
        <v/>
      </c>
      <c r="BB408" s="3" t="str">
        <f>IF($B$64=23,$X$67-$AB$409,"")</f>
        <v/>
      </c>
      <c r="BC408" s="3"/>
    </row>
    <row r="409" spans="1:56" x14ac:dyDescent="0.25">
      <c r="Z409" s="2"/>
      <c r="AA409" s="19" t="s">
        <v>5</v>
      </c>
      <c r="AB409" s="16">
        <f>$AB$407/$C$9</f>
        <v>1.3716000000000006</v>
      </c>
      <c r="AC409" s="2"/>
      <c r="AD409" s="2"/>
      <c r="AE409" s="4" t="s">
        <v>87</v>
      </c>
      <c r="AF409" s="3">
        <f>IF($B$64&gt;=1,$B$68-$AB$410,"")</f>
        <v>-1.3716000000000013</v>
      </c>
      <c r="AG409" s="3">
        <f>IF($B$64&gt;=2,$C$68-$AB$410,"")</f>
        <v>1.371599999999999</v>
      </c>
      <c r="AH409" s="3" t="str">
        <f>IF($B$64&gt;=3,$D$68-$AB$410,"")</f>
        <v/>
      </c>
      <c r="AI409" s="3" t="str">
        <f>IF($B$64&gt;=4,$E$68-$AB$410,"")</f>
        <v/>
      </c>
      <c r="AJ409" s="3" t="str">
        <f>IF($B$64&gt;=5,$F$68-$AB$410,"")</f>
        <v/>
      </c>
      <c r="AK409" s="3" t="str">
        <f>IF($B$64&gt;=6,$G$68-$AB$410,"")</f>
        <v/>
      </c>
      <c r="AL409" s="3" t="str">
        <f>IF($B$64&gt;=7,$H$68-$AB$410,"")</f>
        <v/>
      </c>
      <c r="AM409" s="3" t="str">
        <f>IF($B$64&gt;=8,$I$68-$AB$410,"")</f>
        <v/>
      </c>
      <c r="AN409" s="3" t="str">
        <f>IF($B$64&gt;=9,$J$68-$AB$410,"")</f>
        <v/>
      </c>
      <c r="AO409" s="3" t="str">
        <f>IF($B$64&gt;=10,$K$68-$AB$410,"")</f>
        <v/>
      </c>
      <c r="AP409" s="3" t="str">
        <f>IF($B$64&gt;=11,$L$68-$AB$410,"")</f>
        <v/>
      </c>
      <c r="AQ409" s="3" t="str">
        <f>IF($B$64&gt;=12,$M$68-$AB$410,"")</f>
        <v/>
      </c>
      <c r="AR409" s="3" t="str">
        <f>IF($B$64&gt;=13,$N$68-$AB$410,"")</f>
        <v/>
      </c>
      <c r="AS409" s="3" t="str">
        <f>IF($B$64&gt;=14,$O$68-$AB$410,"")</f>
        <v/>
      </c>
      <c r="AT409" s="3" t="str">
        <f>IF($B$64&gt;=15,$P$68-$AB$410,"")</f>
        <v/>
      </c>
      <c r="AU409" s="3" t="str">
        <f>IF($B$64&gt;=16,$Q$68-$AB$410,"")</f>
        <v/>
      </c>
      <c r="AV409" s="3" t="str">
        <f>IF($B$64&gt;=17,$R$68-$AB$410,"")</f>
        <v/>
      </c>
      <c r="AW409" s="3" t="str">
        <f>IF($B$64&gt;=18,$S$68-$AB$410,"")</f>
        <v/>
      </c>
      <c r="AX409" s="3" t="str">
        <f>IF($B$64&gt;=19,$T$68-$AB$410,"")</f>
        <v/>
      </c>
      <c r="AY409" s="3" t="str">
        <f>IF($B$64&gt;=20,$U$68-$AB$410,"")</f>
        <v/>
      </c>
      <c r="AZ409" s="3" t="str">
        <f>IF($B$64&gt;=21,$V$68-$AB$410,"")</f>
        <v/>
      </c>
      <c r="BA409" s="3" t="str">
        <f>IF($B$64&gt;=22,$W$68-$AB$410,"")</f>
        <v/>
      </c>
      <c r="BB409" s="3" t="str">
        <f>IF($B$64=23,$X$68-$AB$410,"")</f>
        <v/>
      </c>
      <c r="BC409" s="3"/>
      <c r="BD409" s="23"/>
    </row>
    <row r="410" spans="1:56" x14ac:dyDescent="0.25">
      <c r="Z410" s="2"/>
      <c r="AA410" s="19" t="s">
        <v>6</v>
      </c>
      <c r="AB410" s="16">
        <f>$AB$408/$C$9</f>
        <v>4.1148000000000016</v>
      </c>
      <c r="AC410" s="2"/>
      <c r="AD410" s="2"/>
      <c r="AE410" s="23" t="s">
        <v>12</v>
      </c>
      <c r="AF410" s="3">
        <f>IF($B$64&gt;=1,$B$70*$AF$409,"")</f>
        <v>9151.7719428000091</v>
      </c>
      <c r="AG410" s="3">
        <f>IF($B$64&gt;=2,$C$70*$AG$409,"")</f>
        <v>-9151.7719427999946</v>
      </c>
      <c r="AH410" s="3" t="str">
        <f>IF($B$64&gt;=3,$D$70*$AH$409,"")</f>
        <v/>
      </c>
      <c r="AI410" s="3" t="str">
        <f>IF($B$64&gt;=4,$E$70*$AI$409,"")</f>
        <v/>
      </c>
      <c r="AJ410" s="3" t="str">
        <f>IF($B$64&gt;=5,$F$70*$AJ$409,"")</f>
        <v/>
      </c>
      <c r="AK410" s="3" t="str">
        <f>IF($B$64&gt;=6,$G$70*$AK$409,"")</f>
        <v/>
      </c>
      <c r="AL410" s="3" t="str">
        <f>IF($B$64&gt;=7,$H$70*$AL$409,"")</f>
        <v/>
      </c>
      <c r="AM410" s="3" t="str">
        <f>IF($B$64&gt;=8,$I$70*$AM$409,"")</f>
        <v/>
      </c>
      <c r="AN410" s="3" t="str">
        <f>IF($B$64&gt;=9,$J$70*$AN$409,"")</f>
        <v/>
      </c>
      <c r="AO410" s="3" t="str">
        <f>IF($B$64&gt;=10,$K$70*$AO$409,"")</f>
        <v/>
      </c>
      <c r="AP410" s="3" t="str">
        <f>IF($B$64&gt;=11,$L$70*$AP$409,"")</f>
        <v/>
      </c>
      <c r="AQ410" s="3" t="str">
        <f>IF($B$64&gt;=12,$M$70*$AQ$409,"")</f>
        <v/>
      </c>
      <c r="AR410" s="3" t="str">
        <f>IF($B$64&gt;=13,$N$70*$AR$409,"")</f>
        <v/>
      </c>
      <c r="AS410" s="3" t="str">
        <f>IF($B$64&gt;=14,$O$70*$AS$409,"")</f>
        <v/>
      </c>
      <c r="AT410" s="3" t="str">
        <f>IF($B$64&gt;=15,$P$70*$AT$409,"")</f>
        <v/>
      </c>
      <c r="AU410" s="3" t="str">
        <f>IF($B$64&gt;=16,$Q$70*$AU$409,"")</f>
        <v/>
      </c>
      <c r="AV410" s="3" t="str">
        <f>IF($B$64&gt;=17,$R$70*$AV$409,"")</f>
        <v/>
      </c>
      <c r="AW410" s="3" t="str">
        <f>IF($B$64&gt;=18,$S$70*$AW$409,"")</f>
        <v/>
      </c>
      <c r="AX410" s="3" t="str">
        <f>IF($B$64&gt;=19,$T$70*$AX$409,"")</f>
        <v/>
      </c>
      <c r="AY410" s="3" t="str">
        <f>IF($B$64&gt;=20,$U$70*$AY$409,"")</f>
        <v/>
      </c>
      <c r="AZ410" s="3" t="str">
        <f>IF($B$64&gt;=21,$V$70*$AZ$409,"")</f>
        <v/>
      </c>
      <c r="BA410" s="3" t="str">
        <f>IF($B$64&gt;=22,$W$70*$BA$409,"")</f>
        <v/>
      </c>
      <c r="BB410" s="3" t="str">
        <f>IF($B$64=23,$X$70*$BB$409,"")</f>
        <v/>
      </c>
      <c r="BC410" s="3"/>
    </row>
    <row r="411" spans="1:56" x14ac:dyDescent="0.25">
      <c r="Z411" s="2"/>
      <c r="AA411" s="20" t="s">
        <v>92</v>
      </c>
      <c r="AB411" s="30">
        <f>SUM($AD$5:$AD$404)</f>
        <v>275.92202880003998</v>
      </c>
      <c r="AC411" s="2"/>
      <c r="AD411" s="2"/>
      <c r="AE411" s="23" t="s">
        <v>13</v>
      </c>
      <c r="AF411" s="3">
        <f>IF($B$64&gt;=1,$B$70*-$AF$408,"")</f>
        <v>-2.9631110898264981E-12</v>
      </c>
      <c r="AG411" s="3">
        <f>IF($B$64&gt;=2,$C$70*-$AG$408,"")</f>
        <v>-2.9631110898264981E-12</v>
      </c>
      <c r="AH411" s="3" t="str">
        <f>IF($B$64&gt;=3,$D$70*-$AH$408,"")</f>
        <v/>
      </c>
      <c r="AI411" s="3" t="str">
        <f>IF($B$64&gt;=4,$E$70*-$AI$408,"")</f>
        <v/>
      </c>
      <c r="AJ411" s="3" t="str">
        <f>IF($B$64&gt;=5,$F$70*-$AJ$408,"")</f>
        <v/>
      </c>
      <c r="AK411" s="3" t="str">
        <f>IF($B$64&gt;=6,$G$70*-$AK$408,"")</f>
        <v/>
      </c>
      <c r="AL411" s="3" t="str">
        <f>IF($B$64&gt;=7,$H$70*-$AL$408,"")</f>
        <v/>
      </c>
      <c r="AM411" s="3" t="str">
        <f>IF($B$64&gt;=8,$I$70*-$AM$408,"")</f>
        <v/>
      </c>
      <c r="AN411" s="3" t="str">
        <f>IF($B$64&gt;=9,$J$70*-$AN$408,"")</f>
        <v/>
      </c>
      <c r="AO411" s="3" t="str">
        <f>IF($B$64&gt;=10,$K$70*-$AO$408,"")</f>
        <v/>
      </c>
      <c r="AP411" s="3" t="str">
        <f>IF($B$64&gt;=11,$L$70*-$AP$408,"")</f>
        <v/>
      </c>
      <c r="AQ411" s="3" t="str">
        <f>IF($B$64&gt;=12,$M$70*-$AQ$408,"")</f>
        <v/>
      </c>
      <c r="AR411" s="3" t="str">
        <f>IF($B$64&gt;=13,$N$70*-$AR$408,"")</f>
        <v/>
      </c>
      <c r="AS411" s="3" t="str">
        <f>IF($B$64&gt;=14,$O$70*-$AS$408,"")</f>
        <v/>
      </c>
      <c r="AT411" s="3" t="str">
        <f>IF($B$64&gt;=15,$P$70*-$AT$408,"")</f>
        <v/>
      </c>
      <c r="AU411" s="3" t="str">
        <f>IF($B$64&gt;=16,$Q$70*-$AU$408,"")</f>
        <v/>
      </c>
      <c r="AV411" s="3" t="str">
        <f>IF($B$64&gt;=17,$R$70*-$AV$408,"")</f>
        <v/>
      </c>
      <c r="AW411" s="3" t="str">
        <f>IF($B$64&gt;=18,$S$70*-$AW$408,"")</f>
        <v/>
      </c>
      <c r="AX411" s="3" t="str">
        <f>IF($B$64&gt;=19,$T$70*-$AX$408,"")</f>
        <v/>
      </c>
      <c r="AY411" s="3" t="str">
        <f>IF($B$64&gt;=20,$U$70*-$AY$408,"")</f>
        <v/>
      </c>
      <c r="AZ411" s="3" t="str">
        <f>IF($B$64&gt;=21,$V$70*-$AZ$408,"")</f>
        <v/>
      </c>
      <c r="BA411" s="3" t="str">
        <f>IF($B$64&gt;=22,$W$70*-$BA$408,"")</f>
        <v/>
      </c>
      <c r="BB411" s="3" t="str">
        <f>IF($B$64=23,$X$70*-$BB$408,"")</f>
        <v/>
      </c>
      <c r="BC411" s="3"/>
    </row>
    <row r="412" spans="1:56" x14ac:dyDescent="0.25">
      <c r="Z412" s="2"/>
      <c r="AA412" s="20" t="s">
        <v>93</v>
      </c>
      <c r="AB412" s="30">
        <f>SUM($AE$5:$AE$404)</f>
        <v>41.806368000040024</v>
      </c>
      <c r="AC412" s="2"/>
      <c r="AD412" s="2"/>
      <c r="AE412" s="23" t="s">
        <v>14</v>
      </c>
      <c r="AF412" s="3">
        <f>IF($B$64&gt;=1,$B$69*-$B$72,"")</f>
        <v>203.37270984000003</v>
      </c>
      <c r="AG412" s="3">
        <f>IF($B$64&gt;=2,$C$69*-$C$72,"")</f>
        <v>203.37270984000003</v>
      </c>
      <c r="AH412" s="3" t="str">
        <f>IF($B$64&gt;=3,$D$69*-$D$72,"")</f>
        <v/>
      </c>
      <c r="AI412" s="3" t="str">
        <f>IF($B$64&gt;=4,$E$69*-$E$72,"")</f>
        <v/>
      </c>
      <c r="AJ412" s="3" t="str">
        <f>IF($B$64&gt;=5,$F$69*-$F$72,"")</f>
        <v/>
      </c>
      <c r="AK412" s="3" t="str">
        <f>IF($B$64&gt;=6,$G$69*-$G$72,"")</f>
        <v/>
      </c>
      <c r="AL412" s="3" t="str">
        <f>IF($B$64&gt;=7,$H$69*-$H$72,"")</f>
        <v/>
      </c>
      <c r="AM412" s="3" t="str">
        <f>IF($B$64&gt;=8,$I$69*-$I$72,"")</f>
        <v/>
      </c>
      <c r="AN412" s="3" t="str">
        <f>IF($B$64&gt;=9,$J$69*-$J$72,"")</f>
        <v/>
      </c>
      <c r="AO412" s="3" t="str">
        <f>IF($B$64&gt;=10,$K$69*-$K$72,"")</f>
        <v/>
      </c>
      <c r="AP412" s="3" t="str">
        <f>IF($B$64&gt;=11,$L$69*-$L$72,"")</f>
        <v/>
      </c>
      <c r="AQ412" s="3" t="str">
        <f>IF($B$64&gt;=12,$M$69*-$M$72,"")</f>
        <v/>
      </c>
      <c r="AR412" s="3" t="str">
        <f>IF($B$64&gt;=13,$N$69*-$N$72,"")</f>
        <v/>
      </c>
      <c r="AS412" s="3" t="str">
        <f>IF($B$64&gt;=14,$O$69*-$O$72,"")</f>
        <v/>
      </c>
      <c r="AT412" s="3" t="str">
        <f>IF($B$64&gt;=15,$P$69*-$P$72,"")</f>
        <v/>
      </c>
      <c r="AU412" s="3" t="str">
        <f>IF($B$64&gt;=16,$Q$69*-$Q$72,"")</f>
        <v/>
      </c>
      <c r="AV412" s="3" t="str">
        <f>IF($B$64&gt;=17,$R$69*-$R$72,"")</f>
        <v/>
      </c>
      <c r="AW412" s="3" t="str">
        <f>IF($B$64&gt;=18,$S$69*-$S$72,"")</f>
        <v/>
      </c>
      <c r="AX412" s="3" t="str">
        <f>IF($B$64&gt;=19,$T$69*-$T$72,"")</f>
        <v/>
      </c>
      <c r="AY412" s="3" t="str">
        <f>IF($B$64&gt;=20,$U$69*-$U$72,"")</f>
        <v/>
      </c>
      <c r="AZ412" s="3" t="str">
        <f>IF($B$64&gt;=21,$V$69*-$V$72,"")</f>
        <v/>
      </c>
      <c r="BA412" s="3" t="str">
        <f>IF($B$64&gt;=22,$W$69*-$W$72,"")</f>
        <v/>
      </c>
      <c r="BB412" s="3" t="str">
        <f>IF($B$64=23,$X$69*-$X$72,"")</f>
        <v/>
      </c>
      <c r="BC412" s="3"/>
    </row>
    <row r="413" spans="1:56" x14ac:dyDescent="0.25">
      <c r="Z413" s="2"/>
      <c r="AA413" s="20" t="s">
        <v>22</v>
      </c>
      <c r="AB413" s="30">
        <f>$AB$411+$AB$412</f>
        <v>317.72839680008002</v>
      </c>
      <c r="AE413" s="23" t="s">
        <v>15</v>
      </c>
      <c r="AF413" s="3">
        <f>IF($B$64&gt;=1,$B$69*$B$71,"")</f>
        <v>-135.58180656000002</v>
      </c>
      <c r="AG413" s="3">
        <f>IF($B$64&gt;=2,$C$69*$C$71,"")</f>
        <v>-135.58180656000002</v>
      </c>
      <c r="AH413" s="3" t="str">
        <f>IF($B$64&gt;=3,$D$69*$D$71,"")</f>
        <v/>
      </c>
      <c r="AI413" s="3" t="str">
        <f>IF($B$64&gt;=4,$E$69*$E$71,"")</f>
        <v/>
      </c>
      <c r="AJ413" s="3" t="str">
        <f>IF($B$64&gt;=5,$F$69*$F$71,"")</f>
        <v/>
      </c>
      <c r="AK413" s="3" t="str">
        <f>IF($B$64&gt;=6,$G$69*$G$71,"")</f>
        <v/>
      </c>
      <c r="AL413" s="3" t="str">
        <f>IF($B$64&gt;=7,$H$69*$H$71,"")</f>
        <v/>
      </c>
      <c r="AM413" s="3" t="str">
        <f>IF($B$64&gt;=8,$I$69*$I$71,"")</f>
        <v/>
      </c>
      <c r="AN413" s="3" t="str">
        <f>IF($B$64&gt;=9,$J$69*$J$71,"")</f>
        <v/>
      </c>
      <c r="AO413" s="3" t="str">
        <f>IF($B$64&gt;=10,$K$69*$K$71,"")</f>
        <v/>
      </c>
      <c r="AP413" s="3" t="str">
        <f>IF($B$64&gt;=11,$L$69*$L$71,"")</f>
        <v/>
      </c>
      <c r="AQ413" s="3" t="str">
        <f>IF($B$64&gt;=12,$M$69*$M$71,"")</f>
        <v/>
      </c>
      <c r="AR413" s="3" t="str">
        <f>IF($B$64&gt;=13,$N$69*$N$71,"")</f>
        <v/>
      </c>
      <c r="AS413" s="3" t="str">
        <f>IF($B$64&gt;=14,$O$69*$O$71,"")</f>
        <v/>
      </c>
      <c r="AT413" s="3" t="str">
        <f>IF($B$64&gt;=15,$P$69*$P$71,"")</f>
        <v/>
      </c>
      <c r="AU413" s="3" t="str">
        <f>IF($B$64&gt;=16,$Q$69*$Q$71,"")</f>
        <v/>
      </c>
      <c r="AV413" s="3" t="str">
        <f>IF($B$64&gt;=17,$R$69*$R$71,"")</f>
        <v/>
      </c>
      <c r="AW413" s="3" t="str">
        <f>IF($B$64&gt;=18,$S$69*$S$71,"")</f>
        <v/>
      </c>
      <c r="AX413" s="3" t="str">
        <f>IF($B$64&gt;=19,$T$69*$T$71,"")</f>
        <v/>
      </c>
      <c r="AY413" s="3" t="str">
        <f>IF($B$64&gt;=20,$U$69*$U$71,"")</f>
        <v/>
      </c>
      <c r="AZ413" s="3" t="str">
        <f>IF($B$64&gt;=21,$V$69*$V$71,"")</f>
        <v/>
      </c>
      <c r="BA413" s="3" t="str">
        <f>IF($B$64&gt;=22,$W$69*$W$71,"")</f>
        <v/>
      </c>
      <c r="BB413" s="3" t="str">
        <f>IF($B$64=23,$X$69*$X$71,"")</f>
        <v/>
      </c>
      <c r="BC413" s="3"/>
    </row>
    <row r="414" spans="1:56" x14ac:dyDescent="0.25">
      <c r="Z414" s="2"/>
      <c r="AA414" s="20" t="s">
        <v>94</v>
      </c>
      <c r="AB414" s="4">
        <f>IF(ABS(SUM($AF$5:$AF$404))&lt;0.0005,0,SUM($AF$5:$AF$404))</f>
        <v>0</v>
      </c>
      <c r="AE414" s="9" t="s">
        <v>16</v>
      </c>
      <c r="AF414" s="28">
        <f>IF($B$64&gt;=1,$B$71*-$AF$409,"")</f>
        <v>-122.02362590400013</v>
      </c>
      <c r="AG414" s="3">
        <f>IF($B$64&gt;=2,$C$71*-$AG$409,"")</f>
        <v>122.02362590399993</v>
      </c>
      <c r="AH414" s="28" t="str">
        <f>IF($B$64&gt;=3,$D$71*-$AH$409,"")</f>
        <v/>
      </c>
      <c r="AI414" s="28" t="str">
        <f>IF($B$64&gt;=4,$E$71*-$AI$409,"")</f>
        <v/>
      </c>
      <c r="AJ414" s="28" t="str">
        <f>IF($B$64&gt;=5,$F$71*-$AJ$409,"")</f>
        <v/>
      </c>
      <c r="AK414" s="3" t="str">
        <f>IF($B$64&gt;=6,$G$71*-$AK$409,"")</f>
        <v/>
      </c>
      <c r="AL414" s="28" t="str">
        <f>IF($B$64&gt;=7,$H$71*-$AL$409,"")</f>
        <v/>
      </c>
      <c r="AM414" s="28" t="str">
        <f>IF($B$64&gt;=8,$I$71*-$AM$409,"")</f>
        <v/>
      </c>
      <c r="AN414" s="28" t="str">
        <f>IF($B$64&gt;=9,$J$71*-$AN$409,"")</f>
        <v/>
      </c>
      <c r="AO414" s="28" t="str">
        <f>IF($B$64&gt;=10,$K$71*-$AO$409,"")</f>
        <v/>
      </c>
      <c r="AP414" s="28" t="str">
        <f>IF($B$64&gt;=11,$L$71*-$AP$409,"")</f>
        <v/>
      </c>
      <c r="AQ414" s="28" t="str">
        <f>IF($B$64&gt;=12,$M$71*-$AQ$409,"")</f>
        <v/>
      </c>
      <c r="AR414" s="28" t="str">
        <f>IF($B$64&gt;=13,$N$71*-$AR$409,"")</f>
        <v/>
      </c>
      <c r="AS414" s="28" t="str">
        <f>IF($B$64&gt;=14,$O$71*-$AS$409,"")</f>
        <v/>
      </c>
      <c r="AT414" s="28" t="str">
        <f>IF($B$64&gt;=15,$P$71*-$AT$409,"")</f>
        <v/>
      </c>
      <c r="AU414" s="28" t="str">
        <f>IF($B$64&gt;=16,$Q$71*-$AU$409,"")</f>
        <v/>
      </c>
      <c r="AV414" s="28" t="str">
        <f>IF($B$64&gt;=17,$R$71*-$AV$409,"")</f>
        <v/>
      </c>
      <c r="AW414" s="28" t="str">
        <f>IF($B$64&gt;=18,$S$71*-$AW$409,"")</f>
        <v/>
      </c>
      <c r="AX414" s="28" t="str">
        <f>IF($B$64&gt;=19,$T$71*-$AX$409,"")</f>
        <v/>
      </c>
      <c r="AY414" s="28" t="str">
        <f>IF($B$64&gt;=20,$U$71*-$AY$409,"")</f>
        <v/>
      </c>
      <c r="AZ414" s="28" t="str">
        <f>IF($B$64&gt;=21,$V$71*-$AZ$409,"")</f>
        <v/>
      </c>
      <c r="BA414" s="28" t="str">
        <f>IF($B$64&gt;=22,$W$71*-$BA$409,"")</f>
        <v/>
      </c>
      <c r="BB414" s="28" t="str">
        <f>IF($B$64=23,$X$71*-$BB$409,"")</f>
        <v/>
      </c>
      <c r="BC414" s="28"/>
    </row>
    <row r="415" spans="1:56" x14ac:dyDescent="0.25">
      <c r="AA415" s="11" t="s">
        <v>23</v>
      </c>
      <c r="AB415" s="4">
        <f>IF(ABS($AB$411-$AB$412)&lt;0.0005,IF($AB$414&gt;0,-45,IF($AB$414&lt;0,45,0)),DEGREES(ATAN(-2*$AB$414/($AB$411-$AB$412))/2))</f>
        <v>0</v>
      </c>
      <c r="AE415" s="9" t="s">
        <v>17</v>
      </c>
      <c r="AF415" s="28">
        <f>IF($B$64&gt;=1,$B$72*$AF$408,"")</f>
        <v>5.9262221796529961E-14</v>
      </c>
      <c r="AG415" s="3">
        <f>IF($B$64&gt;=2,$C$72*$AG$408,"")</f>
        <v>5.9262221796529961E-14</v>
      </c>
      <c r="AH415" s="28" t="str">
        <f>IF($B$64&gt;=3,$D$72*$AH$408,"")</f>
        <v/>
      </c>
      <c r="AI415" s="28" t="str">
        <f>IF($B$64&gt;=4,$E$72*$AI$408,"")</f>
        <v/>
      </c>
      <c r="AJ415" s="28" t="str">
        <f>IF($B$64&gt;=5,$F$72*$AJ$408,"")</f>
        <v/>
      </c>
      <c r="AK415" s="3" t="str">
        <f>IF($B$64&gt;=6,$G$72*$AK$408,"")</f>
        <v/>
      </c>
      <c r="AL415" s="28" t="str">
        <f>IF($B$64&gt;=7,$H$72*$AL$408,"")</f>
        <v/>
      </c>
      <c r="AM415" s="28" t="str">
        <f>IF($B$64&gt;=8,$I$72*$AM$408,"")</f>
        <v/>
      </c>
      <c r="AN415" s="28" t="str">
        <f>IF($B$64&gt;=9,$J$72*$AN$408,"")</f>
        <v/>
      </c>
      <c r="AO415" s="28" t="str">
        <f>IF($B$64&gt;=10,$K$72*$AO$408,"")</f>
        <v/>
      </c>
      <c r="AP415" s="28" t="str">
        <f>IF($B$64&gt;=11,$L$72*$AP$408,"")</f>
        <v/>
      </c>
      <c r="AQ415" s="28" t="str">
        <f>IF($B$64&gt;=12,$M$72*$AQ$408,"")</f>
        <v/>
      </c>
      <c r="AR415" s="28" t="str">
        <f>IF($B$64&gt;=13,$N$72*$AR$408,"")</f>
        <v/>
      </c>
      <c r="AS415" s="28" t="str">
        <f>IF($B$64&gt;=14,$O$72*$AS$408,"")</f>
        <v/>
      </c>
      <c r="AT415" s="28" t="str">
        <f>IF($B$64&gt;=15,$P$72*$AT$408,"")</f>
        <v/>
      </c>
      <c r="AU415" s="28" t="str">
        <f>IF($B$64&gt;=16,$Q$72*$AU$408,"")</f>
        <v/>
      </c>
      <c r="AV415" s="28" t="str">
        <f>IF($B$64&gt;=17,$R$72*$AV$408,"")</f>
        <v/>
      </c>
      <c r="AW415" s="28" t="str">
        <f>IF($B$64&gt;=18,$S$72*$AW$408,"")</f>
        <v/>
      </c>
      <c r="AX415" s="28" t="str">
        <f>IF($B$64&gt;=19,$T$72*$AX$408,"")</f>
        <v/>
      </c>
      <c r="AY415" s="28" t="str">
        <f>IF($B$64&gt;=20,$U$72*$AY$408,"")</f>
        <v/>
      </c>
      <c r="AZ415" s="28" t="str">
        <f>IF($B$64&gt;=21,$V$72*$AZ$408,"")</f>
        <v/>
      </c>
      <c r="BA415" s="28" t="str">
        <f>IF($B$64&gt;=22,$W$72*$BA$408,"")</f>
        <v/>
      </c>
      <c r="BB415" s="28" t="str">
        <f>IF($B$64=23,$X$72*$BB$408,"")</f>
        <v/>
      </c>
      <c r="BC415" s="28"/>
    </row>
    <row r="416" spans="1:56" x14ac:dyDescent="0.25">
      <c r="AE416" s="24"/>
      <c r="AF416" s="24"/>
      <c r="AG416" s="24"/>
      <c r="AH416" s="24"/>
      <c r="AI416" s="24"/>
      <c r="AJ416" s="24"/>
    </row>
    <row r="417" spans="31:36" x14ac:dyDescent="0.25">
      <c r="AE417" s="26" t="s">
        <v>98</v>
      </c>
      <c r="AG417" s="24"/>
      <c r="AH417" s="24"/>
      <c r="AI417" s="24"/>
      <c r="AJ417" s="24"/>
    </row>
    <row r="418" spans="31:36" x14ac:dyDescent="0.25">
      <c r="AE418" s="11" t="s">
        <v>26</v>
      </c>
      <c r="AF418" s="3">
        <f>SUM($B$70:$X$70)</f>
        <v>-13344.666000000001</v>
      </c>
      <c r="AG418" s="24" t="s">
        <v>114</v>
      </c>
      <c r="AH418" s="24"/>
      <c r="AI418" s="24"/>
      <c r="AJ418" s="24"/>
    </row>
    <row r="419" spans="31:36" x14ac:dyDescent="0.25">
      <c r="AE419" s="11" t="s">
        <v>27</v>
      </c>
      <c r="AF419" s="3">
        <f>SUM($B$71:$X$71)</f>
        <v>-177.92888000000002</v>
      </c>
      <c r="AG419" s="24" t="s">
        <v>114</v>
      </c>
      <c r="AH419" s="24"/>
      <c r="AI419" s="24"/>
      <c r="AJ419" s="24"/>
    </row>
    <row r="420" spans="31:36" x14ac:dyDescent="0.25">
      <c r="AE420" s="11" t="s">
        <v>28</v>
      </c>
      <c r="AF420" s="3">
        <f>SUM($B$72:$X$72)</f>
        <v>-266.89332000000002</v>
      </c>
      <c r="AG420" s="24" t="s">
        <v>114</v>
      </c>
      <c r="AH420" s="24"/>
      <c r="AI420" s="24"/>
      <c r="AJ420" s="24"/>
    </row>
    <row r="421" spans="31:36" x14ac:dyDescent="0.25">
      <c r="AE421" s="11" t="s">
        <v>29</v>
      </c>
      <c r="AF421" s="18">
        <f>ROUND(SUM($B$73:$X$73)+SUM($AF$410:$BB$410)+SUM($AF$412:$BB$412),2)</f>
        <v>677.91</v>
      </c>
      <c r="AG421" s="24" t="s">
        <v>116</v>
      </c>
      <c r="AH421" s="24"/>
      <c r="AI421" s="24"/>
      <c r="AJ421" s="24"/>
    </row>
    <row r="422" spans="31:36" x14ac:dyDescent="0.25">
      <c r="AE422" s="11" t="s">
        <v>30</v>
      </c>
      <c r="AF422" s="18">
        <f>ROUND(SUM($B$74:$X$74)+SUM($AF$411:$BB$411)+SUM($AF$413:$BB$413),2)</f>
        <v>-677.91</v>
      </c>
      <c r="AG422" s="24" t="s">
        <v>116</v>
      </c>
      <c r="AH422" s="24"/>
      <c r="AI422" s="24"/>
      <c r="AJ422" s="24"/>
    </row>
    <row r="423" spans="31:36" x14ac:dyDescent="0.25">
      <c r="AE423" s="11" t="s">
        <v>31</v>
      </c>
      <c r="AF423" s="29">
        <f>ROUND(SUM($B$75:$X$75)+SUM($AF$414:$BB$414)+SUM($AF$415:$BB$415),2)</f>
        <v>0</v>
      </c>
      <c r="AG423" s="24" t="s">
        <v>116</v>
      </c>
      <c r="AH423" s="24"/>
      <c r="AI423" s="24"/>
      <c r="AJ423" s="24"/>
    </row>
  </sheetData>
  <sheetProtection sheet="1" objects="1" scenarios="1"/>
  <phoneticPr fontId="41" type="noConversion"/>
  <conditionalFormatting sqref="N82">
    <cfRule type="cellIs" dxfId="1" priority="1" stopIfTrue="1" operator="notEqual">
      <formula>"OK"</formula>
    </cfRule>
  </conditionalFormatting>
  <dataValidations xWindow="31820" yWindow="99" count="7">
    <dataValidation type="decimal" operator="greaterThanOrEqual" allowBlank="1" showInputMessage="1" showErrorMessage="1" prompt="'Xo' is the x-coordinate location of the center of the pile circle from the origin Y-axis.  Xo &gt;=  Dc/2" sqref="BI86">
      <formula1>$BI$85/2</formula1>
    </dataValidation>
    <dataValidation allowBlank="1" showInputMessage="1" showErrorMessage="1" prompt="'Dc' is the diameter of the pile circle." sqref="BI85"/>
    <dataValidation type="decimal" operator="greaterThanOrEqual" allowBlank="1" showInputMessage="1" showErrorMessage="1" prompt="'Yo' is the y-coordinate location of the center of the pile circle from the origin X-axis.  Yo &gt;=  Dc/2" sqref="BI87">
      <formula1>$BI$85/2</formula1>
    </dataValidation>
    <dataValidation type="decimal" operator="greaterThanOrEqual" allowBlank="1" showInputMessage="1" showErrorMessage="1" prompt="The angle to Pile #1 is measured counterclockwise from the origin X-axis." sqref="BI88">
      <formula1>0</formula1>
    </dataValidation>
    <dataValidation type="list" allowBlank="1" showInputMessage="1" showErrorMessage="1" errorTitle="Warning!" error="Invalid input for number of piles_x000a_(must input a value between 2 and 300)" sqref="BI84">
      <formula1>$AA$6:$AA$304</formula1>
    </dataValidation>
    <dataValidation type="list" allowBlank="1" showInputMessage="1" showErrorMessage="1" errorTitle="Warning!" error="Invalid input for number of piers_x000a_(must input a value between 1 and 4)" sqref="B64">
      <formula1>$AA$5:$AA$27</formula1>
    </dataValidation>
    <dataValidation type="list" allowBlank="1" showInputMessage="1" showErrorMessage="1" errorTitle="Warning!" error="Invalid input for number of piles_x000a_(must input a value between 2 and 300)" sqref="C9">
      <formula1>$AA$6:$AA$404</formula1>
    </dataValidation>
  </dataValidations>
  <pageMargins left="0.75" right="0.25" top="0.75" bottom="0.75" header="0.5" footer="0.5"/>
  <pageSetup scale="52" orientation="landscape" r:id="rId1"/>
  <headerFooter alignWithMargins="0">
    <oddHeader>&amp;R"PILEGRP.xls" Program
Version 3.6</oddHeader>
    <oddFooter>&amp;C&amp;P of &amp;N&amp;R&amp;D  &amp;T</oddFooter>
  </headerFooter>
  <rowBreaks count="3" manualBreakCount="3">
    <brk id="77" max="24" man="1"/>
    <brk id="154" max="24" man="1"/>
    <brk id="325" max="18" man="1"/>
  </rowBreaks>
  <drawing r:id="rId2"/>
  <mc:AlternateContent xmlns:mc="http://schemas.openxmlformats.org/markup-compatibility/2006">
    <mc:Choice Requires="v">
      <legacyDrawing r:id="rId3"/>
    </mc:Choice>
  </mc:AlternateContent>
</worksheet>
</file>

<file path=xl/worksheets/sheet1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dimension ref="A1:AJ100"/>
  <sheetViews>
    <sheetView zoomScaleNormal="100" workbookViewId="0"/>
  </sheetViews>
  <sheetFormatPr defaultColWidth="9.109375" defaultRowHeight="13.2" x14ac:dyDescent="0.25"/>
  <cols>
    <col min="1" max="1" width="11.88671875" style="92" customWidth="1"/>
    <col min="2" max="3" width="9.109375" style="92"/>
    <col min="4" max="4" width="9.5546875" style="92" customWidth="1"/>
    <col min="5" max="5" width="10.6640625" style="92" customWidth="1"/>
    <col min="6" max="8" width="9.109375" style="92"/>
    <col min="9" max="9" width="12.109375" style="92" customWidth="1"/>
    <col min="10" max="14" width="9.109375" style="281" hidden="1" customWidth="1"/>
    <col min="15" max="16" width="10.6640625" style="281" hidden="1" customWidth="1"/>
    <col min="17" max="17" width="9.109375" style="281" hidden="1" customWidth="1"/>
    <col min="18" max="18" width="10.6640625" style="281" hidden="1" customWidth="1"/>
    <col min="19" max="21" width="9.109375" style="281" hidden="1" customWidth="1"/>
    <col min="22" max="25" width="10.6640625" style="281" hidden="1" customWidth="1"/>
    <col min="26" max="26" width="9.109375" style="281" hidden="1" customWidth="1"/>
    <col min="27" max="27" width="9.109375" style="84"/>
    <col min="28" max="28" width="9.109375" style="226"/>
    <col min="29" max="31" width="9.109375" style="84"/>
    <col min="32" max="32" width="11.6640625" style="84" customWidth="1"/>
    <col min="33" max="35" width="9.109375" style="84"/>
    <col min="36" max="16384" width="9.109375" style="92"/>
  </cols>
  <sheetData>
    <row r="1" spans="1:36" ht="15.6" x14ac:dyDescent="0.3">
      <c r="A1" s="32" t="s">
        <v>317</v>
      </c>
      <c r="B1" s="33"/>
      <c r="C1" s="34"/>
      <c r="D1" s="34"/>
      <c r="E1" s="34"/>
      <c r="F1" s="34"/>
      <c r="G1" s="33"/>
      <c r="H1" s="33"/>
      <c r="I1" s="35"/>
      <c r="L1" s="193"/>
      <c r="N1" s="194"/>
      <c r="Q1" s="194"/>
      <c r="AA1" s="184" t="s">
        <v>373</v>
      </c>
    </row>
    <row r="2" spans="1:36" x14ac:dyDescent="0.25">
      <c r="A2" s="36" t="s">
        <v>263</v>
      </c>
      <c r="B2" s="37"/>
      <c r="C2" s="38"/>
      <c r="D2" s="37"/>
      <c r="E2" s="37"/>
      <c r="F2" s="37"/>
      <c r="G2" s="39"/>
      <c r="H2" s="39"/>
      <c r="I2" s="40"/>
      <c r="J2" s="282"/>
      <c r="L2" s="193"/>
      <c r="AB2" s="283"/>
      <c r="AC2" s="283"/>
    </row>
    <row r="3" spans="1:36" x14ac:dyDescent="0.25">
      <c r="A3" s="136" t="str">
        <f>"Per ACI "&amp;$C$17&amp;" Code"</f>
        <v>Per ACI 318-11 Code</v>
      </c>
      <c r="B3" s="41"/>
      <c r="C3" s="41"/>
      <c r="D3" s="41"/>
      <c r="E3" s="41"/>
      <c r="F3" s="41"/>
      <c r="G3" s="42"/>
      <c r="H3" s="42"/>
      <c r="I3" s="43"/>
      <c r="J3" s="282"/>
      <c r="M3" s="284" t="s">
        <v>4</v>
      </c>
      <c r="O3" s="285"/>
      <c r="P3" s="286"/>
      <c r="Q3" s="285"/>
      <c r="R3" s="287"/>
      <c r="S3" s="286"/>
      <c r="T3" s="285"/>
      <c r="U3" s="286"/>
      <c r="V3" s="285"/>
      <c r="W3" s="285"/>
      <c r="AB3" s="132"/>
      <c r="AC3" s="132"/>
    </row>
    <row r="4" spans="1:36" x14ac:dyDescent="0.25">
      <c r="A4" s="44" t="s">
        <v>2</v>
      </c>
      <c r="B4" s="253"/>
      <c r="C4" s="121"/>
      <c r="D4" s="121"/>
      <c r="E4" s="121"/>
      <c r="F4" s="127" t="s">
        <v>108</v>
      </c>
      <c r="G4" s="126"/>
      <c r="H4" s="123"/>
      <c r="I4" s="124"/>
      <c r="J4" s="194"/>
      <c r="K4" s="193" t="s">
        <v>264</v>
      </c>
      <c r="L4" s="193"/>
      <c r="M4" s="226" t="s">
        <v>265</v>
      </c>
      <c r="N4" s="288"/>
      <c r="O4" s="195"/>
      <c r="P4" s="214" t="s">
        <v>323</v>
      </c>
      <c r="Q4" s="196"/>
      <c r="R4" s="196"/>
      <c r="S4" s="196"/>
      <c r="T4" s="289"/>
      <c r="U4" s="289"/>
      <c r="V4" s="289"/>
      <c r="W4" s="289"/>
      <c r="AC4" s="226"/>
    </row>
    <row r="5" spans="1:36" x14ac:dyDescent="0.25">
      <c r="A5" s="44" t="s">
        <v>3</v>
      </c>
      <c r="B5" s="290"/>
      <c r="C5" s="123"/>
      <c r="D5" s="123"/>
      <c r="E5" s="124"/>
      <c r="F5" s="120" t="s">
        <v>107</v>
      </c>
      <c r="G5" s="178"/>
      <c r="H5" s="179" t="s">
        <v>106</v>
      </c>
      <c r="I5" s="180"/>
      <c r="J5" s="194"/>
      <c r="K5" s="193" t="s">
        <v>266</v>
      </c>
      <c r="L5" s="193"/>
      <c r="M5" s="288" t="s">
        <v>267</v>
      </c>
      <c r="N5" s="291">
        <f>IF($C$16="Yes",$C$14-$C$13-4,$C$14-$C$13)</f>
        <v>26</v>
      </c>
      <c r="O5" s="224" t="s">
        <v>268</v>
      </c>
      <c r="P5" s="292" t="str">
        <f>IF($C$16="Yes","d = H-dp-4''","d = H-dp")</f>
        <v>d = H-dp-4''</v>
      </c>
      <c r="Q5" s="214" t="str">
        <f>IF($C$16="Yes"," (Assume 4'' from top face to centroid of reinf.)","")</f>
        <v xml:space="preserve"> (Assume 4'' from top face to centroid of reinf.)</v>
      </c>
      <c r="S5" s="293"/>
      <c r="T5" s="294"/>
      <c r="U5" s="294"/>
      <c r="V5" s="295"/>
      <c r="W5" s="295"/>
      <c r="AE5" s="296"/>
      <c r="AF5" s="297"/>
      <c r="AG5" s="297"/>
      <c r="AH5" s="297"/>
      <c r="AI5" s="298"/>
    </row>
    <row r="6" spans="1:36" x14ac:dyDescent="0.25">
      <c r="A6" s="299"/>
      <c r="B6" s="300"/>
      <c r="C6" s="300"/>
      <c r="D6" s="300"/>
      <c r="E6" s="300"/>
      <c r="F6" s="300"/>
      <c r="G6" s="300"/>
      <c r="H6" s="300"/>
      <c r="I6" s="301"/>
      <c r="J6" s="282"/>
      <c r="K6" s="289" t="s">
        <v>362</v>
      </c>
      <c r="L6" s="193"/>
      <c r="M6" s="302" t="s">
        <v>269</v>
      </c>
      <c r="N6" s="303">
        <f>MIN($N$5,($C$12-$C$10)/2)</f>
        <v>18</v>
      </c>
      <c r="O6" s="224" t="s">
        <v>268</v>
      </c>
      <c r="P6" s="292" t="s">
        <v>321</v>
      </c>
      <c r="S6" s="293"/>
      <c r="T6" s="294"/>
      <c r="U6" s="294"/>
      <c r="V6" s="295"/>
      <c r="W6" s="295"/>
      <c r="AE6" s="297"/>
      <c r="AF6" s="297"/>
      <c r="AG6" s="297"/>
      <c r="AH6" s="297"/>
      <c r="AI6" s="298"/>
    </row>
    <row r="7" spans="1:36" x14ac:dyDescent="0.25">
      <c r="A7" s="304" t="s">
        <v>270</v>
      </c>
      <c r="B7" s="300"/>
      <c r="C7" s="300"/>
      <c r="D7" s="300"/>
      <c r="E7" s="300"/>
      <c r="F7" s="300"/>
      <c r="G7" s="300"/>
      <c r="H7" s="300"/>
      <c r="I7" s="305"/>
      <c r="J7" s="282"/>
      <c r="K7" s="289" t="s">
        <v>363</v>
      </c>
      <c r="L7" s="193"/>
      <c r="M7" s="288" t="s">
        <v>271</v>
      </c>
      <c r="N7" s="291">
        <f>2*(SQRT(2*$C$11^2)+$C$10/2+$N$6)</f>
        <v>98.911688245431421</v>
      </c>
      <c r="O7" s="224" t="s">
        <v>268</v>
      </c>
      <c r="P7" s="306" t="s">
        <v>272</v>
      </c>
      <c r="Q7" s="306"/>
      <c r="R7" s="293"/>
      <c r="S7" s="293"/>
      <c r="T7" s="294"/>
      <c r="U7" s="294"/>
      <c r="V7" s="295"/>
      <c r="W7" s="295"/>
      <c r="AB7" s="307" t="s">
        <v>273</v>
      </c>
      <c r="AE7" s="297"/>
      <c r="AF7" s="297"/>
      <c r="AG7" s="297"/>
      <c r="AH7" s="297"/>
      <c r="AI7" s="298"/>
    </row>
    <row r="8" spans="1:36" x14ac:dyDescent="0.25">
      <c r="A8" s="48"/>
      <c r="B8" s="361"/>
      <c r="C8" s="361"/>
      <c r="D8" s="361"/>
      <c r="E8" s="361"/>
      <c r="F8" s="309"/>
      <c r="G8" s="310" t="str">
        <f>"                 E="&amp;$C$11&amp;"''"</f>
        <v xml:space="preserve">                 E=18''</v>
      </c>
      <c r="H8" s="308"/>
      <c r="I8" s="311"/>
      <c r="J8" s="282"/>
      <c r="K8" s="289" t="s">
        <v>364</v>
      </c>
      <c r="L8" s="195"/>
      <c r="M8" s="316" t="s">
        <v>368</v>
      </c>
      <c r="N8" s="195">
        <f>IF($C$17="318-99",0.85,IF(OR($C$17="318-02",$C$17="318-05",$C$17="318-08",$C$17="318-11"),0.75))</f>
        <v>0.75</v>
      </c>
      <c r="P8" s="378" t="s">
        <v>369</v>
      </c>
      <c r="T8" s="294"/>
      <c r="U8" s="294"/>
      <c r="V8" s="295"/>
      <c r="W8" s="295"/>
      <c r="AB8" s="312" t="s">
        <v>190</v>
      </c>
      <c r="AE8" s="297"/>
      <c r="AF8" s="312" t="s">
        <v>191</v>
      </c>
      <c r="AG8" s="298"/>
      <c r="AH8" s="92"/>
      <c r="AI8" s="92"/>
    </row>
    <row r="9" spans="1:36" x14ac:dyDescent="0.25">
      <c r="A9" s="313"/>
      <c r="B9" s="72" t="s">
        <v>276</v>
      </c>
      <c r="C9" s="314">
        <v>120</v>
      </c>
      <c r="D9" s="315" t="s">
        <v>33</v>
      </c>
      <c r="E9" s="308"/>
      <c r="F9" s="308"/>
      <c r="G9" s="308"/>
      <c r="H9" s="308"/>
      <c r="I9" s="311"/>
      <c r="J9" s="282"/>
      <c r="K9" s="289" t="s">
        <v>380</v>
      </c>
      <c r="L9" s="193"/>
      <c r="M9" s="288" t="s">
        <v>274</v>
      </c>
      <c r="N9" s="293">
        <f>$C$18*$C$9</f>
        <v>192</v>
      </c>
      <c r="O9" s="224" t="s">
        <v>33</v>
      </c>
      <c r="P9" s="306" t="s">
        <v>275</v>
      </c>
      <c r="Q9" s="306"/>
      <c r="R9" s="293"/>
      <c r="S9" s="293"/>
      <c r="T9" s="294"/>
      <c r="U9" s="294"/>
      <c r="V9" s="295"/>
      <c r="W9" s="295"/>
      <c r="AC9" s="318" t="s">
        <v>277</v>
      </c>
      <c r="AD9" s="207">
        <v>1</v>
      </c>
      <c r="AE9" s="319"/>
      <c r="AG9" s="318" t="s">
        <v>277</v>
      </c>
      <c r="AH9" s="207">
        <v>1</v>
      </c>
      <c r="AI9" s="319"/>
      <c r="AJ9" s="358"/>
    </row>
    <row r="10" spans="1:36" x14ac:dyDescent="0.25">
      <c r="A10" s="313"/>
      <c r="B10" s="320" t="s">
        <v>278</v>
      </c>
      <c r="C10" s="145">
        <v>12</v>
      </c>
      <c r="D10" s="321" t="s">
        <v>268</v>
      </c>
      <c r="E10" s="308"/>
      <c r="F10" s="308"/>
      <c r="G10" s="308"/>
      <c r="H10" s="308"/>
      <c r="I10" s="311"/>
      <c r="K10" s="289" t="s">
        <v>381</v>
      </c>
      <c r="L10" s="193"/>
      <c r="M10" s="316" t="s">
        <v>304</v>
      </c>
      <c r="N10" s="293">
        <f>$N$8*2*SQRT($C$15)/1000*$N$7*$N$5</f>
        <v>211.28703512647135</v>
      </c>
      <c r="O10" s="224" t="s">
        <v>33</v>
      </c>
      <c r="P10" s="317" t="s">
        <v>371</v>
      </c>
      <c r="Q10" s="306"/>
      <c r="R10" s="293"/>
      <c r="S10" s="293"/>
      <c r="T10" s="294"/>
      <c r="U10" s="294"/>
      <c r="V10" s="295"/>
      <c r="W10" s="295"/>
      <c r="AC10" s="318" t="s">
        <v>280</v>
      </c>
      <c r="AD10" s="145">
        <v>10</v>
      </c>
      <c r="AE10" s="322" t="s">
        <v>42</v>
      </c>
      <c r="AG10" s="318" t="s">
        <v>280</v>
      </c>
      <c r="AH10" s="145">
        <v>3.048</v>
      </c>
      <c r="AI10" s="322" t="s">
        <v>115</v>
      </c>
      <c r="AJ10" s="359" t="s">
        <v>313</v>
      </c>
    </row>
    <row r="11" spans="1:36" x14ac:dyDescent="0.25">
      <c r="A11" s="313"/>
      <c r="B11" s="320" t="s">
        <v>281</v>
      </c>
      <c r="C11" s="145">
        <v>18</v>
      </c>
      <c r="D11" s="321" t="s">
        <v>268</v>
      </c>
      <c r="E11" s="323"/>
      <c r="F11" s="308"/>
      <c r="G11" s="308"/>
      <c r="H11" s="308"/>
      <c r="I11" s="311"/>
      <c r="L11" s="193"/>
      <c r="M11" s="226" t="s">
        <v>279</v>
      </c>
      <c r="N11" s="288"/>
      <c r="O11" s="291"/>
      <c r="P11" s="214" t="s">
        <v>324</v>
      </c>
      <c r="Q11" s="293"/>
      <c r="R11" s="293"/>
      <c r="S11" s="293"/>
      <c r="T11" s="294"/>
      <c r="U11" s="294"/>
      <c r="V11" s="295"/>
      <c r="W11" s="295"/>
      <c r="AC11" s="318" t="s">
        <v>282</v>
      </c>
      <c r="AD11" s="145">
        <v>10</v>
      </c>
      <c r="AE11" s="322" t="s">
        <v>42</v>
      </c>
      <c r="AG11" s="318" t="s">
        <v>282</v>
      </c>
      <c r="AH11" s="145">
        <v>3.048</v>
      </c>
      <c r="AI11" s="322" t="s">
        <v>115</v>
      </c>
      <c r="AJ11" s="359" t="s">
        <v>313</v>
      </c>
    </row>
    <row r="12" spans="1:36" x14ac:dyDescent="0.25">
      <c r="A12" s="313"/>
      <c r="B12" s="72" t="s">
        <v>283</v>
      </c>
      <c r="C12" s="145">
        <v>48</v>
      </c>
      <c r="D12" s="322" t="s">
        <v>268</v>
      </c>
      <c r="E12" s="308"/>
      <c r="F12" s="308"/>
      <c r="G12" s="308"/>
      <c r="H12" s="310" t="str">
        <f>"Dp="&amp;ROUND($C$10,3)&amp;"''"</f>
        <v>Dp=12''</v>
      </c>
      <c r="I12" s="311"/>
      <c r="L12" s="193"/>
      <c r="M12" s="288" t="s">
        <v>267</v>
      </c>
      <c r="N12" s="291">
        <f>IF($C$16="Yes",$C$14-$C$13-4,$C$14-$C$13)</f>
        <v>26</v>
      </c>
      <c r="O12" s="224" t="s">
        <v>268</v>
      </c>
      <c r="P12" s="292" t="str">
        <f>IF($C$16="Yes","d = H-dp-4''","d = H-dp")</f>
        <v>d = H-dp-4''</v>
      </c>
      <c r="Q12" s="214" t="str">
        <f>IF($C$16="Yes"," (Assume 4'' from top face to centroid of reinf.)","")</f>
        <v xml:space="preserve"> (Assume 4'' from top face to centroid of reinf.)</v>
      </c>
      <c r="R12" s="293"/>
      <c r="S12" s="293"/>
      <c r="T12" s="294"/>
      <c r="U12" s="294"/>
      <c r="V12" s="295"/>
      <c r="W12" s="295"/>
      <c r="AC12" s="267" t="s">
        <v>284</v>
      </c>
      <c r="AD12" s="145">
        <v>30</v>
      </c>
      <c r="AE12" s="324" t="s">
        <v>268</v>
      </c>
      <c r="AG12" s="267" t="s">
        <v>284</v>
      </c>
      <c r="AH12" s="145">
        <v>76.2</v>
      </c>
      <c r="AI12" s="324" t="s">
        <v>311</v>
      </c>
      <c r="AJ12" s="359" t="s">
        <v>314</v>
      </c>
    </row>
    <row r="13" spans="1:36" x14ac:dyDescent="0.25">
      <c r="A13" s="313"/>
      <c r="B13" s="72" t="s">
        <v>285</v>
      </c>
      <c r="C13" s="145">
        <v>6</v>
      </c>
      <c r="D13" s="322" t="s">
        <v>268</v>
      </c>
      <c r="E13" s="310" t="str">
        <f>IF(($C$12-$C$10)/2&lt;$C$31,"         (L-Dp)/2=","             d=")&amp;ROUND($C$32,3)&amp;"''"</f>
        <v xml:space="preserve">         (L-Dp)/2=18''</v>
      </c>
      <c r="F13" s="308"/>
      <c r="G13" s="308"/>
      <c r="H13" s="308"/>
      <c r="I13" s="326" t="str">
        <f>"      E="&amp;$C$11&amp;"''"</f>
        <v xml:space="preserve">      E=18''</v>
      </c>
      <c r="L13" s="193"/>
      <c r="M13" s="302" t="s">
        <v>269</v>
      </c>
      <c r="N13" s="303">
        <f>MIN($N$12/2,($C$12-$C$10)/2)</f>
        <v>13</v>
      </c>
      <c r="O13" s="224" t="s">
        <v>268</v>
      </c>
      <c r="P13" s="292" t="s">
        <v>322</v>
      </c>
      <c r="Q13" s="293"/>
      <c r="R13" s="293"/>
      <c r="S13" s="293"/>
      <c r="T13" s="294"/>
      <c r="U13" s="294"/>
      <c r="V13" s="295"/>
      <c r="W13" s="295"/>
      <c r="AC13" s="267" t="s">
        <v>287</v>
      </c>
      <c r="AD13" s="162">
        <v>150</v>
      </c>
      <c r="AE13" s="324" t="s">
        <v>288</v>
      </c>
      <c r="AG13" s="267" t="s">
        <v>287</v>
      </c>
      <c r="AH13" s="162">
        <v>23563.13</v>
      </c>
      <c r="AI13" s="324" t="s">
        <v>312</v>
      </c>
      <c r="AJ13" s="359" t="s">
        <v>315</v>
      </c>
    </row>
    <row r="14" spans="1:36" x14ac:dyDescent="0.25">
      <c r="A14" s="313"/>
      <c r="B14" s="72" t="s">
        <v>289</v>
      </c>
      <c r="C14" s="145">
        <v>36</v>
      </c>
      <c r="D14" s="322" t="s">
        <v>268</v>
      </c>
      <c r="E14" s="308"/>
      <c r="F14" s="308"/>
      <c r="G14" s="308"/>
      <c r="H14" s="308"/>
      <c r="I14" s="311"/>
      <c r="L14" s="193"/>
      <c r="M14" s="288" t="s">
        <v>286</v>
      </c>
      <c r="N14" s="291">
        <f>MIN(2*$C$11+(2*PI()*($C$10/2+$N$13))/4,2*PI()*($C$10/2+$N$13))</f>
        <v>65.845130209103033</v>
      </c>
      <c r="O14" s="224" t="s">
        <v>268</v>
      </c>
      <c r="P14" s="306" t="s">
        <v>305</v>
      </c>
      <c r="Q14" s="293"/>
      <c r="R14" s="293"/>
      <c r="S14" s="293"/>
      <c r="T14" s="294"/>
      <c r="U14" s="294"/>
      <c r="V14" s="295"/>
      <c r="W14" s="295"/>
      <c r="AE14" s="325"/>
      <c r="AH14" s="92"/>
      <c r="AI14" s="92"/>
    </row>
    <row r="15" spans="1:36" x14ac:dyDescent="0.25">
      <c r="A15" s="313"/>
      <c r="B15" s="72" t="s">
        <v>290</v>
      </c>
      <c r="C15" s="327">
        <v>3000</v>
      </c>
      <c r="D15" s="322" t="s">
        <v>291</v>
      </c>
      <c r="E15" s="308"/>
      <c r="F15" s="308"/>
      <c r="G15" s="308"/>
      <c r="H15" s="308"/>
      <c r="I15" s="311"/>
      <c r="L15" s="195"/>
      <c r="M15" s="316" t="s">
        <v>368</v>
      </c>
      <c r="N15" s="195">
        <f>IF($C$17="318-99",0.85,IF(OR($C$17="318-02",$C$17="318-05",$C$17="318-08",$C$17="318-11"),0.75))</f>
        <v>0.75</v>
      </c>
      <c r="S15" s="293"/>
      <c r="T15" s="294"/>
      <c r="U15" s="294"/>
      <c r="V15" s="295"/>
      <c r="W15" s="295"/>
      <c r="AB15" s="307" t="s">
        <v>308</v>
      </c>
      <c r="AF15" s="307" t="s">
        <v>379</v>
      </c>
      <c r="AH15" s="92"/>
      <c r="AI15" s="92"/>
    </row>
    <row r="16" spans="1:36" x14ac:dyDescent="0.25">
      <c r="A16" s="313"/>
      <c r="B16" s="72" t="s">
        <v>292</v>
      </c>
      <c r="C16" s="328" t="s">
        <v>264</v>
      </c>
      <c r="D16" s="322"/>
      <c r="E16" s="308"/>
      <c r="F16" s="308"/>
      <c r="G16" s="308"/>
      <c r="H16" s="308"/>
      <c r="I16" s="329" t="str">
        <f>"      Dp/2="&amp;ROUND($C$10/2,3)&amp;"''"</f>
        <v xml:space="preserve">      Dp/2=6''</v>
      </c>
      <c r="L16" s="193"/>
      <c r="M16" s="288" t="s">
        <v>274</v>
      </c>
      <c r="N16" s="293">
        <f>$C$18*$C$9</f>
        <v>192</v>
      </c>
      <c r="O16" s="224" t="s">
        <v>33</v>
      </c>
      <c r="P16" s="306" t="s">
        <v>275</v>
      </c>
      <c r="Q16" s="293"/>
      <c r="R16" s="293"/>
      <c r="S16" s="293"/>
      <c r="T16" s="294"/>
      <c r="U16" s="294"/>
      <c r="V16" s="295"/>
      <c r="W16" s="295"/>
      <c r="AC16" s="318" t="s">
        <v>293</v>
      </c>
      <c r="AD16" s="362">
        <f>($AD$10*$AD$11*$AD$12/12)*$AD$13/1000</f>
        <v>37.5</v>
      </c>
      <c r="AE16" s="324" t="s">
        <v>33</v>
      </c>
      <c r="AG16" s="318" t="s">
        <v>309</v>
      </c>
      <c r="AH16" s="362">
        <f>($AH$10*$AH$11*$AH$12/100)*$AH$13/1000</f>
        <v>166.80838435933828</v>
      </c>
      <c r="AI16" s="358" t="s">
        <v>114</v>
      </c>
      <c r="AJ16" s="360" t="s">
        <v>316</v>
      </c>
    </row>
    <row r="17" spans="1:36" x14ac:dyDescent="0.25">
      <c r="A17" s="97"/>
      <c r="B17" s="376" t="s">
        <v>361</v>
      </c>
      <c r="C17" s="374" t="s">
        <v>381</v>
      </c>
      <c r="D17" s="54"/>
      <c r="E17" s="308"/>
      <c r="F17" s="308"/>
      <c r="G17" s="308"/>
      <c r="H17" s="308"/>
      <c r="I17" s="326" t="str">
        <f>IF(($C$12-$C$10)/2&lt;$C$41/2,"      (L-Dp)/2=","      d/2=")&amp;ROUND($C$42,3)&amp;"''"</f>
        <v xml:space="preserve">      d/2=13''</v>
      </c>
      <c r="L17" s="193"/>
      <c r="M17" s="316" t="s">
        <v>304</v>
      </c>
      <c r="N17" s="293">
        <f>$N$15*4*SQRT($C$15)/1000*$N$14*$N$12</f>
        <v>281.30593231564654</v>
      </c>
      <c r="O17" s="224" t="s">
        <v>33</v>
      </c>
      <c r="P17" s="317" t="s">
        <v>372</v>
      </c>
      <c r="Q17" s="293"/>
      <c r="R17" s="293"/>
      <c r="S17" s="293"/>
      <c r="T17" s="294"/>
      <c r="U17" s="294"/>
      <c r="V17" s="295"/>
      <c r="W17" s="295"/>
      <c r="AC17" s="318" t="s">
        <v>295</v>
      </c>
      <c r="AD17" s="363">
        <f>$AD$16/$AD$9</f>
        <v>37.5</v>
      </c>
      <c r="AE17" s="324" t="s">
        <v>33</v>
      </c>
      <c r="AG17" s="318" t="s">
        <v>310</v>
      </c>
      <c r="AH17" s="363">
        <f>$AH$16/$AH$9</f>
        <v>166.80838435933828</v>
      </c>
      <c r="AI17" s="358" t="s">
        <v>114</v>
      </c>
      <c r="AJ17" s="360" t="s">
        <v>316</v>
      </c>
    </row>
    <row r="18" spans="1:36" x14ac:dyDescent="0.25">
      <c r="A18" s="313"/>
      <c r="B18" s="72" t="s">
        <v>294</v>
      </c>
      <c r="C18" s="331">
        <v>1.6</v>
      </c>
      <c r="D18" s="74"/>
      <c r="E18" s="308"/>
      <c r="F18" s="308"/>
      <c r="G18" s="308"/>
      <c r="H18" s="308"/>
      <c r="I18" s="311"/>
      <c r="L18" s="193"/>
      <c r="N18" s="199"/>
      <c r="O18" s="291"/>
      <c r="P18" s="291"/>
      <c r="Q18" s="293"/>
      <c r="R18" s="293"/>
      <c r="S18" s="293"/>
      <c r="T18" s="294"/>
      <c r="U18" s="294"/>
      <c r="V18" s="295"/>
      <c r="W18" s="295"/>
      <c r="AF18" s="325"/>
    </row>
    <row r="19" spans="1:36" x14ac:dyDescent="0.25">
      <c r="A19" s="313"/>
      <c r="B19" s="74"/>
      <c r="C19" s="74"/>
      <c r="D19" s="74"/>
      <c r="E19" s="308"/>
      <c r="F19" s="308"/>
      <c r="G19" s="310" t="str">
        <f>"           bo="&amp;ROUND($C$43,3)&amp;"''"</f>
        <v xml:space="preserve">           bo=65.845''</v>
      </c>
      <c r="H19" s="308"/>
      <c r="I19" s="311"/>
      <c r="L19" s="193"/>
      <c r="N19" s="199"/>
      <c r="O19" s="291"/>
      <c r="P19" s="291"/>
      <c r="Q19" s="293"/>
      <c r="R19" s="293"/>
      <c r="S19" s="293"/>
      <c r="T19" s="294"/>
      <c r="U19" s="294"/>
      <c r="V19" s="295"/>
      <c r="W19" s="295"/>
      <c r="AE19" s="325"/>
      <c r="AF19" s="325"/>
    </row>
    <row r="20" spans="1:36" x14ac:dyDescent="0.25">
      <c r="A20" s="313"/>
      <c r="B20" s="74"/>
      <c r="C20" s="74"/>
      <c r="D20" s="74"/>
      <c r="E20" s="323"/>
      <c r="F20" s="332"/>
      <c r="G20" s="323"/>
      <c r="H20" s="308"/>
      <c r="I20" s="311"/>
      <c r="L20" s="193"/>
      <c r="N20" s="199"/>
      <c r="O20" s="291"/>
      <c r="P20" s="291"/>
      <c r="Q20" s="293"/>
      <c r="R20" s="293"/>
      <c r="S20" s="293"/>
      <c r="T20" s="294"/>
      <c r="U20" s="294"/>
      <c r="V20" s="295"/>
      <c r="W20" s="295"/>
      <c r="AE20" s="325"/>
      <c r="AF20" s="325"/>
    </row>
    <row r="21" spans="1:36" x14ac:dyDescent="0.25">
      <c r="A21" s="97"/>
      <c r="B21" s="74"/>
      <c r="C21" s="74"/>
      <c r="D21" s="74"/>
      <c r="E21" s="52" t="s">
        <v>296</v>
      </c>
      <c r="F21" s="56"/>
      <c r="G21" s="310" t="str">
        <f>"              b="&amp;ROUND($C$33,3)&amp;"'' "</f>
        <v xml:space="preserve">              b=98.912'' </v>
      </c>
      <c r="H21" s="308"/>
      <c r="I21" s="311"/>
      <c r="L21" s="193"/>
      <c r="N21" s="199"/>
      <c r="O21" s="291"/>
      <c r="P21" s="291"/>
      <c r="Q21" s="293"/>
      <c r="R21" s="293"/>
      <c r="S21" s="293"/>
      <c r="T21" s="294"/>
      <c r="U21" s="294"/>
      <c r="V21" s="295"/>
      <c r="W21" s="295"/>
      <c r="AE21" s="325"/>
      <c r="AF21" s="325"/>
    </row>
    <row r="22" spans="1:36" x14ac:dyDescent="0.25">
      <c r="A22" s="48"/>
      <c r="B22" s="74"/>
      <c r="C22" s="74"/>
      <c r="D22" s="74"/>
      <c r="E22" s="308"/>
      <c r="F22" s="308"/>
      <c r="G22" s="308"/>
      <c r="H22" s="308"/>
      <c r="I22" s="311"/>
      <c r="L22" s="193"/>
      <c r="N22" s="199"/>
      <c r="O22" s="291"/>
      <c r="P22" s="291"/>
      <c r="Q22" s="293"/>
      <c r="R22" s="293"/>
      <c r="S22" s="293"/>
      <c r="T22" s="294"/>
      <c r="U22" s="294"/>
      <c r="V22" s="295"/>
      <c r="W22" s="295"/>
      <c r="AE22" s="325"/>
      <c r="AF22" s="325"/>
    </row>
    <row r="23" spans="1:36" x14ac:dyDescent="0.25">
      <c r="A23" s="313"/>
      <c r="B23" s="74"/>
      <c r="C23" s="74"/>
      <c r="D23" s="74"/>
      <c r="E23" s="54"/>
      <c r="F23" s="54"/>
      <c r="G23" s="333"/>
      <c r="H23" s="74"/>
      <c r="I23" s="75"/>
      <c r="L23" s="193"/>
      <c r="N23" s="199"/>
      <c r="O23" s="291"/>
      <c r="P23" s="291"/>
      <c r="Q23" s="293"/>
      <c r="R23" s="293"/>
      <c r="S23" s="293"/>
      <c r="T23" s="294"/>
      <c r="U23" s="294"/>
      <c r="V23" s="295"/>
      <c r="W23" s="295"/>
      <c r="AE23" s="325"/>
      <c r="AF23" s="325"/>
    </row>
    <row r="24" spans="1:36" x14ac:dyDescent="0.25">
      <c r="A24" s="48"/>
      <c r="B24" s="54"/>
      <c r="C24" s="54"/>
      <c r="D24" s="54"/>
      <c r="E24" s="54"/>
      <c r="F24" s="53"/>
      <c r="G24" s="54"/>
      <c r="H24" s="54"/>
      <c r="I24" s="334"/>
      <c r="L24" s="193"/>
      <c r="N24" s="199"/>
      <c r="O24" s="291"/>
      <c r="P24" s="291"/>
      <c r="Q24" s="293"/>
      <c r="R24" s="293"/>
      <c r="S24" s="293"/>
      <c r="T24" s="294"/>
      <c r="U24" s="294"/>
      <c r="V24" s="295"/>
      <c r="W24" s="295"/>
      <c r="AE24" s="325"/>
      <c r="AF24" s="325"/>
    </row>
    <row r="25" spans="1:36" x14ac:dyDescent="0.25">
      <c r="A25" s="313"/>
      <c r="B25" s="54"/>
      <c r="C25" s="54"/>
      <c r="D25" s="54"/>
      <c r="E25" s="54"/>
      <c r="F25" s="54"/>
      <c r="G25" s="54"/>
      <c r="H25" s="54"/>
      <c r="I25" s="334"/>
      <c r="L25" s="193"/>
      <c r="N25" s="199"/>
      <c r="O25" s="291"/>
      <c r="P25" s="291"/>
      <c r="Q25" s="293"/>
      <c r="R25" s="293"/>
      <c r="S25" s="293"/>
      <c r="T25" s="294"/>
      <c r="U25" s="294"/>
      <c r="V25" s="295"/>
      <c r="W25" s="295"/>
      <c r="AE25" s="325"/>
      <c r="AF25" s="325"/>
    </row>
    <row r="26" spans="1:36" x14ac:dyDescent="0.25">
      <c r="A26" s="48"/>
      <c r="B26" s="54"/>
      <c r="C26" s="54"/>
      <c r="D26" s="54"/>
      <c r="E26" s="54"/>
      <c r="F26" s="54"/>
      <c r="G26" s="54"/>
      <c r="H26" s="54"/>
      <c r="I26" s="334"/>
      <c r="L26" s="193"/>
      <c r="N26" s="199"/>
      <c r="O26" s="291"/>
      <c r="P26" s="291"/>
      <c r="Q26" s="293"/>
      <c r="R26" s="293"/>
      <c r="S26" s="293"/>
      <c r="T26" s="294"/>
      <c r="U26" s="294"/>
      <c r="V26" s="295"/>
      <c r="W26" s="295"/>
      <c r="AE26" s="325"/>
      <c r="AF26" s="325"/>
    </row>
    <row r="27" spans="1:36" x14ac:dyDescent="0.25">
      <c r="A27" s="48"/>
      <c r="B27" s="54"/>
      <c r="C27" s="54"/>
      <c r="D27" s="54"/>
      <c r="E27" s="54"/>
      <c r="F27" s="54"/>
      <c r="G27" s="54"/>
      <c r="H27" s="54"/>
      <c r="I27" s="334"/>
      <c r="L27" s="193"/>
      <c r="N27" s="199"/>
      <c r="O27" s="291"/>
      <c r="P27" s="291"/>
      <c r="Q27" s="293"/>
      <c r="R27" s="293"/>
      <c r="S27" s="293"/>
      <c r="T27" s="294"/>
      <c r="U27" s="294"/>
      <c r="V27" s="295"/>
      <c r="W27" s="295"/>
      <c r="AE27" s="325"/>
      <c r="AF27" s="325"/>
    </row>
    <row r="28" spans="1:36" x14ac:dyDescent="0.25">
      <c r="A28" s="304" t="s">
        <v>41</v>
      </c>
      <c r="B28" s="54"/>
      <c r="C28" s="54"/>
      <c r="D28" s="54"/>
      <c r="E28" s="54"/>
      <c r="F28" s="54"/>
      <c r="G28" s="54"/>
      <c r="H28" s="54"/>
      <c r="I28" s="334"/>
      <c r="N28" s="199"/>
      <c r="O28" s="291"/>
      <c r="P28" s="291"/>
      <c r="Q28" s="293"/>
      <c r="R28" s="293"/>
      <c r="S28" s="293"/>
      <c r="T28" s="294"/>
      <c r="U28" s="294"/>
      <c r="V28" s="295"/>
      <c r="W28" s="295"/>
      <c r="AE28" s="325"/>
      <c r="AF28" s="325"/>
    </row>
    <row r="29" spans="1:36" x14ac:dyDescent="0.25">
      <c r="A29" s="48"/>
      <c r="B29" s="54"/>
      <c r="C29" s="54"/>
      <c r="D29" s="54"/>
      <c r="E29" s="54"/>
      <c r="F29" s="54"/>
      <c r="G29" s="54"/>
      <c r="H29" s="54"/>
      <c r="I29" s="60"/>
      <c r="N29" s="199"/>
      <c r="O29" s="291"/>
      <c r="P29" s="291"/>
      <c r="Q29" s="293"/>
      <c r="R29" s="293"/>
      <c r="S29" s="293"/>
      <c r="T29" s="294"/>
      <c r="U29" s="294"/>
      <c r="V29" s="295"/>
      <c r="W29" s="295"/>
      <c r="AE29" s="325"/>
      <c r="AF29" s="325"/>
    </row>
    <row r="30" spans="1:36" x14ac:dyDescent="0.25">
      <c r="A30" s="335" t="s">
        <v>265</v>
      </c>
      <c r="B30" s="336"/>
      <c r="C30" s="337"/>
      <c r="D30" s="337"/>
      <c r="E30" s="336" t="s">
        <v>323</v>
      </c>
      <c r="F30" s="337"/>
      <c r="G30" s="336"/>
      <c r="H30" s="336"/>
      <c r="I30" s="334"/>
      <c r="AE30" s="325"/>
      <c r="AF30" s="325"/>
    </row>
    <row r="31" spans="1:36" x14ac:dyDescent="0.25">
      <c r="A31" s="313"/>
      <c r="B31" s="72" t="s">
        <v>297</v>
      </c>
      <c r="C31" s="149">
        <f>$N$5</f>
        <v>26</v>
      </c>
      <c r="D31" s="116" t="s">
        <v>268</v>
      </c>
      <c r="E31" s="46" t="str">
        <f>IF($C$16="Yes","d = H-dp-4''","d = H-dp")</f>
        <v>d = H-dp-4''</v>
      </c>
      <c r="F31" s="74" t="str">
        <f>IF($C$16="Yes"," (Assume 4'' from top face to centroid of reinf.)","")</f>
        <v xml:space="preserve"> (Assume 4'' from top face to centroid of reinf.)</v>
      </c>
      <c r="G31" s="54"/>
      <c r="H31" s="336"/>
      <c r="I31" s="338"/>
      <c r="J31" s="282"/>
      <c r="N31" s="292"/>
      <c r="O31" s="292"/>
      <c r="P31" s="292"/>
      <c r="Q31" s="81"/>
      <c r="R31" s="340"/>
      <c r="U31" s="286"/>
      <c r="V31" s="286"/>
      <c r="W31" s="200"/>
      <c r="AE31" s="325"/>
      <c r="AF31" s="325"/>
    </row>
    <row r="32" spans="1:36" x14ac:dyDescent="0.25">
      <c r="A32" s="313"/>
      <c r="B32" s="318" t="s">
        <v>298</v>
      </c>
      <c r="C32" s="339">
        <f>$N$6</f>
        <v>18</v>
      </c>
      <c r="D32" s="116" t="s">
        <v>268</v>
      </c>
      <c r="E32" s="46" t="s">
        <v>321</v>
      </c>
      <c r="F32" s="308"/>
      <c r="G32" s="308"/>
      <c r="H32" s="336"/>
      <c r="I32" s="338"/>
      <c r="N32" s="316"/>
      <c r="O32" s="88"/>
      <c r="R32" s="292"/>
      <c r="S32" s="196"/>
      <c r="T32" s="196"/>
      <c r="U32" s="196"/>
      <c r="V32" s="196"/>
      <c r="W32" s="200"/>
      <c r="AE32" s="325"/>
      <c r="AF32" s="325"/>
    </row>
    <row r="33" spans="1:35" x14ac:dyDescent="0.25">
      <c r="A33" s="299"/>
      <c r="B33" s="72" t="s">
        <v>299</v>
      </c>
      <c r="C33" s="339">
        <f>$N$7</f>
        <v>98.911688245431421</v>
      </c>
      <c r="D33" s="116" t="s">
        <v>268</v>
      </c>
      <c r="E33" s="308" t="s">
        <v>272</v>
      </c>
      <c r="F33" s="308"/>
      <c r="G33" s="308"/>
      <c r="H33" s="336"/>
      <c r="I33" s="338"/>
      <c r="N33" s="316"/>
      <c r="O33" s="88"/>
      <c r="R33" s="88"/>
      <c r="S33" s="88"/>
      <c r="T33" s="88"/>
      <c r="U33" s="88"/>
      <c r="V33" s="88"/>
      <c r="W33" s="200"/>
      <c r="AE33" s="325"/>
      <c r="AF33" s="325"/>
    </row>
    <row r="34" spans="1:35" x14ac:dyDescent="0.25">
      <c r="A34" s="48"/>
      <c r="B34" s="87" t="s">
        <v>365</v>
      </c>
      <c r="C34" s="147">
        <f>$N$8</f>
        <v>0.75</v>
      </c>
      <c r="D34" s="54"/>
      <c r="E34" s="379" t="s">
        <v>370</v>
      </c>
      <c r="F34" s="54"/>
      <c r="G34" s="54"/>
      <c r="H34" s="54"/>
      <c r="I34" s="60"/>
      <c r="N34" s="288"/>
      <c r="O34" s="291"/>
      <c r="R34" s="88"/>
      <c r="S34" s="88"/>
      <c r="T34" s="88"/>
      <c r="U34" s="88"/>
      <c r="V34" s="88"/>
      <c r="W34" s="200"/>
      <c r="AE34" s="325"/>
      <c r="AF34" s="325"/>
    </row>
    <row r="35" spans="1:35" x14ac:dyDescent="0.25">
      <c r="A35" s="299"/>
      <c r="B35" s="72" t="s">
        <v>300</v>
      </c>
      <c r="C35" s="147">
        <f>$N$9</f>
        <v>192</v>
      </c>
      <c r="D35" s="116" t="s">
        <v>33</v>
      </c>
      <c r="E35" s="308" t="s">
        <v>275</v>
      </c>
      <c r="F35" s="308"/>
      <c r="G35" s="308"/>
      <c r="H35" s="336"/>
      <c r="I35" s="338"/>
      <c r="N35" s="288"/>
      <c r="O35" s="291"/>
      <c r="R35" s="196"/>
      <c r="S35" s="81"/>
      <c r="T35" s="81"/>
      <c r="U35" s="81"/>
      <c r="V35" s="81"/>
      <c r="W35" s="200"/>
      <c r="AE35" s="325"/>
      <c r="AF35" s="325"/>
    </row>
    <row r="36" spans="1:35" x14ac:dyDescent="0.25">
      <c r="A36" s="299"/>
      <c r="B36" s="267" t="s">
        <v>301</v>
      </c>
      <c r="C36" s="154">
        <f>$N$10</f>
        <v>211.28703512647135</v>
      </c>
      <c r="D36" s="116" t="s">
        <v>33</v>
      </c>
      <c r="E36" s="341" t="s">
        <v>366</v>
      </c>
      <c r="F36" s="375"/>
      <c r="G36" s="308"/>
      <c r="H36" s="336"/>
      <c r="I36" s="338"/>
      <c r="N36" s="343"/>
      <c r="O36" s="344"/>
      <c r="R36" s="196"/>
      <c r="S36" s="81"/>
      <c r="T36" s="81"/>
      <c r="U36" s="81"/>
      <c r="V36" s="81"/>
      <c r="W36" s="200"/>
      <c r="AE36" s="325"/>
      <c r="AF36" s="325"/>
    </row>
    <row r="37" spans="1:35" x14ac:dyDescent="0.25">
      <c r="A37" s="48"/>
      <c r="B37" s="54"/>
      <c r="C37" s="54"/>
      <c r="D37" s="54"/>
      <c r="E37" s="54"/>
      <c r="F37" s="54"/>
      <c r="G37" s="54"/>
      <c r="H37" s="54"/>
      <c r="I37" s="338"/>
      <c r="N37" s="343"/>
      <c r="O37" s="344"/>
      <c r="R37" s="196"/>
      <c r="S37" s="81"/>
      <c r="T37" s="81"/>
      <c r="U37" s="81"/>
      <c r="V37" s="81"/>
      <c r="W37" s="200"/>
    </row>
    <row r="38" spans="1:35" ht="12.75" customHeight="1" x14ac:dyDescent="0.25">
      <c r="A38" s="299"/>
      <c r="B38" s="330"/>
      <c r="C38" s="330"/>
      <c r="D38" s="336"/>
      <c r="E38" s="342" t="str">
        <f>IF($C$35&lt;=$C$36,"Vu &lt;= Allow. Shear, O.K.","Vu &gt; Allow. Shear")</f>
        <v>Vu &lt;= Allow. Shear, O.K.</v>
      </c>
      <c r="F38" s="308"/>
      <c r="G38" s="308"/>
      <c r="H38" s="336"/>
      <c r="I38" s="338"/>
      <c r="N38" s="343"/>
      <c r="O38" s="344"/>
      <c r="R38" s="196"/>
      <c r="S38" s="81"/>
      <c r="T38" s="81"/>
      <c r="U38" s="81"/>
      <c r="V38" s="81"/>
      <c r="W38" s="200"/>
    </row>
    <row r="39" spans="1:35" x14ac:dyDescent="0.25">
      <c r="A39" s="299"/>
      <c r="B39" s="336"/>
      <c r="C39" s="336"/>
      <c r="D39" s="336"/>
      <c r="E39" s="336"/>
      <c r="F39" s="336"/>
      <c r="G39" s="336"/>
      <c r="H39" s="336"/>
      <c r="I39" s="334"/>
      <c r="N39" s="343"/>
      <c r="O39" s="81"/>
      <c r="R39" s="193"/>
      <c r="S39" s="345"/>
      <c r="T39" s="81"/>
      <c r="U39" s="345"/>
      <c r="V39" s="345"/>
      <c r="W39" s="200"/>
    </row>
    <row r="40" spans="1:35" x14ac:dyDescent="0.25">
      <c r="A40" s="335" t="s">
        <v>279</v>
      </c>
      <c r="B40" s="336"/>
      <c r="C40" s="337"/>
      <c r="D40" s="337"/>
      <c r="E40" s="336" t="s">
        <v>324</v>
      </c>
      <c r="F40" s="337"/>
      <c r="G40" s="336"/>
      <c r="H40" s="336"/>
      <c r="I40" s="334"/>
      <c r="N40" s="316"/>
      <c r="O40" s="88"/>
      <c r="R40" s="193"/>
      <c r="S40" s="345"/>
      <c r="T40" s="81"/>
      <c r="U40" s="345"/>
      <c r="V40" s="345"/>
      <c r="W40" s="200"/>
      <c r="AE40" s="346"/>
    </row>
    <row r="41" spans="1:35" x14ac:dyDescent="0.25">
      <c r="A41" s="313"/>
      <c r="B41" s="72" t="s">
        <v>297</v>
      </c>
      <c r="C41" s="149">
        <f>$N$12</f>
        <v>26</v>
      </c>
      <c r="D41" s="116" t="s">
        <v>268</v>
      </c>
      <c r="E41" s="46" t="str">
        <f>IF($C$16="Yes","d = H-dp-4''","d = H-dp")</f>
        <v>d = H-dp-4''</v>
      </c>
      <c r="F41" s="74" t="str">
        <f>IF($C$16="Yes"," (Assume 4'' from top face to centroid of reinf.)","")</f>
        <v xml:space="preserve"> (Assume 4'' from top face to centroid of reinf.)</v>
      </c>
      <c r="G41" s="54"/>
      <c r="H41" s="336"/>
      <c r="I41" s="338"/>
      <c r="R41" s="200"/>
      <c r="S41" s="200"/>
      <c r="T41" s="200"/>
      <c r="U41" s="200"/>
      <c r="V41" s="200"/>
      <c r="W41" s="200"/>
      <c r="AF41" s="325"/>
      <c r="AG41" s="325"/>
      <c r="AH41" s="325"/>
      <c r="AI41" s="325"/>
    </row>
    <row r="42" spans="1:35" x14ac:dyDescent="0.25">
      <c r="A42" s="313"/>
      <c r="B42" s="318" t="s">
        <v>298</v>
      </c>
      <c r="C42" s="150">
        <f>$N$13</f>
        <v>13</v>
      </c>
      <c r="D42" s="116" t="s">
        <v>268</v>
      </c>
      <c r="E42" s="46" t="s">
        <v>322</v>
      </c>
      <c r="F42" s="74"/>
      <c r="G42" s="74"/>
      <c r="H42" s="336"/>
      <c r="I42" s="338"/>
      <c r="R42" s="317"/>
      <c r="T42" s="200"/>
      <c r="U42" s="200"/>
      <c r="V42" s="200"/>
      <c r="W42" s="200"/>
      <c r="AF42" s="325"/>
      <c r="AG42" s="325"/>
      <c r="AH42" s="325"/>
      <c r="AI42" s="325"/>
    </row>
    <row r="43" spans="1:35" x14ac:dyDescent="0.25">
      <c r="A43" s="299"/>
      <c r="B43" s="72" t="s">
        <v>302</v>
      </c>
      <c r="C43" s="150">
        <f>$N$14</f>
        <v>65.845130209103033</v>
      </c>
      <c r="D43" s="116" t="s">
        <v>268</v>
      </c>
      <c r="E43" s="308" t="s">
        <v>306</v>
      </c>
      <c r="F43" s="308"/>
      <c r="G43" s="308"/>
      <c r="H43" s="336"/>
      <c r="I43" s="338"/>
      <c r="J43" s="347"/>
      <c r="K43" s="347"/>
      <c r="R43" s="316"/>
      <c r="S43" s="81"/>
      <c r="T43" s="200"/>
      <c r="U43" s="200"/>
      <c r="V43" s="200"/>
      <c r="W43" s="200"/>
      <c r="AF43" s="325"/>
      <c r="AG43" s="325"/>
      <c r="AH43" s="325"/>
      <c r="AI43" s="325"/>
    </row>
    <row r="44" spans="1:35" x14ac:dyDescent="0.25">
      <c r="A44" s="48"/>
      <c r="B44" s="87" t="s">
        <v>365</v>
      </c>
      <c r="C44" s="151">
        <f>$N$15</f>
        <v>0.75</v>
      </c>
      <c r="D44" s="54"/>
      <c r="E44" s="379" t="s">
        <v>370</v>
      </c>
      <c r="F44" s="54"/>
      <c r="G44" s="54"/>
      <c r="H44" s="54"/>
      <c r="I44" s="60"/>
      <c r="R44" s="316"/>
      <c r="S44" s="81"/>
      <c r="T44" s="200"/>
      <c r="U44" s="200"/>
      <c r="V44" s="200"/>
      <c r="W44" s="200"/>
      <c r="AF44" s="348"/>
      <c r="AG44" s="348"/>
      <c r="AH44" s="348"/>
      <c r="AI44" s="348"/>
    </row>
    <row r="45" spans="1:35" x14ac:dyDescent="0.25">
      <c r="A45" s="299"/>
      <c r="B45" s="72" t="s">
        <v>300</v>
      </c>
      <c r="C45" s="151">
        <f>$N$16</f>
        <v>192</v>
      </c>
      <c r="D45" s="116" t="s">
        <v>33</v>
      </c>
      <c r="E45" s="308" t="s">
        <v>275</v>
      </c>
      <c r="F45" s="308"/>
      <c r="G45" s="308"/>
      <c r="H45" s="336"/>
      <c r="I45" s="338"/>
      <c r="J45" s="282"/>
      <c r="K45" s="282"/>
      <c r="R45" s="316"/>
      <c r="S45" s="81"/>
      <c r="T45" s="200"/>
      <c r="U45" s="200"/>
      <c r="V45" s="200"/>
      <c r="W45" s="200"/>
      <c r="AF45" s="348"/>
      <c r="AG45" s="348"/>
      <c r="AH45" s="348"/>
      <c r="AI45" s="348"/>
    </row>
    <row r="46" spans="1:35" x14ac:dyDescent="0.25">
      <c r="A46" s="299"/>
      <c r="B46" s="267" t="s">
        <v>301</v>
      </c>
      <c r="C46" s="377">
        <f>$N$17</f>
        <v>281.30593231564654</v>
      </c>
      <c r="D46" s="116" t="s">
        <v>33</v>
      </c>
      <c r="E46" s="341" t="s">
        <v>367</v>
      </c>
      <c r="F46" s="375"/>
      <c r="G46" s="308"/>
      <c r="H46" s="336"/>
      <c r="I46" s="338"/>
      <c r="J46" s="282"/>
      <c r="K46" s="282"/>
      <c r="R46" s="316"/>
      <c r="S46" s="295"/>
      <c r="T46" s="200"/>
      <c r="U46" s="200"/>
      <c r="V46" s="200"/>
      <c r="W46" s="200"/>
      <c r="AF46" s="348"/>
      <c r="AG46" s="348"/>
      <c r="AH46" s="348"/>
      <c r="AI46" s="348"/>
    </row>
    <row r="47" spans="1:35" x14ac:dyDescent="0.25">
      <c r="A47" s="299"/>
      <c r="B47" s="330"/>
      <c r="C47" s="330"/>
      <c r="D47" s="336"/>
      <c r="E47" s="54"/>
      <c r="F47" s="54"/>
      <c r="G47" s="54"/>
      <c r="H47" s="54"/>
      <c r="I47" s="338"/>
      <c r="J47" s="282"/>
      <c r="K47" s="282"/>
      <c r="R47" s="316"/>
      <c r="S47" s="295"/>
      <c r="T47" s="200"/>
      <c r="U47" s="200"/>
      <c r="V47" s="200"/>
      <c r="W47" s="200"/>
      <c r="AF47" s="348"/>
      <c r="AG47" s="348"/>
      <c r="AH47" s="348"/>
      <c r="AI47" s="348"/>
    </row>
    <row r="48" spans="1:35" x14ac:dyDescent="0.25">
      <c r="A48" s="48"/>
      <c r="B48" s="330"/>
      <c r="C48" s="330"/>
      <c r="D48" s="336"/>
      <c r="E48" s="342" t="str">
        <f>IF($C$45&lt;=$C$46,"Vu &lt;= Allow. Shear, O.K.","Vu &gt; Allow. Shear")</f>
        <v>Vu &lt;= Allow. Shear, O.K.</v>
      </c>
      <c r="F48" s="308"/>
      <c r="G48" s="308"/>
      <c r="H48" s="54"/>
      <c r="I48" s="334"/>
      <c r="J48" s="282"/>
      <c r="K48" s="282"/>
      <c r="R48" s="316"/>
      <c r="S48" s="293"/>
      <c r="T48" s="200"/>
      <c r="U48" s="200"/>
      <c r="V48" s="200"/>
      <c r="W48" s="200"/>
      <c r="AF48" s="348"/>
      <c r="AG48" s="348"/>
      <c r="AH48" s="348"/>
      <c r="AI48" s="348"/>
    </row>
    <row r="49" spans="1:35" x14ac:dyDescent="0.25">
      <c r="A49" s="48"/>
      <c r="B49" s="54"/>
      <c r="C49" s="54"/>
      <c r="D49" s="54"/>
      <c r="E49" s="54"/>
      <c r="F49" s="54"/>
      <c r="G49" s="54"/>
      <c r="H49" s="54"/>
      <c r="I49" s="349"/>
      <c r="AF49" s="348"/>
      <c r="AG49" s="348"/>
      <c r="AH49" s="348"/>
      <c r="AI49" s="348"/>
    </row>
    <row r="50" spans="1:35" x14ac:dyDescent="0.25">
      <c r="A50" s="47" t="s">
        <v>303</v>
      </c>
      <c r="B50" s="93"/>
      <c r="C50" s="93"/>
      <c r="D50" s="93"/>
      <c r="E50" s="93"/>
      <c r="F50" s="93"/>
      <c r="G50" s="93"/>
      <c r="H50" s="93"/>
      <c r="I50" s="350"/>
    </row>
    <row r="51" spans="1:35" x14ac:dyDescent="0.25">
      <c r="A51" s="351"/>
      <c r="B51" s="93"/>
      <c r="C51" s="93"/>
      <c r="D51" s="93"/>
      <c r="E51" s="93"/>
      <c r="F51" s="93"/>
      <c r="G51" s="93"/>
      <c r="H51" s="93"/>
      <c r="I51" s="246"/>
    </row>
    <row r="52" spans="1:35" x14ac:dyDescent="0.25">
      <c r="A52" s="352"/>
      <c r="B52" s="353"/>
      <c r="C52" s="354"/>
      <c r="D52" s="354"/>
      <c r="E52" s="355"/>
      <c r="F52" s="355"/>
      <c r="G52" s="355"/>
      <c r="H52" s="356"/>
      <c r="I52" s="357"/>
    </row>
    <row r="53" spans="1:35" x14ac:dyDescent="0.25">
      <c r="A53" s="84"/>
      <c r="B53" s="54"/>
      <c r="C53" s="54"/>
      <c r="D53" s="54"/>
      <c r="E53" s="54"/>
      <c r="F53" s="54"/>
      <c r="G53" s="54"/>
      <c r="H53" s="54"/>
      <c r="I53" s="54"/>
    </row>
    <row r="54" spans="1:35" x14ac:dyDescent="0.25">
      <c r="A54" s="74"/>
      <c r="B54" s="85"/>
      <c r="C54" s="54"/>
      <c r="D54" s="54"/>
      <c r="E54" s="54"/>
      <c r="F54" s="54"/>
      <c r="G54" s="54"/>
      <c r="H54" s="72"/>
      <c r="I54" s="54"/>
    </row>
    <row r="55" spans="1:35" x14ac:dyDescent="0.25">
      <c r="A55" s="74"/>
      <c r="B55" s="85"/>
      <c r="C55" s="54"/>
      <c r="D55" s="54"/>
      <c r="E55" s="54"/>
      <c r="F55" s="54"/>
      <c r="G55" s="54"/>
      <c r="H55" s="54"/>
      <c r="I55" s="74"/>
    </row>
    <row r="56" spans="1:35" x14ac:dyDescent="0.25">
      <c r="A56" s="74"/>
      <c r="B56" s="74"/>
      <c r="C56" s="74"/>
      <c r="D56" s="74"/>
      <c r="E56" s="74"/>
      <c r="F56" s="74"/>
      <c r="G56" s="74"/>
      <c r="H56" s="74"/>
      <c r="I56" s="74"/>
    </row>
    <row r="57" spans="1:35" x14ac:dyDescent="0.25">
      <c r="A57" s="74"/>
      <c r="B57" s="74"/>
      <c r="C57" s="74"/>
      <c r="D57" s="74"/>
      <c r="E57" s="74"/>
      <c r="F57" s="74"/>
      <c r="G57" s="74"/>
      <c r="H57" s="74"/>
      <c r="I57" s="54"/>
    </row>
    <row r="58" spans="1:35" x14ac:dyDescent="0.25">
      <c r="A58" s="74"/>
      <c r="B58" s="74"/>
      <c r="C58" s="74"/>
      <c r="D58" s="74"/>
      <c r="E58" s="74"/>
      <c r="F58" s="74"/>
      <c r="G58" s="74"/>
      <c r="H58" s="54"/>
      <c r="I58" s="54"/>
    </row>
    <row r="59" spans="1:35" x14ac:dyDescent="0.25">
      <c r="A59" s="54"/>
      <c r="B59" s="54"/>
      <c r="C59" s="54"/>
      <c r="D59" s="54"/>
      <c r="E59" s="54"/>
      <c r="F59" s="54"/>
      <c r="G59" s="54"/>
      <c r="H59" s="54"/>
      <c r="I59" s="54"/>
    </row>
    <row r="60" spans="1:35" x14ac:dyDescent="0.25">
      <c r="A60" s="86"/>
      <c r="B60" s="54"/>
      <c r="C60" s="54"/>
      <c r="D60" s="54"/>
      <c r="E60" s="54"/>
      <c r="F60" s="54"/>
      <c r="G60" s="54"/>
      <c r="H60" s="54"/>
      <c r="I60" s="54"/>
    </row>
    <row r="61" spans="1:35" x14ac:dyDescent="0.25">
      <c r="A61" s="54"/>
      <c r="B61" s="54"/>
      <c r="C61" s="54"/>
      <c r="D61" s="54"/>
      <c r="E61" s="54"/>
      <c r="F61" s="54"/>
      <c r="G61" s="54"/>
      <c r="H61" s="54"/>
      <c r="I61" s="54"/>
    </row>
    <row r="62" spans="1:35" x14ac:dyDescent="0.25">
      <c r="A62" s="87"/>
      <c r="B62" s="53"/>
      <c r="C62" s="53"/>
      <c r="D62" s="53"/>
      <c r="E62" s="88"/>
      <c r="F62" s="54"/>
      <c r="G62" s="54"/>
      <c r="H62" s="54"/>
      <c r="I62" s="54"/>
    </row>
    <row r="63" spans="1:35" x14ac:dyDescent="0.25">
      <c r="A63" s="54"/>
      <c r="B63" s="54"/>
      <c r="C63" s="54"/>
      <c r="D63" s="54"/>
      <c r="E63" s="54"/>
      <c r="F63" s="54"/>
      <c r="G63" s="54"/>
      <c r="H63" s="54"/>
      <c r="I63" s="54"/>
    </row>
    <row r="64" spans="1:35" x14ac:dyDescent="0.25">
      <c r="A64" s="54"/>
      <c r="B64" s="54"/>
      <c r="C64" s="54"/>
      <c r="D64" s="54"/>
      <c r="E64" s="54"/>
      <c r="F64" s="54"/>
      <c r="G64" s="54"/>
      <c r="H64" s="54"/>
      <c r="I64" s="54"/>
    </row>
    <row r="65" spans="1:9" x14ac:dyDescent="0.25">
      <c r="A65" s="54"/>
      <c r="B65" s="54"/>
      <c r="C65" s="54"/>
      <c r="D65" s="54"/>
      <c r="E65" s="54"/>
      <c r="F65" s="54"/>
      <c r="G65" s="54"/>
      <c r="H65" s="54"/>
      <c r="I65" s="54"/>
    </row>
    <row r="66" spans="1:9" x14ac:dyDescent="0.25">
      <c r="A66" s="72"/>
      <c r="B66" s="81"/>
      <c r="C66" s="54"/>
      <c r="D66" s="82"/>
      <c r="E66" s="81"/>
      <c r="F66" s="54"/>
      <c r="G66" s="76"/>
      <c r="H66" s="54"/>
      <c r="I66" s="54"/>
    </row>
    <row r="67" spans="1:9" x14ac:dyDescent="0.25">
      <c r="A67" s="54"/>
      <c r="B67" s="54"/>
      <c r="C67" s="54"/>
      <c r="D67" s="54"/>
      <c r="E67" s="54"/>
      <c r="F67" s="54"/>
      <c r="G67" s="54"/>
      <c r="H67" s="54"/>
      <c r="I67" s="54"/>
    </row>
    <row r="68" spans="1:9" x14ac:dyDescent="0.25">
      <c r="A68" s="86"/>
      <c r="B68" s="54"/>
      <c r="C68" s="54"/>
      <c r="D68" s="54"/>
      <c r="E68" s="54"/>
      <c r="F68" s="54"/>
      <c r="G68" s="54"/>
      <c r="H68" s="54"/>
      <c r="I68" s="54"/>
    </row>
    <row r="69" spans="1:9" x14ac:dyDescent="0.25">
      <c r="A69" s="89"/>
      <c r="B69" s="54"/>
      <c r="C69" s="54"/>
      <c r="D69" s="54"/>
      <c r="E69" s="54"/>
      <c r="F69" s="54"/>
      <c r="G69" s="54"/>
      <c r="H69" s="54"/>
      <c r="I69" s="54"/>
    </row>
    <row r="70" spans="1:9" x14ac:dyDescent="0.25">
      <c r="A70" s="72"/>
      <c r="B70" s="54"/>
      <c r="C70" s="54"/>
      <c r="D70" s="88"/>
      <c r="E70" s="54"/>
      <c r="F70" s="54"/>
      <c r="G70" s="54"/>
      <c r="H70" s="54"/>
      <c r="I70" s="54"/>
    </row>
    <row r="71" spans="1:9" x14ac:dyDescent="0.25">
      <c r="A71" s="54"/>
      <c r="B71" s="54"/>
      <c r="C71" s="54"/>
      <c r="D71" s="54"/>
      <c r="E71" s="54"/>
      <c r="F71" s="54"/>
      <c r="G71" s="54"/>
      <c r="H71" s="54"/>
      <c r="I71" s="54"/>
    </row>
    <row r="72" spans="1:9" x14ac:dyDescent="0.25">
      <c r="A72" s="54"/>
      <c r="B72" s="54"/>
      <c r="C72" s="54"/>
      <c r="D72" s="54"/>
      <c r="E72" s="54"/>
      <c r="F72" s="54"/>
      <c r="G72" s="54"/>
      <c r="H72" s="54"/>
      <c r="I72" s="54"/>
    </row>
    <row r="73" spans="1:9" x14ac:dyDescent="0.25">
      <c r="A73" s="54"/>
      <c r="B73" s="54"/>
      <c r="C73" s="54"/>
      <c r="D73" s="54"/>
      <c r="E73" s="54"/>
      <c r="F73" s="54"/>
      <c r="G73" s="54"/>
      <c r="H73" s="54"/>
      <c r="I73" s="54"/>
    </row>
    <row r="74" spans="1:9" x14ac:dyDescent="0.25">
      <c r="A74" s="54"/>
      <c r="B74" s="54"/>
      <c r="C74" s="54"/>
      <c r="D74" s="54"/>
      <c r="E74" s="54"/>
      <c r="F74" s="54"/>
      <c r="G74" s="54"/>
      <c r="H74" s="54"/>
      <c r="I74" s="54"/>
    </row>
    <row r="75" spans="1:9" x14ac:dyDescent="0.25">
      <c r="A75" s="54"/>
      <c r="B75" s="54"/>
      <c r="C75" s="54"/>
      <c r="D75" s="54"/>
      <c r="E75" s="54"/>
      <c r="F75" s="54"/>
      <c r="G75" s="54"/>
      <c r="H75" s="54"/>
      <c r="I75" s="54"/>
    </row>
    <row r="76" spans="1:9" x14ac:dyDescent="0.25">
      <c r="A76" s="54"/>
      <c r="B76" s="54"/>
      <c r="C76" s="54"/>
      <c r="D76" s="54"/>
      <c r="E76" s="54"/>
      <c r="F76" s="54"/>
      <c r="G76" s="54"/>
      <c r="H76" s="54"/>
      <c r="I76" s="54"/>
    </row>
    <row r="77" spans="1:9" x14ac:dyDescent="0.25">
      <c r="A77" s="54"/>
      <c r="B77" s="54"/>
      <c r="C77" s="54"/>
      <c r="D77" s="54"/>
      <c r="E77" s="54"/>
      <c r="F77" s="54"/>
      <c r="G77" s="54"/>
      <c r="H77" s="54"/>
      <c r="I77" s="54"/>
    </row>
    <row r="78" spans="1:9" x14ac:dyDescent="0.25">
      <c r="A78" s="54"/>
      <c r="B78" s="54"/>
      <c r="C78" s="54"/>
      <c r="D78" s="54"/>
      <c r="E78" s="54"/>
      <c r="F78" s="54"/>
      <c r="G78" s="54"/>
      <c r="H78" s="54"/>
      <c r="I78" s="54"/>
    </row>
    <row r="79" spans="1:9" x14ac:dyDescent="0.25">
      <c r="A79" s="54"/>
      <c r="B79" s="54"/>
      <c r="C79" s="54"/>
      <c r="D79" s="54"/>
      <c r="E79" s="54"/>
      <c r="F79" s="54"/>
      <c r="G79" s="54"/>
      <c r="H79" s="54"/>
      <c r="I79" s="54"/>
    </row>
    <row r="80" spans="1:9" x14ac:dyDescent="0.25">
      <c r="A80" s="54"/>
      <c r="B80" s="54"/>
      <c r="C80" s="54"/>
      <c r="D80" s="54"/>
      <c r="E80" s="54"/>
      <c r="F80" s="54"/>
      <c r="G80" s="54"/>
      <c r="H80" s="54"/>
      <c r="I80" s="54"/>
    </row>
    <row r="81" spans="1:9" x14ac:dyDescent="0.25">
      <c r="A81" s="54"/>
      <c r="B81" s="54"/>
      <c r="C81" s="54"/>
      <c r="D81" s="54"/>
      <c r="E81" s="54"/>
      <c r="F81" s="54"/>
      <c r="G81" s="54"/>
      <c r="H81" s="54"/>
      <c r="I81" s="54"/>
    </row>
    <row r="82" spans="1:9" x14ac:dyDescent="0.25">
      <c r="A82" s="54"/>
      <c r="B82" s="54"/>
      <c r="C82" s="54"/>
      <c r="D82" s="54"/>
      <c r="E82" s="54"/>
      <c r="F82" s="54"/>
      <c r="G82" s="54"/>
      <c r="H82" s="54"/>
      <c r="I82" s="54"/>
    </row>
    <row r="83" spans="1:9" x14ac:dyDescent="0.25">
      <c r="A83" s="54"/>
      <c r="B83" s="54"/>
      <c r="C83" s="54"/>
      <c r="D83" s="54"/>
      <c r="E83" s="54"/>
      <c r="F83" s="54"/>
      <c r="G83" s="54"/>
      <c r="H83" s="54"/>
      <c r="I83" s="54"/>
    </row>
    <row r="84" spans="1:9" x14ac:dyDescent="0.25">
      <c r="A84" s="54"/>
      <c r="B84" s="54"/>
      <c r="C84" s="54"/>
      <c r="D84" s="54"/>
      <c r="E84" s="54"/>
      <c r="F84" s="54"/>
      <c r="G84" s="54"/>
      <c r="H84" s="54"/>
      <c r="I84" s="54"/>
    </row>
    <row r="85" spans="1:9" x14ac:dyDescent="0.25">
      <c r="A85" s="54"/>
      <c r="B85" s="54"/>
      <c r="C85" s="54"/>
      <c r="D85" s="54"/>
      <c r="E85" s="54"/>
      <c r="F85" s="54"/>
      <c r="G85" s="54"/>
      <c r="H85" s="54"/>
      <c r="I85" s="54"/>
    </row>
    <row r="86" spans="1:9" x14ac:dyDescent="0.25">
      <c r="A86" s="54"/>
      <c r="B86" s="54"/>
      <c r="C86" s="54"/>
      <c r="D86" s="54"/>
      <c r="E86" s="54"/>
      <c r="F86" s="54"/>
      <c r="G86" s="54"/>
      <c r="H86" s="54"/>
      <c r="I86" s="54"/>
    </row>
    <row r="87" spans="1:9" x14ac:dyDescent="0.25">
      <c r="A87" s="54"/>
      <c r="B87" s="54"/>
      <c r="C87" s="54"/>
      <c r="D87" s="54"/>
      <c r="E87" s="54"/>
      <c r="F87" s="54"/>
      <c r="G87" s="54"/>
      <c r="H87" s="54"/>
      <c r="I87" s="54"/>
    </row>
    <row r="88" spans="1:9" x14ac:dyDescent="0.25">
      <c r="A88" s="54"/>
      <c r="B88" s="54"/>
      <c r="C88" s="54"/>
      <c r="D88" s="54"/>
      <c r="E88" s="54"/>
      <c r="F88" s="54"/>
      <c r="G88" s="54"/>
      <c r="H88" s="54"/>
      <c r="I88" s="54"/>
    </row>
    <row r="89" spans="1:9" x14ac:dyDescent="0.25">
      <c r="A89" s="54"/>
      <c r="B89" s="54"/>
      <c r="C89" s="54"/>
      <c r="D89" s="54"/>
      <c r="E89" s="54"/>
      <c r="F89" s="54"/>
      <c r="G89" s="54"/>
      <c r="H89" s="54"/>
      <c r="I89" s="54"/>
    </row>
    <row r="90" spans="1:9" x14ac:dyDescent="0.25">
      <c r="A90" s="54"/>
      <c r="B90" s="54"/>
      <c r="C90" s="54"/>
      <c r="D90" s="54"/>
      <c r="E90" s="54"/>
      <c r="F90" s="54"/>
      <c r="G90" s="54"/>
      <c r="H90" s="54"/>
      <c r="I90" s="54"/>
    </row>
    <row r="91" spans="1:9" x14ac:dyDescent="0.25">
      <c r="A91" s="54"/>
      <c r="B91" s="54"/>
      <c r="C91" s="54"/>
      <c r="D91" s="54"/>
      <c r="E91" s="54"/>
      <c r="F91" s="54"/>
      <c r="G91" s="54"/>
      <c r="H91" s="54"/>
      <c r="I91" s="54"/>
    </row>
    <row r="92" spans="1:9" x14ac:dyDescent="0.25">
      <c r="A92" s="54"/>
      <c r="B92" s="54"/>
      <c r="C92" s="54"/>
      <c r="D92" s="54"/>
      <c r="E92" s="54"/>
      <c r="F92" s="54"/>
      <c r="G92" s="54"/>
      <c r="H92" s="54"/>
      <c r="I92" s="54"/>
    </row>
    <row r="93" spans="1:9" x14ac:dyDescent="0.25">
      <c r="A93" s="54"/>
      <c r="B93" s="54"/>
      <c r="C93" s="54"/>
      <c r="D93" s="54"/>
      <c r="E93" s="54"/>
      <c r="F93" s="54"/>
      <c r="G93" s="54"/>
      <c r="H93" s="54"/>
      <c r="I93" s="54"/>
    </row>
    <row r="94" spans="1:9" x14ac:dyDescent="0.25">
      <c r="A94" s="54"/>
      <c r="B94" s="54"/>
      <c r="C94" s="54"/>
      <c r="D94" s="54"/>
      <c r="E94" s="54"/>
      <c r="F94" s="54"/>
      <c r="G94" s="54"/>
      <c r="H94" s="54"/>
      <c r="I94" s="54"/>
    </row>
    <row r="95" spans="1:9" x14ac:dyDescent="0.25">
      <c r="A95" s="54"/>
      <c r="B95" s="54"/>
      <c r="C95" s="54"/>
      <c r="D95" s="54"/>
      <c r="E95" s="54"/>
      <c r="F95" s="54"/>
      <c r="G95" s="54"/>
      <c r="H95" s="54"/>
      <c r="I95" s="54"/>
    </row>
    <row r="96" spans="1:9" x14ac:dyDescent="0.25">
      <c r="A96" s="54"/>
      <c r="B96" s="54"/>
      <c r="C96" s="54"/>
      <c r="D96" s="54"/>
      <c r="E96" s="54"/>
      <c r="F96" s="54"/>
      <c r="G96" s="54"/>
      <c r="H96" s="54"/>
      <c r="I96" s="77"/>
    </row>
    <row r="97" spans="1:9" x14ac:dyDescent="0.25">
      <c r="A97" s="54"/>
      <c r="B97" s="54"/>
      <c r="C97" s="54"/>
      <c r="D97" s="54"/>
      <c r="E97" s="54"/>
      <c r="F97" s="54"/>
      <c r="G97" s="54"/>
      <c r="H97" s="77"/>
      <c r="I97" s="90"/>
    </row>
    <row r="98" spans="1:9" x14ac:dyDescent="0.25">
      <c r="A98" s="54"/>
      <c r="B98" s="54"/>
      <c r="C98" s="54"/>
      <c r="D98" s="54"/>
      <c r="E98" s="54"/>
      <c r="F98" s="54"/>
      <c r="G98" s="54"/>
      <c r="H98" s="77"/>
      <c r="I98" s="91"/>
    </row>
    <row r="99" spans="1:9" x14ac:dyDescent="0.25">
      <c r="A99" s="54"/>
      <c r="B99" s="54"/>
      <c r="C99" s="54"/>
      <c r="D99" s="54"/>
      <c r="E99" s="54"/>
      <c r="F99" s="54"/>
      <c r="G99" s="54"/>
      <c r="H99" s="54"/>
      <c r="I99" s="54"/>
    </row>
    <row r="100" spans="1:9" x14ac:dyDescent="0.25">
      <c r="A100" s="54"/>
      <c r="B100" s="54"/>
      <c r="C100" s="54"/>
      <c r="D100" s="54"/>
      <c r="E100" s="54"/>
      <c r="F100" s="54"/>
      <c r="G100" s="54"/>
      <c r="H100" s="54"/>
      <c r="I100" s="54"/>
    </row>
  </sheetData>
  <sheetProtection sheet="1" objects="1" scenarios="1"/>
  <phoneticPr fontId="41" type="noConversion"/>
  <conditionalFormatting sqref="E52">
    <cfRule type="cellIs" dxfId="0" priority="1" stopIfTrue="1" operator="notEqual">
      <formula>"OK"</formula>
    </cfRule>
  </conditionalFormatting>
  <dataValidations xWindow="207" yWindow="290" count="10">
    <dataValidation type="decimal" operator="greaterThan" allowBlank="1" showInputMessage="1" showErrorMessage="1" prompt="A round pile shape is assumed, with a diameter, 'Dp'.  For H-piles, input the smaller dimension of either the section depth or width." sqref="C10">
      <formula1>0</formula1>
    </dataValidation>
    <dataValidation type="decimal" operator="greaterThan" allowBlank="1" showInputMessage="1" showErrorMessage="1" prompt="The pile edge distance, 'E', is assumed to be equal for each face od pile cap." sqref="C11">
      <formula1>0</formula1>
    </dataValidation>
    <dataValidation type="decimal" operator="greaterThan" allowBlank="1" showInputMessage="1" showErrorMessage="1" prompt="The dimension, 'H', is the total thickness of the pile cap, including the pile embedment." sqref="C14">
      <formula1>0</formula1>
    </dataValidation>
    <dataValidation type="decimal" operator="greaterThan" allowBlank="1" showInputMessage="1" showErrorMessage="1" prompt="Input either the maximum calculated vertical pile reaction or the maximum allowable vertical pile reaction." sqref="C9">
      <formula1>0</formula1>
    </dataValidation>
    <dataValidation type="list" allowBlank="1" showInputMessage="1" showErrorMessage="1" prompt="If top face reinforcing is used (&quot;Yes&quot;), then distance from top face to centroid of reinforcing is assumed = 4&quot;." sqref="C16">
      <formula1>$K$4:$K$5</formula1>
    </dataValidation>
    <dataValidation type="decimal" operator="greaterThan" allowBlank="1" showInputMessage="1" showErrorMessage="1" prompt="Pile embedment, 'dp', is distance from bottom face of pile cap to top of pile." sqref="C13">
      <formula1>0</formula1>
    </dataValidation>
    <dataValidation type="decimal" operator="greaterThan" allowBlank="1" showInputMessage="1" showErrorMessage="1" prompt="Center to center pile spacing, 'L', is typically 36&quot; for piles up to 12&quot; in diameter, resulting in a 24&quot; minimum clear spacing." sqref="C12">
      <formula1>0</formula1>
    </dataValidation>
    <dataValidation type="decimal" operator="greaterThan" allowBlank="1" showInputMessage="1" showErrorMessage="1" prompt="The Average Load Factor (LF) for Ultimate Strength Design (USD) of concrete is to be input by the user.  The user must be conscious of using an appropriate Average Load Factor based on applicable individual load factors for ACI Code used." sqref="C18">
      <formula1>0</formula1>
    </dataValidation>
    <dataValidation type="decimal" operator="greaterThan" allowBlank="1" showInputMessage="1" showErrorMessage="1" sqref="C15">
      <formula1>0</formula1>
    </dataValidation>
    <dataValidation type="list" allowBlank="1" showInputMessage="1" showErrorMessage="1" sqref="C17">
      <formula1>$K$6:$K$10</formula1>
    </dataValidation>
  </dataValidations>
  <pageMargins left="1" right="0.5" top="1" bottom="1" header="0.5" footer="0.5"/>
  <pageSetup scale="98" orientation="portrait" r:id="rId1"/>
  <headerFooter alignWithMargins="0">
    <oddHeader>&amp;R"PILEGRP.xls" Program
Version 3.6</oddHeader>
    <oddFooter>&amp;C&amp;P of &amp;N&amp;R&amp;D  &amp;T</oddFooter>
  </headerFooter>
  <rowBreaks count="1" manualBreakCount="1">
    <brk id="52" max="8" man="1"/>
  </rowBreaks>
  <drawing r:id="rId2"/>
  <mc:AlternateContent xmlns:mc="http://schemas.openxmlformats.org/markup-compatibility/2006">
    <mc:Choice Requires="v">
      <legacyDrawing r:id="rId3"/>
    </mc:Choice>
  </mc:AlternateContent>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Doc</vt:lpstr>
      <vt:lpstr>Piles (&lt;=25)</vt:lpstr>
      <vt:lpstr>Piles (&lt;=25)(metric)</vt:lpstr>
      <vt:lpstr>Piles (&lt;=75)</vt:lpstr>
      <vt:lpstr>Piles (&lt;=75)(metric)</vt:lpstr>
      <vt:lpstr>Piles (&lt;=300)</vt:lpstr>
      <vt:lpstr>Piles (&lt;=300)(metric)</vt:lpstr>
      <vt:lpstr>Piles (&lt;=400)</vt:lpstr>
      <vt:lpstr>Piles (&lt;=400)(metric)</vt:lpstr>
      <vt:lpstr>Corner Pile Shear</vt:lpstr>
      <vt:lpstr>'Corner Pile Shear'!Print_Area</vt:lpstr>
      <vt:lpstr>Doc!Print_Area</vt:lpstr>
      <vt:lpstr>'Piles (&lt;=25)'!Print_Area</vt:lpstr>
      <vt:lpstr>'Piles (&lt;=25)(metric)'!Print_Area</vt:lpstr>
      <vt:lpstr>'Piles (&lt;=300)'!Print_Area</vt:lpstr>
      <vt:lpstr>'Piles (&lt;=300)(metric)'!Print_Area</vt:lpstr>
      <vt:lpstr>'Piles (&lt;=400)'!Print_Area</vt:lpstr>
      <vt:lpstr>'Piles (&lt;=400)(metric)'!Print_Area</vt:lpstr>
      <vt:lpstr>'Piles (&lt;=75)'!Print_Area</vt:lpstr>
      <vt:lpstr>'Piles (&lt;=75)(metric)'!Print_Area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"PILEGRP" Program</dc:title>
  <dc:subject/>
  <dc:creator>Alex Tomanovich, P.E. - 151 Shadow Lane, Lyman SC 29365 - Home: 864-968-2699 - Email: ATomanovich@bellsouth.net</dc:creator>
  <dc:description>Pile Group Analysis for Rigid Pile Cap</dc:description>
  <cp:lastModifiedBy>madan kumar</cp:lastModifiedBy>
  <cp:lastPrinted>2008-04-11T11:46:22Z</cp:lastPrinted>
  <dcterms:created xsi:type="dcterms:W3CDTF">1999-11-22T20:04:47Z</dcterms:created>
  <dcterms:modified xsi:type="dcterms:W3CDTF">2020-06-07T12:52:24Z</dcterms:modified>
  <cp:category>Structural Engineering Analysis/Design</cp:category>
</cp:coreProperties>
</file>